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cchi_r\Dropbox\Notebooks\MobiTool update\"/>
    </mc:Choice>
  </mc:AlternateContent>
  <bookViews>
    <workbookView xWindow="0" yWindow="0" windowWidth="23040" windowHeight="9192" activeTab="1"/>
  </bookViews>
  <sheets>
    <sheet name="Readmefirst" sheetId="24" r:id="rId1"/>
    <sheet name="vehicles specifications" sheetId="1" r:id="rId2"/>
    <sheet name="ei names mapping" sheetId="7" r:id="rId3"/>
    <sheet name="EoL and shipping" sheetId="25" r:id="rId4"/>
    <sheet name="abrasion emissions" sheetId="5" r:id="rId5"/>
    <sheet name="energy battery" sheetId="3" r:id="rId6"/>
    <sheet name="fuels and tailpipe emissions" sheetId="2" r:id="rId7"/>
    <sheet name="lci-kick scooter" sheetId="6" r:id="rId8"/>
    <sheet name="lci-motorbikes&lt;4kW" sheetId="19" r:id="rId9"/>
    <sheet name="lci-motorbikes-4-11kW" sheetId="20" r:id="rId10"/>
    <sheet name="lci-motorbikes-11-35kW" sheetId="21" r:id="rId11"/>
    <sheet name="lci-motorbikes&gt;35kW" sheetId="22" r:id="rId12"/>
    <sheet name="lci-motorbikes-gas-4-11kW" sheetId="16" r:id="rId13"/>
    <sheet name="lci-motorbikes-gas-11-35kW" sheetId="17" r:id="rId14"/>
    <sheet name="lci-motorbikes-gas-&gt;35kW" sheetId="18" r:id="rId15"/>
    <sheet name="lci-scooter&lt;4kW" sheetId="28" r:id="rId16"/>
    <sheet name="lci-scooter-4-11kW" sheetId="14" r:id="rId17"/>
    <sheet name="lci-scooter-electric&lt;4kW" sheetId="29" r:id="rId18"/>
    <sheet name="lci-scooter-electric-4-11kW" sheetId="15" r:id="rId19"/>
    <sheet name="lci-moped" sheetId="13" r:id="rId20"/>
    <sheet name="lci-bicycle" sheetId="8" r:id="rId21"/>
    <sheet name="lci-electric-bicycle-25kmh" sheetId="9" r:id="rId22"/>
    <sheet name="lci-electric-bicycle-45kmh" sheetId="10" r:id="rId23"/>
    <sheet name="lci-electric-bicycle-cargo" sheetId="11" r:id="rId24"/>
    <sheet name="lci-tram" sheetId="12" r:id="rId25"/>
    <sheet name="lci-others" sheetId="23" r:id="rId26"/>
  </sheets>
  <calcPr calcId="162913"/>
</workbook>
</file>

<file path=xl/calcChain.xml><?xml version="1.0" encoding="utf-8"?>
<calcChain xmlns="http://schemas.openxmlformats.org/spreadsheetml/2006/main">
  <c r="CI3" i="1" l="1"/>
  <c r="CI28" i="1"/>
  <c r="CJ28" i="1"/>
  <c r="CK28" i="1"/>
  <c r="CI29" i="1"/>
  <c r="CJ29" i="1"/>
  <c r="CK29" i="1"/>
  <c r="CI30" i="1"/>
  <c r="CJ30" i="1"/>
  <c r="CK30" i="1"/>
  <c r="CI31" i="1"/>
  <c r="CJ31" i="1"/>
  <c r="CK31" i="1"/>
  <c r="CI32" i="1"/>
  <c r="CJ32" i="1"/>
  <c r="CK32" i="1"/>
  <c r="CI33" i="1"/>
  <c r="CJ33" i="1"/>
  <c r="CK33" i="1"/>
  <c r="CI34" i="1"/>
  <c r="CJ34" i="1"/>
  <c r="CK34" i="1"/>
  <c r="CI35" i="1"/>
  <c r="CJ35" i="1"/>
  <c r="CK35" i="1"/>
  <c r="CI36" i="1"/>
  <c r="CJ36" i="1"/>
  <c r="CK36" i="1"/>
  <c r="CI37" i="1"/>
  <c r="CJ37" i="1"/>
  <c r="CK37" i="1"/>
  <c r="CI38" i="1"/>
  <c r="CJ38" i="1"/>
  <c r="CK38" i="1"/>
  <c r="CI39" i="1"/>
  <c r="CJ39" i="1"/>
  <c r="CK39" i="1"/>
  <c r="CI40" i="1"/>
  <c r="CJ40" i="1"/>
  <c r="CK40" i="1"/>
  <c r="CI41" i="1"/>
  <c r="CJ41" i="1"/>
  <c r="CK41" i="1"/>
  <c r="CI42" i="1"/>
  <c r="CJ42" i="1"/>
  <c r="CK42" i="1"/>
  <c r="CI43" i="1"/>
  <c r="CJ43" i="1"/>
  <c r="CK43" i="1"/>
  <c r="CI44" i="1"/>
  <c r="CJ44" i="1"/>
  <c r="CK44" i="1"/>
  <c r="CI45" i="1"/>
  <c r="CJ45" i="1"/>
  <c r="CK45" i="1"/>
  <c r="CI46" i="1"/>
  <c r="CJ46" i="1"/>
  <c r="CK46" i="1"/>
  <c r="CI47" i="1"/>
  <c r="CJ47" i="1"/>
  <c r="CK47" i="1"/>
  <c r="CI48" i="1"/>
  <c r="CJ48" i="1"/>
  <c r="CK48" i="1"/>
  <c r="CI49" i="1"/>
  <c r="CJ49" i="1"/>
  <c r="CK49" i="1"/>
  <c r="CI50" i="1"/>
  <c r="CJ50" i="1"/>
  <c r="CK50" i="1"/>
  <c r="CI51" i="1"/>
  <c r="CJ51" i="1"/>
  <c r="CK51" i="1"/>
  <c r="CI52" i="1"/>
  <c r="CJ52" i="1"/>
  <c r="CK52" i="1"/>
  <c r="CI53" i="1"/>
  <c r="CJ53" i="1"/>
  <c r="CK53" i="1"/>
  <c r="CI54" i="1"/>
  <c r="CJ54" i="1"/>
  <c r="CK54" i="1"/>
  <c r="CI55" i="1"/>
  <c r="CJ55" i="1"/>
  <c r="CK55" i="1"/>
  <c r="CI56" i="1"/>
  <c r="CJ56" i="1"/>
  <c r="CK56" i="1"/>
  <c r="CI57" i="1"/>
  <c r="CJ57" i="1"/>
  <c r="CK57" i="1"/>
  <c r="CI58" i="1"/>
  <c r="CJ58" i="1"/>
  <c r="CK58" i="1"/>
  <c r="CI59" i="1"/>
  <c r="CJ59" i="1"/>
  <c r="CK59" i="1"/>
  <c r="CI60" i="1"/>
  <c r="CJ60" i="1"/>
  <c r="CK60" i="1"/>
  <c r="CI61" i="1"/>
  <c r="CJ61" i="1"/>
  <c r="CK61" i="1"/>
  <c r="CI62" i="1"/>
  <c r="CJ62" i="1"/>
  <c r="CK62" i="1"/>
  <c r="CI63" i="1"/>
  <c r="CJ63" i="1"/>
  <c r="CK63" i="1"/>
  <c r="CI64" i="1"/>
  <c r="CJ64" i="1"/>
  <c r="CK64" i="1"/>
  <c r="CI65" i="1"/>
  <c r="CJ65" i="1"/>
  <c r="CK65" i="1"/>
  <c r="CI66" i="1"/>
  <c r="CJ66" i="1"/>
  <c r="CK66" i="1"/>
  <c r="CI67" i="1"/>
  <c r="CJ67" i="1"/>
  <c r="CK67" i="1"/>
  <c r="CI68" i="1"/>
  <c r="CJ68" i="1"/>
  <c r="CK68" i="1"/>
  <c r="CI69" i="1"/>
  <c r="CJ69" i="1"/>
  <c r="CK69" i="1"/>
  <c r="CI70" i="1"/>
  <c r="CJ70" i="1"/>
  <c r="CK70" i="1"/>
  <c r="CI71" i="1"/>
  <c r="CJ71" i="1"/>
  <c r="CK71" i="1"/>
  <c r="CI72" i="1"/>
  <c r="CJ72" i="1"/>
  <c r="CK72" i="1"/>
  <c r="CI73" i="1"/>
  <c r="CJ73" i="1"/>
  <c r="CK73" i="1"/>
  <c r="CI74" i="1"/>
  <c r="CJ74" i="1"/>
  <c r="CK74" i="1"/>
  <c r="CI75" i="1"/>
  <c r="CJ75" i="1"/>
  <c r="CK75" i="1"/>
  <c r="CI76" i="1"/>
  <c r="CJ76" i="1"/>
  <c r="CK76" i="1"/>
  <c r="CI77" i="1"/>
  <c r="CJ77" i="1"/>
  <c r="CK77" i="1"/>
  <c r="CI78" i="1"/>
  <c r="CJ78" i="1"/>
  <c r="CK78" i="1"/>
  <c r="CI79" i="1"/>
  <c r="CJ79" i="1"/>
  <c r="CK79" i="1"/>
  <c r="CI80" i="1"/>
  <c r="CJ80" i="1"/>
  <c r="CK80" i="1"/>
  <c r="CI81" i="1"/>
  <c r="CJ81" i="1"/>
  <c r="CK81" i="1"/>
  <c r="CI82" i="1"/>
  <c r="CJ82" i="1"/>
  <c r="CK82" i="1"/>
  <c r="CI83" i="1"/>
  <c r="CJ83" i="1"/>
  <c r="CK83" i="1"/>
  <c r="CI84" i="1"/>
  <c r="CJ84" i="1"/>
  <c r="CK84" i="1"/>
  <c r="CI85" i="1"/>
  <c r="CJ85" i="1"/>
  <c r="CK85" i="1"/>
  <c r="CI86" i="1"/>
  <c r="CJ86" i="1"/>
  <c r="CK86" i="1"/>
  <c r="CK27" i="1"/>
  <c r="CJ27" i="1"/>
  <c r="CI27" i="1"/>
  <c r="CK4" i="1"/>
  <c r="CK5" i="1"/>
  <c r="CK6" i="1"/>
  <c r="CK7" i="1"/>
  <c r="CK8" i="1"/>
  <c r="CK9" i="1"/>
  <c r="CK10" i="1"/>
  <c r="CK11" i="1"/>
  <c r="CK12" i="1"/>
  <c r="CK13" i="1"/>
  <c r="CK14" i="1"/>
  <c r="CK15" i="1"/>
  <c r="CK16" i="1"/>
  <c r="CK17" i="1"/>
  <c r="CK18" i="1"/>
  <c r="CK19" i="1"/>
  <c r="CK20" i="1"/>
  <c r="CK21" i="1"/>
  <c r="CK22" i="1"/>
  <c r="CK3" i="1"/>
  <c r="CJ4" i="1"/>
  <c r="CJ5" i="1"/>
  <c r="CJ6" i="1"/>
  <c r="CJ7" i="1"/>
  <c r="CJ8" i="1"/>
  <c r="CJ9" i="1"/>
  <c r="CJ10" i="1"/>
  <c r="CJ11" i="1"/>
  <c r="CJ12" i="1"/>
  <c r="CJ13" i="1"/>
  <c r="CJ14" i="1"/>
  <c r="CJ15" i="1"/>
  <c r="CJ16" i="1"/>
  <c r="CJ17" i="1"/>
  <c r="CJ18" i="1"/>
  <c r="CJ19" i="1"/>
  <c r="CJ20" i="1"/>
  <c r="CJ21" i="1"/>
  <c r="CJ22" i="1"/>
  <c r="CJ3" i="1"/>
  <c r="CI4" i="1"/>
  <c r="CI5" i="1"/>
  <c r="CI6" i="1"/>
  <c r="CI7" i="1"/>
  <c r="CI8" i="1"/>
  <c r="CI9" i="1"/>
  <c r="CI10" i="1"/>
  <c r="CI11" i="1"/>
  <c r="CI12" i="1"/>
  <c r="CI13" i="1"/>
  <c r="CI14" i="1"/>
  <c r="CI15" i="1"/>
  <c r="CI16" i="1"/>
  <c r="CI17" i="1"/>
  <c r="CI18" i="1"/>
  <c r="CI19" i="1"/>
  <c r="CI20" i="1"/>
  <c r="CI21" i="1"/>
  <c r="CI22" i="1"/>
  <c r="U49" i="1"/>
  <c r="L220" i="7" l="1"/>
  <c r="L219" i="7"/>
  <c r="L218" i="7"/>
  <c r="L217" i="7"/>
  <c r="L216" i="7"/>
  <c r="L215" i="7"/>
  <c r="L214" i="7"/>
  <c r="L213" i="7"/>
  <c r="L212" i="7"/>
  <c r="L211" i="7"/>
  <c r="L210" i="7"/>
  <c r="L209" i="7"/>
  <c r="L208" i="7"/>
  <c r="L207" i="7"/>
  <c r="L206" i="7"/>
  <c r="L205" i="7"/>
  <c r="L204" i="7"/>
  <c r="L203" i="7"/>
  <c r="L202" i="7"/>
  <c r="L201" i="7"/>
  <c r="L200" i="7"/>
  <c r="L199" i="7"/>
  <c r="L198" i="7"/>
  <c r="L197" i="7"/>
  <c r="L196" i="7"/>
  <c r="L195" i="7"/>
  <c r="L194" i="7"/>
  <c r="L193" i="7"/>
  <c r="L192" i="7"/>
  <c r="L191" i="7"/>
  <c r="L190" i="7"/>
  <c r="L189" i="7"/>
  <c r="L188" i="7"/>
  <c r="L187" i="7"/>
  <c r="L186" i="7"/>
  <c r="L185" i="7"/>
  <c r="L184" i="7"/>
  <c r="L183" i="7"/>
  <c r="L182" i="7"/>
  <c r="L181" i="7"/>
  <c r="L180" i="7"/>
  <c r="L179" i="7"/>
  <c r="L178" i="7"/>
  <c r="L177" i="7"/>
  <c r="L176" i="7"/>
  <c r="L175" i="7"/>
  <c r="L174" i="7"/>
  <c r="L173" i="7"/>
  <c r="L172" i="7"/>
  <c r="L171" i="7"/>
  <c r="L170" i="7"/>
  <c r="L169" i="7"/>
  <c r="L168" i="7"/>
  <c r="L167" i="7"/>
  <c r="L166" i="7"/>
  <c r="L165" i="7"/>
  <c r="L164" i="7"/>
  <c r="L163" i="7"/>
  <c r="L162" i="7"/>
  <c r="L161" i="7"/>
  <c r="L156" i="7"/>
  <c r="L155" i="7"/>
  <c r="L154" i="7"/>
  <c r="L153" i="7"/>
  <c r="L152" i="7"/>
  <c r="L151" i="7"/>
  <c r="L150" i="7"/>
  <c r="L149" i="7"/>
  <c r="L148" i="7"/>
  <c r="L147" i="7"/>
  <c r="L146" i="7"/>
  <c r="B246" i="9" s="1"/>
  <c r="L145" i="7"/>
  <c r="L144" i="7"/>
  <c r="L143" i="7"/>
  <c r="L142" i="7"/>
  <c r="L141" i="7"/>
  <c r="L140" i="7"/>
  <c r="L139" i="7"/>
  <c r="L138" i="7"/>
  <c r="B242" i="6" s="1"/>
  <c r="L137" i="7"/>
  <c r="H483" i="29"/>
  <c r="D483" i="29"/>
  <c r="C483" i="29"/>
  <c r="A483" i="29"/>
  <c r="H482" i="29"/>
  <c r="D482" i="29"/>
  <c r="C482" i="29"/>
  <c r="A482" i="29"/>
  <c r="H481" i="29"/>
  <c r="D481" i="29"/>
  <c r="C481" i="29"/>
  <c r="A481" i="29"/>
  <c r="H480" i="29"/>
  <c r="D480" i="29"/>
  <c r="C480" i="29"/>
  <c r="A480" i="29"/>
  <c r="D479" i="29"/>
  <c r="C479" i="29"/>
  <c r="H478" i="29"/>
  <c r="D478" i="29"/>
  <c r="C478" i="29"/>
  <c r="A478" i="29"/>
  <c r="H477" i="29"/>
  <c r="D477" i="29"/>
  <c r="C477" i="29"/>
  <c r="A477" i="29"/>
  <c r="C476" i="29"/>
  <c r="A476" i="29"/>
  <c r="C475" i="29"/>
  <c r="B453" i="29"/>
  <c r="H475" i="29"/>
  <c r="H476" i="29"/>
  <c r="B452" i="29"/>
  <c r="B447" i="29"/>
  <c r="A475" i="29"/>
  <c r="H445" i="29"/>
  <c r="D445" i="29"/>
  <c r="C445" i="29"/>
  <c r="A445" i="29"/>
  <c r="H444" i="29"/>
  <c r="D444" i="29"/>
  <c r="C444" i="29"/>
  <c r="A444" i="29"/>
  <c r="H443" i="29"/>
  <c r="D443" i="29"/>
  <c r="C443" i="29"/>
  <c r="A443" i="29"/>
  <c r="H442" i="29"/>
  <c r="D442" i="29"/>
  <c r="C442" i="29"/>
  <c r="A442" i="29"/>
  <c r="D441" i="29"/>
  <c r="C441" i="29"/>
  <c r="H440" i="29"/>
  <c r="D440" i="29"/>
  <c r="C440" i="29"/>
  <c r="A440" i="29"/>
  <c r="H439" i="29"/>
  <c r="D439" i="29"/>
  <c r="C439" i="29"/>
  <c r="A439" i="29"/>
  <c r="C438" i="29"/>
  <c r="A438" i="29"/>
  <c r="C437" i="29"/>
  <c r="A437" i="29"/>
  <c r="B415" i="29"/>
  <c r="H437" i="29"/>
  <c r="H438" i="29"/>
  <c r="B414" i="29"/>
  <c r="B409" i="29"/>
  <c r="H407" i="29"/>
  <c r="D407" i="29"/>
  <c r="C407" i="29"/>
  <c r="A407" i="29"/>
  <c r="H406" i="29"/>
  <c r="D406" i="29"/>
  <c r="C406" i="29"/>
  <c r="A406" i="29"/>
  <c r="H405" i="29"/>
  <c r="D405" i="29"/>
  <c r="C405" i="29"/>
  <c r="A405" i="29"/>
  <c r="H404" i="29"/>
  <c r="D404" i="29"/>
  <c r="C404" i="29"/>
  <c r="A404" i="29"/>
  <c r="D403" i="29"/>
  <c r="C403" i="29"/>
  <c r="H402" i="29"/>
  <c r="D402" i="29"/>
  <c r="C402" i="29"/>
  <c r="A402" i="29"/>
  <c r="H401" i="29"/>
  <c r="D401" i="29"/>
  <c r="C401" i="29"/>
  <c r="A401" i="29"/>
  <c r="C400" i="29"/>
  <c r="A400" i="29"/>
  <c r="C399" i="29"/>
  <c r="B377" i="29"/>
  <c r="H399" i="29"/>
  <c r="H400" i="29"/>
  <c r="B376" i="29"/>
  <c r="B371" i="29"/>
  <c r="A399" i="29"/>
  <c r="H369" i="29"/>
  <c r="D369" i="29"/>
  <c r="C369" i="29"/>
  <c r="A369" i="29"/>
  <c r="H368" i="29"/>
  <c r="D368" i="29"/>
  <c r="C368" i="29"/>
  <c r="A368" i="29"/>
  <c r="H367" i="29"/>
  <c r="D367" i="29"/>
  <c r="C367" i="29"/>
  <c r="A367" i="29"/>
  <c r="H366" i="29"/>
  <c r="D366" i="29"/>
  <c r="C366" i="29"/>
  <c r="A366" i="29"/>
  <c r="D365" i="29"/>
  <c r="C365" i="29"/>
  <c r="H364" i="29"/>
  <c r="D364" i="29"/>
  <c r="C364" i="29"/>
  <c r="A364" i="29"/>
  <c r="H363" i="29"/>
  <c r="D363" i="29"/>
  <c r="C363" i="29"/>
  <c r="A363" i="29"/>
  <c r="C362" i="29"/>
  <c r="A362" i="29"/>
  <c r="C361" i="29"/>
  <c r="B339" i="29"/>
  <c r="H361" i="29"/>
  <c r="H362" i="29"/>
  <c r="B338" i="29"/>
  <c r="B333" i="29"/>
  <c r="A361" i="29"/>
  <c r="H331" i="29"/>
  <c r="D331" i="29"/>
  <c r="C331" i="29"/>
  <c r="A331" i="29"/>
  <c r="H330" i="29"/>
  <c r="D330" i="29"/>
  <c r="C330" i="29"/>
  <c r="A330" i="29"/>
  <c r="H329" i="29"/>
  <c r="D329" i="29"/>
  <c r="C329" i="29"/>
  <c r="A329" i="29"/>
  <c r="H328" i="29"/>
  <c r="D328" i="29"/>
  <c r="C328" i="29"/>
  <c r="A328" i="29"/>
  <c r="H327" i="29"/>
  <c r="D327" i="29"/>
  <c r="C327" i="29"/>
  <c r="A327" i="29"/>
  <c r="H326" i="29"/>
  <c r="D326" i="29"/>
  <c r="C326" i="29"/>
  <c r="A326" i="29"/>
  <c r="H325" i="29"/>
  <c r="D325" i="29"/>
  <c r="C325" i="29"/>
  <c r="A325" i="29"/>
  <c r="C324" i="29"/>
  <c r="A324" i="29"/>
  <c r="C323" i="29"/>
  <c r="A323" i="29"/>
  <c r="B301" i="29"/>
  <c r="H323" i="29"/>
  <c r="H324" i="29"/>
  <c r="B300" i="29"/>
  <c r="B295" i="29"/>
  <c r="H293" i="29"/>
  <c r="D293" i="29"/>
  <c r="C293" i="29"/>
  <c r="A293" i="29"/>
  <c r="H292" i="29"/>
  <c r="D292" i="29"/>
  <c r="C292" i="29"/>
  <c r="A292" i="29"/>
  <c r="H291" i="29"/>
  <c r="D291" i="29"/>
  <c r="C291" i="29"/>
  <c r="A291" i="29"/>
  <c r="H290" i="29"/>
  <c r="D290" i="29"/>
  <c r="C290" i="29"/>
  <c r="A290" i="29"/>
  <c r="H289" i="29"/>
  <c r="D289" i="29"/>
  <c r="C289" i="29"/>
  <c r="A289" i="29"/>
  <c r="H288" i="29"/>
  <c r="D288" i="29"/>
  <c r="C288" i="29"/>
  <c r="A288" i="29"/>
  <c r="H287" i="29"/>
  <c r="D287" i="29"/>
  <c r="C287" i="29"/>
  <c r="A287" i="29"/>
  <c r="C286" i="29"/>
  <c r="C285" i="29"/>
  <c r="B263" i="29"/>
  <c r="H285" i="29"/>
  <c r="H286" i="29"/>
  <c r="B262" i="29"/>
  <c r="B257" i="29"/>
  <c r="A285" i="29"/>
  <c r="A286" i="29"/>
  <c r="H255" i="29"/>
  <c r="D255" i="29"/>
  <c r="C255" i="29"/>
  <c r="A255" i="29"/>
  <c r="H254" i="29"/>
  <c r="D254" i="29"/>
  <c r="C254" i="29"/>
  <c r="A254" i="29"/>
  <c r="H253" i="29"/>
  <c r="D253" i="29"/>
  <c r="C253" i="29"/>
  <c r="A253" i="29"/>
  <c r="H252" i="29"/>
  <c r="D252" i="29"/>
  <c r="C252" i="29"/>
  <c r="A252" i="29"/>
  <c r="H251" i="29"/>
  <c r="D251" i="29"/>
  <c r="C251" i="29"/>
  <c r="A251" i="29"/>
  <c r="H250" i="29"/>
  <c r="D250" i="29"/>
  <c r="C250" i="29"/>
  <c r="A250" i="29"/>
  <c r="H249" i="29"/>
  <c r="D249" i="29"/>
  <c r="C249" i="29"/>
  <c r="A249" i="29"/>
  <c r="C248" i="29"/>
  <c r="C247" i="29"/>
  <c r="B225" i="29"/>
  <c r="H247" i="29"/>
  <c r="H248" i="29"/>
  <c r="B224" i="29"/>
  <c r="B219" i="29"/>
  <c r="A247" i="29"/>
  <c r="A248" i="29"/>
  <c r="H217" i="29"/>
  <c r="D217" i="29"/>
  <c r="C217" i="29"/>
  <c r="A217" i="29"/>
  <c r="H216" i="29"/>
  <c r="D216" i="29"/>
  <c r="C216" i="29"/>
  <c r="A216" i="29"/>
  <c r="H215" i="29"/>
  <c r="D215" i="29"/>
  <c r="C215" i="29"/>
  <c r="A215" i="29"/>
  <c r="H214" i="29"/>
  <c r="D214" i="29"/>
  <c r="C214" i="29"/>
  <c r="A214" i="29"/>
  <c r="H213" i="29"/>
  <c r="D213" i="29"/>
  <c r="C213" i="29"/>
  <c r="A213" i="29"/>
  <c r="H212" i="29"/>
  <c r="D212" i="29"/>
  <c r="C212" i="29"/>
  <c r="A212" i="29"/>
  <c r="H211" i="29"/>
  <c r="D211" i="29"/>
  <c r="C211" i="29"/>
  <c r="A211" i="29"/>
  <c r="C210" i="29"/>
  <c r="H209" i="29"/>
  <c r="H210" i="29"/>
  <c r="C209" i="29"/>
  <c r="B187" i="29"/>
  <c r="B186" i="29"/>
  <c r="B181" i="29"/>
  <c r="A209" i="29"/>
  <c r="A210" i="29"/>
  <c r="H177" i="29"/>
  <c r="D177" i="29"/>
  <c r="C177" i="29"/>
  <c r="A177" i="29"/>
  <c r="H176" i="29"/>
  <c r="D176" i="29"/>
  <c r="C176" i="29"/>
  <c r="A176" i="29"/>
  <c r="H175" i="29"/>
  <c r="D175" i="29"/>
  <c r="C175" i="29"/>
  <c r="A175" i="29"/>
  <c r="H174" i="29"/>
  <c r="D174" i="29"/>
  <c r="C174" i="29"/>
  <c r="A174" i="29"/>
  <c r="H173" i="29"/>
  <c r="D173" i="29"/>
  <c r="C173" i="29"/>
  <c r="A173" i="29"/>
  <c r="H172" i="29"/>
  <c r="D172" i="29"/>
  <c r="C172" i="29"/>
  <c r="A172" i="29"/>
  <c r="H171" i="29"/>
  <c r="D171" i="29"/>
  <c r="C171" i="29"/>
  <c r="A171" i="29"/>
  <c r="H170" i="29"/>
  <c r="D170" i="29"/>
  <c r="C170" i="29"/>
  <c r="A170" i="29"/>
  <c r="H169" i="29"/>
  <c r="D169" i="29"/>
  <c r="C169" i="29"/>
  <c r="A169" i="29"/>
  <c r="H168" i="29"/>
  <c r="D168" i="29"/>
  <c r="C168" i="29"/>
  <c r="A168" i="29"/>
  <c r="H167" i="29"/>
  <c r="D167" i="29"/>
  <c r="C167" i="29"/>
  <c r="B142" i="29"/>
  <c r="B141" i="29"/>
  <c r="B136" i="29"/>
  <c r="A167" i="29"/>
  <c r="H132" i="29"/>
  <c r="D132" i="29"/>
  <c r="C132" i="29"/>
  <c r="A132" i="29"/>
  <c r="H131" i="29"/>
  <c r="D131" i="29"/>
  <c r="C131" i="29"/>
  <c r="A131" i="29"/>
  <c r="H130" i="29"/>
  <c r="D130" i="29"/>
  <c r="C130" i="29"/>
  <c r="A130" i="29"/>
  <c r="H129" i="29"/>
  <c r="D129" i="29"/>
  <c r="C129" i="29"/>
  <c r="A129" i="29"/>
  <c r="H128" i="29"/>
  <c r="D128" i="29"/>
  <c r="C128" i="29"/>
  <c r="A128" i="29"/>
  <c r="H127" i="29"/>
  <c r="D127" i="29"/>
  <c r="C127" i="29"/>
  <c r="A127" i="29"/>
  <c r="H126" i="29"/>
  <c r="D126" i="29"/>
  <c r="C126" i="29"/>
  <c r="A126" i="29"/>
  <c r="H125" i="29"/>
  <c r="D125" i="29"/>
  <c r="C125" i="29"/>
  <c r="A125" i="29"/>
  <c r="H124" i="29"/>
  <c r="D124" i="29"/>
  <c r="C124" i="29"/>
  <c r="A124" i="29"/>
  <c r="H123" i="29"/>
  <c r="D123" i="29"/>
  <c r="C123" i="29"/>
  <c r="A123" i="29"/>
  <c r="H122" i="29"/>
  <c r="D122" i="29"/>
  <c r="C122" i="29"/>
  <c r="B97" i="29"/>
  <c r="B96" i="29"/>
  <c r="B91" i="29"/>
  <c r="A122" i="29"/>
  <c r="H87" i="29"/>
  <c r="D87" i="29"/>
  <c r="C87" i="29"/>
  <c r="A87" i="29"/>
  <c r="H86" i="29"/>
  <c r="D86" i="29"/>
  <c r="C86" i="29"/>
  <c r="A86" i="29"/>
  <c r="H85" i="29"/>
  <c r="D85" i="29"/>
  <c r="C85" i="29"/>
  <c r="A85" i="29"/>
  <c r="H84" i="29"/>
  <c r="D84" i="29"/>
  <c r="C84" i="29"/>
  <c r="A84" i="29"/>
  <c r="H83" i="29"/>
  <c r="D83" i="29"/>
  <c r="C83" i="29"/>
  <c r="A83" i="29"/>
  <c r="H82" i="29"/>
  <c r="D82" i="29"/>
  <c r="C82" i="29"/>
  <c r="A82" i="29"/>
  <c r="H81" i="29"/>
  <c r="D81" i="29"/>
  <c r="C81" i="29"/>
  <c r="A81" i="29"/>
  <c r="H80" i="29"/>
  <c r="D80" i="29"/>
  <c r="C80" i="29"/>
  <c r="A80" i="29"/>
  <c r="H79" i="29"/>
  <c r="D79" i="29"/>
  <c r="C79" i="29"/>
  <c r="A79" i="29"/>
  <c r="H78" i="29"/>
  <c r="D78" i="29"/>
  <c r="C78" i="29"/>
  <c r="A78" i="29"/>
  <c r="H77" i="29"/>
  <c r="D77" i="29"/>
  <c r="C77" i="29"/>
  <c r="A77" i="29"/>
  <c r="B52" i="29"/>
  <c r="B51" i="29"/>
  <c r="B46" i="29"/>
  <c r="H42" i="29"/>
  <c r="D42" i="29"/>
  <c r="C42" i="29"/>
  <c r="A42" i="29"/>
  <c r="H41" i="29"/>
  <c r="D41" i="29"/>
  <c r="C41" i="29"/>
  <c r="A41" i="29"/>
  <c r="H40" i="29"/>
  <c r="D40" i="29"/>
  <c r="C40" i="29"/>
  <c r="A40" i="29"/>
  <c r="H39" i="29"/>
  <c r="D39" i="29"/>
  <c r="C39" i="29"/>
  <c r="A39" i="29"/>
  <c r="H38" i="29"/>
  <c r="D38" i="29"/>
  <c r="C38" i="29"/>
  <c r="A38" i="29"/>
  <c r="H37" i="29"/>
  <c r="D37" i="29"/>
  <c r="C37" i="29"/>
  <c r="A37" i="29"/>
  <c r="H36" i="29"/>
  <c r="D36" i="29"/>
  <c r="C36" i="29"/>
  <c r="A36" i="29"/>
  <c r="H35" i="29"/>
  <c r="D35" i="29"/>
  <c r="C35" i="29"/>
  <c r="A35" i="29"/>
  <c r="H34" i="29"/>
  <c r="D34" i="29"/>
  <c r="C34" i="29"/>
  <c r="A34" i="29"/>
  <c r="H33" i="29"/>
  <c r="D33" i="29"/>
  <c r="C33" i="29"/>
  <c r="A33" i="29"/>
  <c r="H32" i="29"/>
  <c r="D32" i="29"/>
  <c r="C32" i="29"/>
  <c r="B7" i="29"/>
  <c r="B6" i="29"/>
  <c r="B1" i="29"/>
  <c r="A32" i="29"/>
  <c r="A33" i="1"/>
  <c r="H687" i="28"/>
  <c r="D687" i="28"/>
  <c r="C687" i="28"/>
  <c r="A687" i="28"/>
  <c r="H686" i="28"/>
  <c r="D686" i="28"/>
  <c r="C686" i="28"/>
  <c r="A686" i="28"/>
  <c r="H685" i="28"/>
  <c r="D685" i="28"/>
  <c r="C685" i="28"/>
  <c r="A685" i="28"/>
  <c r="E684" i="28"/>
  <c r="D684" i="28"/>
  <c r="A684" i="28"/>
  <c r="E683" i="28"/>
  <c r="D683" i="28"/>
  <c r="A683" i="28"/>
  <c r="E682" i="28"/>
  <c r="D682" i="28"/>
  <c r="A682" i="28"/>
  <c r="E681" i="28"/>
  <c r="D681" i="28"/>
  <c r="A681" i="28"/>
  <c r="E680" i="28"/>
  <c r="D680" i="28"/>
  <c r="A680" i="28"/>
  <c r="E679" i="28"/>
  <c r="D679" i="28"/>
  <c r="A679" i="28"/>
  <c r="E678" i="28"/>
  <c r="D678" i="28"/>
  <c r="A678" i="28"/>
  <c r="E677" i="28"/>
  <c r="D677" i="28"/>
  <c r="A677" i="28"/>
  <c r="E676" i="28"/>
  <c r="D676" i="28"/>
  <c r="A676" i="28"/>
  <c r="E675" i="28"/>
  <c r="D675" i="28"/>
  <c r="A675" i="28"/>
  <c r="E674" i="28"/>
  <c r="D674" i="28"/>
  <c r="A674" i="28"/>
  <c r="E673" i="28"/>
  <c r="D673" i="28"/>
  <c r="A673" i="28"/>
  <c r="E672" i="28"/>
  <c r="D672" i="28"/>
  <c r="A672" i="28"/>
  <c r="E671" i="28"/>
  <c r="D671" i="28"/>
  <c r="A671" i="28"/>
  <c r="E670" i="28"/>
  <c r="D670" i="28"/>
  <c r="A670" i="28"/>
  <c r="E669" i="28"/>
  <c r="D669" i="28"/>
  <c r="A669" i="28"/>
  <c r="E668" i="28"/>
  <c r="D668" i="28"/>
  <c r="A668" i="28"/>
  <c r="E667" i="28"/>
  <c r="D667" i="28"/>
  <c r="A667" i="28"/>
  <c r="E666" i="28"/>
  <c r="D666" i="28"/>
  <c r="A666" i="28"/>
  <c r="E665" i="28"/>
  <c r="D665" i="28"/>
  <c r="A665" i="28"/>
  <c r="E664" i="28"/>
  <c r="D664" i="28"/>
  <c r="A664" i="28"/>
  <c r="E663" i="28"/>
  <c r="D663" i="28"/>
  <c r="A663" i="28"/>
  <c r="E662" i="28"/>
  <c r="D662" i="28"/>
  <c r="A662" i="28"/>
  <c r="E661" i="28"/>
  <c r="D661" i="28"/>
  <c r="A661" i="28"/>
  <c r="E660" i="28"/>
  <c r="D660" i="28"/>
  <c r="A660" i="28"/>
  <c r="E659" i="28"/>
  <c r="D659" i="28"/>
  <c r="A659" i="28"/>
  <c r="E658" i="28"/>
  <c r="D658" i="28"/>
  <c r="A658" i="28"/>
  <c r="E657" i="28"/>
  <c r="D657" i="28"/>
  <c r="A657" i="28"/>
  <c r="E656" i="28"/>
  <c r="D656" i="28"/>
  <c r="A656" i="28"/>
  <c r="E655" i="28"/>
  <c r="D655" i="28"/>
  <c r="A655" i="28"/>
  <c r="E654" i="28"/>
  <c r="D654" i="28"/>
  <c r="A654" i="28"/>
  <c r="E653" i="28"/>
  <c r="D653" i="28"/>
  <c r="A653" i="28"/>
  <c r="E652" i="28"/>
  <c r="D652" i="28"/>
  <c r="A652" i="28"/>
  <c r="E651" i="28"/>
  <c r="D651" i="28"/>
  <c r="A651" i="28"/>
  <c r="E650" i="28"/>
  <c r="D650" i="28"/>
  <c r="A650" i="28"/>
  <c r="E649" i="28"/>
  <c r="D649" i="28"/>
  <c r="A649" i="28"/>
  <c r="E648" i="28"/>
  <c r="D648" i="28"/>
  <c r="A648" i="28"/>
  <c r="E647" i="28"/>
  <c r="D647" i="28"/>
  <c r="A647" i="28"/>
  <c r="E646" i="28"/>
  <c r="D646" i="28"/>
  <c r="A646" i="28"/>
  <c r="E645" i="28"/>
  <c r="D645" i="28"/>
  <c r="A645" i="28"/>
  <c r="H644" i="28"/>
  <c r="D644" i="28"/>
  <c r="C644" i="28"/>
  <c r="A644" i="28"/>
  <c r="H643" i="28"/>
  <c r="D643" i="28"/>
  <c r="C643" i="28"/>
  <c r="A643" i="28"/>
  <c r="H642" i="28"/>
  <c r="D642" i="28"/>
  <c r="C642" i="28"/>
  <c r="A642" i="28"/>
  <c r="H641" i="28"/>
  <c r="D641" i="28"/>
  <c r="C641" i="28"/>
  <c r="A641" i="28"/>
  <c r="C640" i="28"/>
  <c r="C639" i="28"/>
  <c r="B618" i="28"/>
  <c r="H639" i="28"/>
  <c r="H640" i="28"/>
  <c r="B617" i="28"/>
  <c r="B612" i="28"/>
  <c r="A639" i="28"/>
  <c r="A640" i="28"/>
  <c r="H610" i="28"/>
  <c r="D610" i="28"/>
  <c r="C610" i="28"/>
  <c r="A610" i="28"/>
  <c r="H609" i="28"/>
  <c r="D609" i="28"/>
  <c r="C609" i="28"/>
  <c r="A609" i="28"/>
  <c r="H608" i="28"/>
  <c r="D608" i="28"/>
  <c r="C608" i="28"/>
  <c r="A608" i="28"/>
  <c r="E607" i="28"/>
  <c r="D607" i="28"/>
  <c r="A607" i="28"/>
  <c r="E606" i="28"/>
  <c r="D606" i="28"/>
  <c r="A606" i="28"/>
  <c r="E605" i="28"/>
  <c r="D605" i="28"/>
  <c r="A605" i="28"/>
  <c r="E604" i="28"/>
  <c r="D604" i="28"/>
  <c r="A604" i="28"/>
  <c r="E603" i="28"/>
  <c r="D603" i="28"/>
  <c r="A603" i="28"/>
  <c r="E602" i="28"/>
  <c r="D602" i="28"/>
  <c r="A602" i="28"/>
  <c r="E601" i="28"/>
  <c r="D601" i="28"/>
  <c r="A601" i="28"/>
  <c r="E600" i="28"/>
  <c r="D600" i="28"/>
  <c r="A600" i="28"/>
  <c r="E599" i="28"/>
  <c r="D599" i="28"/>
  <c r="A599" i="28"/>
  <c r="E598" i="28"/>
  <c r="D598" i="28"/>
  <c r="A598" i="28"/>
  <c r="E597" i="28"/>
  <c r="D597" i="28"/>
  <c r="A597" i="28"/>
  <c r="E596" i="28"/>
  <c r="D596" i="28"/>
  <c r="A596" i="28"/>
  <c r="E595" i="28"/>
  <c r="D595" i="28"/>
  <c r="A595" i="28"/>
  <c r="E594" i="28"/>
  <c r="D594" i="28"/>
  <c r="A594" i="28"/>
  <c r="E593" i="28"/>
  <c r="D593" i="28"/>
  <c r="A593" i="28"/>
  <c r="E592" i="28"/>
  <c r="D592" i="28"/>
  <c r="A592" i="28"/>
  <c r="E591" i="28"/>
  <c r="D591" i="28"/>
  <c r="A591" i="28"/>
  <c r="E590" i="28"/>
  <c r="D590" i="28"/>
  <c r="A590" i="28"/>
  <c r="E589" i="28"/>
  <c r="D589" i="28"/>
  <c r="A589" i="28"/>
  <c r="E588" i="28"/>
  <c r="D588" i="28"/>
  <c r="A588" i="28"/>
  <c r="E587" i="28"/>
  <c r="D587" i="28"/>
  <c r="A587" i="28"/>
  <c r="E586" i="28"/>
  <c r="D586" i="28"/>
  <c r="A586" i="28"/>
  <c r="E585" i="28"/>
  <c r="D585" i="28"/>
  <c r="A585" i="28"/>
  <c r="E584" i="28"/>
  <c r="D584" i="28"/>
  <c r="A584" i="28"/>
  <c r="E583" i="28"/>
  <c r="D583" i="28"/>
  <c r="A583" i="28"/>
  <c r="E582" i="28"/>
  <c r="D582" i="28"/>
  <c r="A582" i="28"/>
  <c r="E581" i="28"/>
  <c r="D581" i="28"/>
  <c r="A581" i="28"/>
  <c r="E580" i="28"/>
  <c r="D580" i="28"/>
  <c r="A580" i="28"/>
  <c r="E579" i="28"/>
  <c r="D579" i="28"/>
  <c r="A579" i="28"/>
  <c r="E578" i="28"/>
  <c r="D578" i="28"/>
  <c r="A578" i="28"/>
  <c r="E577" i="28"/>
  <c r="D577" i="28"/>
  <c r="A577" i="28"/>
  <c r="E576" i="28"/>
  <c r="D576" i="28"/>
  <c r="A576" i="28"/>
  <c r="E575" i="28"/>
  <c r="D575" i="28"/>
  <c r="A575" i="28"/>
  <c r="E574" i="28"/>
  <c r="D574" i="28"/>
  <c r="A574" i="28"/>
  <c r="E573" i="28"/>
  <c r="D573" i="28"/>
  <c r="A573" i="28"/>
  <c r="E572" i="28"/>
  <c r="D572" i="28"/>
  <c r="A572" i="28"/>
  <c r="E571" i="28"/>
  <c r="D571" i="28"/>
  <c r="A571" i="28"/>
  <c r="E570" i="28"/>
  <c r="D570" i="28"/>
  <c r="A570" i="28"/>
  <c r="E569" i="28"/>
  <c r="D569" i="28"/>
  <c r="A569" i="28"/>
  <c r="E568" i="28"/>
  <c r="D568" i="28"/>
  <c r="A568" i="28"/>
  <c r="H567" i="28"/>
  <c r="D567" i="28"/>
  <c r="C567" i="28"/>
  <c r="A567" i="28"/>
  <c r="H566" i="28"/>
  <c r="D566" i="28"/>
  <c r="C566" i="28"/>
  <c r="A566" i="28"/>
  <c r="H565" i="28"/>
  <c r="D565" i="28"/>
  <c r="C565" i="28"/>
  <c r="A565" i="28"/>
  <c r="H564" i="28"/>
  <c r="D564" i="28"/>
  <c r="C564" i="28"/>
  <c r="A564" i="28"/>
  <c r="C563" i="28"/>
  <c r="C562" i="28"/>
  <c r="B541" i="28"/>
  <c r="H562" i="28"/>
  <c r="H563" i="28"/>
  <c r="B540" i="28"/>
  <c r="B535" i="28"/>
  <c r="A562" i="28"/>
  <c r="A563" i="28"/>
  <c r="H533" i="28"/>
  <c r="D533" i="28"/>
  <c r="C533" i="28"/>
  <c r="A533" i="28"/>
  <c r="H532" i="28"/>
  <c r="D532" i="28"/>
  <c r="C532" i="28"/>
  <c r="A532" i="28"/>
  <c r="H531" i="28"/>
  <c r="D531" i="28"/>
  <c r="C531" i="28"/>
  <c r="A531" i="28"/>
  <c r="E530" i="28"/>
  <c r="D530" i="28"/>
  <c r="A530" i="28"/>
  <c r="E529" i="28"/>
  <c r="D529" i="28"/>
  <c r="A529" i="28"/>
  <c r="E528" i="28"/>
  <c r="D528" i="28"/>
  <c r="A528" i="28"/>
  <c r="E527" i="28"/>
  <c r="D527" i="28"/>
  <c r="A527" i="28"/>
  <c r="E526" i="28"/>
  <c r="D526" i="28"/>
  <c r="A526" i="28"/>
  <c r="E525" i="28"/>
  <c r="D525" i="28"/>
  <c r="A525" i="28"/>
  <c r="E524" i="28"/>
  <c r="D524" i="28"/>
  <c r="A524" i="28"/>
  <c r="E523" i="28"/>
  <c r="D523" i="28"/>
  <c r="A523" i="28"/>
  <c r="E522" i="28"/>
  <c r="D522" i="28"/>
  <c r="A522" i="28"/>
  <c r="E521" i="28"/>
  <c r="D521" i="28"/>
  <c r="A521" i="28"/>
  <c r="E520" i="28"/>
  <c r="D520" i="28"/>
  <c r="A520" i="28"/>
  <c r="E519" i="28"/>
  <c r="D519" i="28"/>
  <c r="A519" i="28"/>
  <c r="E518" i="28"/>
  <c r="D518" i="28"/>
  <c r="A518" i="28"/>
  <c r="E517" i="28"/>
  <c r="D517" i="28"/>
  <c r="A517" i="28"/>
  <c r="E516" i="28"/>
  <c r="D516" i="28"/>
  <c r="A516" i="28"/>
  <c r="E515" i="28"/>
  <c r="D515" i="28"/>
  <c r="A515" i="28"/>
  <c r="E514" i="28"/>
  <c r="D514" i="28"/>
  <c r="A514" i="28"/>
  <c r="E513" i="28"/>
  <c r="D513" i="28"/>
  <c r="A513" i="28"/>
  <c r="E512" i="28"/>
  <c r="D512" i="28"/>
  <c r="A512" i="28"/>
  <c r="E511" i="28"/>
  <c r="D511" i="28"/>
  <c r="A511" i="28"/>
  <c r="E510" i="28"/>
  <c r="D510" i="28"/>
  <c r="A510" i="28"/>
  <c r="E509" i="28"/>
  <c r="D509" i="28"/>
  <c r="A509" i="28"/>
  <c r="E508" i="28"/>
  <c r="D508" i="28"/>
  <c r="A508" i="28"/>
  <c r="E507" i="28"/>
  <c r="D507" i="28"/>
  <c r="A507" i="28"/>
  <c r="E506" i="28"/>
  <c r="D506" i="28"/>
  <c r="A506" i="28"/>
  <c r="E505" i="28"/>
  <c r="D505" i="28"/>
  <c r="A505" i="28"/>
  <c r="E504" i="28"/>
  <c r="D504" i="28"/>
  <c r="A504" i="28"/>
  <c r="E503" i="28"/>
  <c r="D503" i="28"/>
  <c r="A503" i="28"/>
  <c r="E502" i="28"/>
  <c r="D502" i="28"/>
  <c r="A502" i="28"/>
  <c r="E501" i="28"/>
  <c r="D501" i="28"/>
  <c r="A501" i="28"/>
  <c r="E500" i="28"/>
  <c r="D500" i="28"/>
  <c r="A500" i="28"/>
  <c r="E499" i="28"/>
  <c r="D499" i="28"/>
  <c r="A499" i="28"/>
  <c r="E498" i="28"/>
  <c r="D498" i="28"/>
  <c r="A498" i="28"/>
  <c r="E497" i="28"/>
  <c r="D497" i="28"/>
  <c r="A497" i="28"/>
  <c r="E496" i="28"/>
  <c r="D496" i="28"/>
  <c r="A496" i="28"/>
  <c r="E495" i="28"/>
  <c r="D495" i="28"/>
  <c r="A495" i="28"/>
  <c r="E494" i="28"/>
  <c r="D494" i="28"/>
  <c r="A494" i="28"/>
  <c r="E493" i="28"/>
  <c r="D493" i="28"/>
  <c r="A493" i="28"/>
  <c r="E492" i="28"/>
  <c r="D492" i="28"/>
  <c r="A492" i="28"/>
  <c r="E491" i="28"/>
  <c r="D491" i="28"/>
  <c r="A491" i="28"/>
  <c r="H490" i="28"/>
  <c r="D490" i="28"/>
  <c r="C490" i="28"/>
  <c r="A490" i="28"/>
  <c r="H489" i="28"/>
  <c r="D489" i="28"/>
  <c r="C489" i="28"/>
  <c r="A489" i="28"/>
  <c r="H488" i="28"/>
  <c r="D488" i="28"/>
  <c r="C488" i="28"/>
  <c r="A488" i="28"/>
  <c r="H487" i="28"/>
  <c r="D487" i="28"/>
  <c r="C487" i="28"/>
  <c r="A487" i="28"/>
  <c r="C486" i="28"/>
  <c r="C485" i="28"/>
  <c r="B464" i="28"/>
  <c r="H485" i="28"/>
  <c r="H486" i="28"/>
  <c r="B463" i="28"/>
  <c r="B458" i="28"/>
  <c r="A485" i="28"/>
  <c r="A486" i="28"/>
  <c r="H456" i="28"/>
  <c r="D456" i="28"/>
  <c r="C456" i="28"/>
  <c r="A456" i="28"/>
  <c r="H455" i="28"/>
  <c r="D455" i="28"/>
  <c r="C455" i="28"/>
  <c r="A455" i="28"/>
  <c r="H454" i="28"/>
  <c r="D454" i="28"/>
  <c r="C454" i="28"/>
  <c r="A454" i="28"/>
  <c r="E453" i="28"/>
  <c r="D453" i="28"/>
  <c r="A453" i="28"/>
  <c r="E452" i="28"/>
  <c r="D452" i="28"/>
  <c r="A452" i="28"/>
  <c r="E451" i="28"/>
  <c r="D451" i="28"/>
  <c r="A451" i="28"/>
  <c r="E450" i="28"/>
  <c r="D450" i="28"/>
  <c r="A450" i="28"/>
  <c r="E449" i="28"/>
  <c r="D449" i="28"/>
  <c r="A449" i="28"/>
  <c r="E448" i="28"/>
  <c r="D448" i="28"/>
  <c r="A448" i="28"/>
  <c r="E447" i="28"/>
  <c r="D447" i="28"/>
  <c r="A447" i="28"/>
  <c r="E446" i="28"/>
  <c r="D446" i="28"/>
  <c r="A446" i="28"/>
  <c r="E445" i="28"/>
  <c r="D445" i="28"/>
  <c r="A445" i="28"/>
  <c r="E444" i="28"/>
  <c r="D444" i="28"/>
  <c r="A444" i="28"/>
  <c r="E443" i="28"/>
  <c r="D443" i="28"/>
  <c r="A443" i="28"/>
  <c r="E442" i="28"/>
  <c r="D442" i="28"/>
  <c r="A442" i="28"/>
  <c r="E441" i="28"/>
  <c r="D441" i="28"/>
  <c r="A441" i="28"/>
  <c r="E440" i="28"/>
  <c r="D440" i="28"/>
  <c r="A440" i="28"/>
  <c r="E439" i="28"/>
  <c r="D439" i="28"/>
  <c r="A439" i="28"/>
  <c r="E438" i="28"/>
  <c r="D438" i="28"/>
  <c r="A438" i="28"/>
  <c r="E437" i="28"/>
  <c r="D437" i="28"/>
  <c r="A437" i="28"/>
  <c r="E436" i="28"/>
  <c r="D436" i="28"/>
  <c r="A436" i="28"/>
  <c r="E435" i="28"/>
  <c r="D435" i="28"/>
  <c r="A435" i="28"/>
  <c r="E434" i="28"/>
  <c r="D434" i="28"/>
  <c r="A434" i="28"/>
  <c r="E433" i="28"/>
  <c r="D433" i="28"/>
  <c r="A433" i="28"/>
  <c r="E432" i="28"/>
  <c r="D432" i="28"/>
  <c r="A432" i="28"/>
  <c r="E431" i="28"/>
  <c r="D431" i="28"/>
  <c r="A431" i="28"/>
  <c r="E430" i="28"/>
  <c r="D430" i="28"/>
  <c r="A430" i="28"/>
  <c r="E429" i="28"/>
  <c r="D429" i="28"/>
  <c r="A429" i="28"/>
  <c r="E428" i="28"/>
  <c r="D428" i="28"/>
  <c r="A428" i="28"/>
  <c r="E427" i="28"/>
  <c r="D427" i="28"/>
  <c r="A427" i="28"/>
  <c r="E426" i="28"/>
  <c r="D426" i="28"/>
  <c r="A426" i="28"/>
  <c r="E425" i="28"/>
  <c r="D425" i="28"/>
  <c r="A425" i="28"/>
  <c r="E424" i="28"/>
  <c r="D424" i="28"/>
  <c r="A424" i="28"/>
  <c r="E423" i="28"/>
  <c r="D423" i="28"/>
  <c r="A423" i="28"/>
  <c r="E422" i="28"/>
  <c r="D422" i="28"/>
  <c r="A422" i="28"/>
  <c r="E421" i="28"/>
  <c r="D421" i="28"/>
  <c r="A421" i="28"/>
  <c r="E420" i="28"/>
  <c r="D420" i="28"/>
  <c r="A420" i="28"/>
  <c r="E419" i="28"/>
  <c r="D419" i="28"/>
  <c r="A419" i="28"/>
  <c r="E418" i="28"/>
  <c r="D418" i="28"/>
  <c r="A418" i="28"/>
  <c r="E417" i="28"/>
  <c r="D417" i="28"/>
  <c r="A417" i="28"/>
  <c r="E416" i="28"/>
  <c r="D416" i="28"/>
  <c r="A416" i="28"/>
  <c r="E415" i="28"/>
  <c r="D415" i="28"/>
  <c r="A415" i="28"/>
  <c r="E414" i="28"/>
  <c r="D414" i="28"/>
  <c r="A414" i="28"/>
  <c r="H413" i="28"/>
  <c r="D413" i="28"/>
  <c r="C413" i="28"/>
  <c r="A413" i="28"/>
  <c r="H412" i="28"/>
  <c r="D412" i="28"/>
  <c r="C412" i="28"/>
  <c r="A412" i="28"/>
  <c r="H411" i="28"/>
  <c r="D411" i="28"/>
  <c r="C411" i="28"/>
  <c r="A411" i="28"/>
  <c r="H410" i="28"/>
  <c r="D410" i="28"/>
  <c r="C410" i="28"/>
  <c r="A410" i="28"/>
  <c r="C409" i="28"/>
  <c r="C408" i="28"/>
  <c r="A408" i="28"/>
  <c r="A409" i="28"/>
  <c r="B387" i="28"/>
  <c r="H408" i="28"/>
  <c r="H409" i="28"/>
  <c r="B386" i="28"/>
  <c r="B381" i="28"/>
  <c r="H379" i="28"/>
  <c r="D379" i="28"/>
  <c r="C379" i="28"/>
  <c r="A379" i="28"/>
  <c r="H378" i="28"/>
  <c r="D378" i="28"/>
  <c r="C378" i="28"/>
  <c r="A378" i="28"/>
  <c r="H377" i="28"/>
  <c r="D377" i="28"/>
  <c r="C377" i="28"/>
  <c r="A377" i="28"/>
  <c r="E376" i="28"/>
  <c r="D376" i="28"/>
  <c r="A376" i="28"/>
  <c r="E375" i="28"/>
  <c r="D375" i="28"/>
  <c r="A375" i="28"/>
  <c r="E374" i="28"/>
  <c r="D374" i="28"/>
  <c r="A374" i="28"/>
  <c r="E373" i="28"/>
  <c r="D373" i="28"/>
  <c r="A373" i="28"/>
  <c r="E372" i="28"/>
  <c r="D372" i="28"/>
  <c r="A372" i="28"/>
  <c r="E371" i="28"/>
  <c r="D371" i="28"/>
  <c r="A371" i="28"/>
  <c r="E370" i="28"/>
  <c r="D370" i="28"/>
  <c r="A370" i="28"/>
  <c r="E369" i="28"/>
  <c r="D369" i="28"/>
  <c r="A369" i="28"/>
  <c r="E368" i="28"/>
  <c r="D368" i="28"/>
  <c r="A368" i="28"/>
  <c r="E367" i="28"/>
  <c r="D367" i="28"/>
  <c r="A367" i="28"/>
  <c r="E366" i="28"/>
  <c r="D366" i="28"/>
  <c r="A366" i="28"/>
  <c r="E365" i="28"/>
  <c r="D365" i="28"/>
  <c r="A365" i="28"/>
  <c r="E364" i="28"/>
  <c r="D364" i="28"/>
  <c r="A364" i="28"/>
  <c r="E363" i="28"/>
  <c r="D363" i="28"/>
  <c r="A363" i="28"/>
  <c r="E362" i="28"/>
  <c r="D362" i="28"/>
  <c r="A362" i="28"/>
  <c r="E361" i="28"/>
  <c r="D361" i="28"/>
  <c r="A361" i="28"/>
  <c r="E360" i="28"/>
  <c r="D360" i="28"/>
  <c r="A360" i="28"/>
  <c r="E359" i="28"/>
  <c r="D359" i="28"/>
  <c r="A359" i="28"/>
  <c r="E358" i="28"/>
  <c r="D358" i="28"/>
  <c r="A358" i="28"/>
  <c r="E357" i="28"/>
  <c r="D357" i="28"/>
  <c r="A357" i="28"/>
  <c r="E356" i="28"/>
  <c r="D356" i="28"/>
  <c r="A356" i="28"/>
  <c r="E355" i="28"/>
  <c r="D355" i="28"/>
  <c r="A355" i="28"/>
  <c r="E354" i="28"/>
  <c r="D354" i="28"/>
  <c r="A354" i="28"/>
  <c r="E353" i="28"/>
  <c r="D353" i="28"/>
  <c r="A353" i="28"/>
  <c r="E352" i="28"/>
  <c r="D352" i="28"/>
  <c r="A352" i="28"/>
  <c r="E351" i="28"/>
  <c r="D351" i="28"/>
  <c r="A351" i="28"/>
  <c r="E350" i="28"/>
  <c r="D350" i="28"/>
  <c r="A350" i="28"/>
  <c r="E349" i="28"/>
  <c r="D349" i="28"/>
  <c r="A349" i="28"/>
  <c r="E348" i="28"/>
  <c r="D348" i="28"/>
  <c r="A348" i="28"/>
  <c r="E347" i="28"/>
  <c r="D347" i="28"/>
  <c r="A347" i="28"/>
  <c r="E346" i="28"/>
  <c r="D346" i="28"/>
  <c r="A346" i="28"/>
  <c r="E345" i="28"/>
  <c r="D345" i="28"/>
  <c r="A345" i="28"/>
  <c r="E344" i="28"/>
  <c r="D344" i="28"/>
  <c r="A344" i="28"/>
  <c r="E343" i="28"/>
  <c r="D343" i="28"/>
  <c r="A343" i="28"/>
  <c r="E342" i="28"/>
  <c r="D342" i="28"/>
  <c r="A342" i="28"/>
  <c r="E341" i="28"/>
  <c r="D341" i="28"/>
  <c r="A341" i="28"/>
  <c r="E340" i="28"/>
  <c r="D340" i="28"/>
  <c r="A340" i="28"/>
  <c r="E339" i="28"/>
  <c r="D339" i="28"/>
  <c r="A339" i="28"/>
  <c r="E338" i="28"/>
  <c r="D338" i="28"/>
  <c r="A338" i="28"/>
  <c r="E337" i="28"/>
  <c r="D337" i="28"/>
  <c r="A337" i="28"/>
  <c r="H336" i="28"/>
  <c r="D336" i="28"/>
  <c r="C336" i="28"/>
  <c r="A336" i="28"/>
  <c r="H335" i="28"/>
  <c r="D335" i="28"/>
  <c r="C335" i="28"/>
  <c r="A335" i="28"/>
  <c r="H334" i="28"/>
  <c r="D334" i="28"/>
  <c r="C334" i="28"/>
  <c r="A334" i="28"/>
  <c r="H333" i="28"/>
  <c r="D333" i="28"/>
  <c r="C333" i="28"/>
  <c r="A333" i="28"/>
  <c r="C332" i="28"/>
  <c r="C331" i="28"/>
  <c r="B310" i="28"/>
  <c r="H331" i="28"/>
  <c r="H332" i="28"/>
  <c r="B309" i="28"/>
  <c r="B304" i="28"/>
  <c r="A331" i="28"/>
  <c r="A332" i="28"/>
  <c r="H302" i="28"/>
  <c r="D302" i="28"/>
  <c r="C302" i="28"/>
  <c r="A302" i="28"/>
  <c r="H301" i="28"/>
  <c r="D301" i="28"/>
  <c r="C301" i="28"/>
  <c r="A301" i="28"/>
  <c r="H300" i="28"/>
  <c r="D300" i="28"/>
  <c r="C300" i="28"/>
  <c r="A300" i="28"/>
  <c r="E299" i="28"/>
  <c r="D299" i="28"/>
  <c r="A299" i="28"/>
  <c r="E298" i="28"/>
  <c r="D298" i="28"/>
  <c r="A298" i="28"/>
  <c r="E297" i="28"/>
  <c r="D297" i="28"/>
  <c r="A297" i="28"/>
  <c r="E296" i="28"/>
  <c r="D296" i="28"/>
  <c r="A296" i="28"/>
  <c r="E295" i="28"/>
  <c r="D295" i="28"/>
  <c r="A295" i="28"/>
  <c r="E294" i="28"/>
  <c r="D294" i="28"/>
  <c r="A294" i="28"/>
  <c r="E293" i="28"/>
  <c r="D293" i="28"/>
  <c r="A293" i="28"/>
  <c r="E292" i="28"/>
  <c r="D292" i="28"/>
  <c r="A292" i="28"/>
  <c r="E291" i="28"/>
  <c r="D291" i="28"/>
  <c r="A291" i="28"/>
  <c r="E290" i="28"/>
  <c r="D290" i="28"/>
  <c r="A290" i="28"/>
  <c r="E289" i="28"/>
  <c r="D289" i="28"/>
  <c r="A289" i="28"/>
  <c r="E288" i="28"/>
  <c r="D288" i="28"/>
  <c r="A288" i="28"/>
  <c r="E287" i="28"/>
  <c r="D287" i="28"/>
  <c r="A287" i="28"/>
  <c r="E286" i="28"/>
  <c r="D286" i="28"/>
  <c r="A286" i="28"/>
  <c r="E285" i="28"/>
  <c r="D285" i="28"/>
  <c r="A285" i="28"/>
  <c r="E284" i="28"/>
  <c r="D284" i="28"/>
  <c r="A284" i="28"/>
  <c r="E283" i="28"/>
  <c r="D283" i="28"/>
  <c r="A283" i="28"/>
  <c r="E282" i="28"/>
  <c r="D282" i="28"/>
  <c r="A282" i="28"/>
  <c r="E281" i="28"/>
  <c r="D281" i="28"/>
  <c r="A281" i="28"/>
  <c r="E280" i="28"/>
  <c r="D280" i="28"/>
  <c r="A280" i="28"/>
  <c r="E279" i="28"/>
  <c r="D279" i="28"/>
  <c r="A279" i="28"/>
  <c r="E278" i="28"/>
  <c r="D278" i="28"/>
  <c r="A278" i="28"/>
  <c r="E277" i="28"/>
  <c r="D277" i="28"/>
  <c r="A277" i="28"/>
  <c r="E276" i="28"/>
  <c r="D276" i="28"/>
  <c r="A276" i="28"/>
  <c r="E275" i="28"/>
  <c r="D275" i="28"/>
  <c r="A275" i="28"/>
  <c r="E274" i="28"/>
  <c r="D274" i="28"/>
  <c r="A274" i="28"/>
  <c r="E273" i="28"/>
  <c r="D273" i="28"/>
  <c r="A273" i="28"/>
  <c r="E272" i="28"/>
  <c r="D272" i="28"/>
  <c r="A272" i="28"/>
  <c r="E271" i="28"/>
  <c r="D271" i="28"/>
  <c r="A271" i="28"/>
  <c r="E270" i="28"/>
  <c r="D270" i="28"/>
  <c r="A270" i="28"/>
  <c r="E269" i="28"/>
  <c r="D269" i="28"/>
  <c r="A269" i="28"/>
  <c r="E268" i="28"/>
  <c r="D268" i="28"/>
  <c r="A268" i="28"/>
  <c r="E267" i="28"/>
  <c r="D267" i="28"/>
  <c r="A267" i="28"/>
  <c r="E266" i="28"/>
  <c r="D266" i="28"/>
  <c r="A266" i="28"/>
  <c r="E265" i="28"/>
  <c r="D265" i="28"/>
  <c r="A265" i="28"/>
  <c r="E264" i="28"/>
  <c r="D264" i="28"/>
  <c r="A264" i="28"/>
  <c r="E263" i="28"/>
  <c r="D263" i="28"/>
  <c r="A263" i="28"/>
  <c r="E262" i="28"/>
  <c r="D262" i="28"/>
  <c r="A262" i="28"/>
  <c r="E261" i="28"/>
  <c r="D261" i="28"/>
  <c r="A261" i="28"/>
  <c r="E260" i="28"/>
  <c r="D260" i="28"/>
  <c r="A260" i="28"/>
  <c r="H259" i="28"/>
  <c r="D259" i="28"/>
  <c r="C259" i="28"/>
  <c r="A259" i="28"/>
  <c r="H258" i="28"/>
  <c r="D258" i="28"/>
  <c r="C258" i="28"/>
  <c r="A258" i="28"/>
  <c r="H257" i="28"/>
  <c r="D257" i="28"/>
  <c r="C257" i="28"/>
  <c r="A257" i="28"/>
  <c r="H256" i="28"/>
  <c r="D256" i="28"/>
  <c r="C256" i="28"/>
  <c r="A256" i="28"/>
  <c r="C255" i="28"/>
  <c r="C254" i="28"/>
  <c r="B233" i="28"/>
  <c r="H254" i="28"/>
  <c r="H255" i="28"/>
  <c r="B232" i="28"/>
  <c r="B227" i="28"/>
  <c r="A254" i="28"/>
  <c r="A255" i="28"/>
  <c r="H223" i="28"/>
  <c r="D223" i="28"/>
  <c r="C223" i="28"/>
  <c r="A223" i="28"/>
  <c r="H222" i="28"/>
  <c r="D222" i="28"/>
  <c r="C222" i="28"/>
  <c r="A222" i="28"/>
  <c r="H221" i="28"/>
  <c r="D221" i="28"/>
  <c r="C221" i="28"/>
  <c r="A221" i="28"/>
  <c r="H220" i="28"/>
  <c r="D220" i="28"/>
  <c r="C220" i="28"/>
  <c r="A220" i="28"/>
  <c r="H219" i="28"/>
  <c r="D219" i="28"/>
  <c r="C219" i="28"/>
  <c r="B195" i="28"/>
  <c r="B194" i="28"/>
  <c r="B189" i="28"/>
  <c r="A219" i="28"/>
  <c r="H185" i="28"/>
  <c r="D185" i="28"/>
  <c r="C185" i="28"/>
  <c r="A185" i="28"/>
  <c r="H184" i="28"/>
  <c r="D184" i="28"/>
  <c r="C184" i="28"/>
  <c r="A184" i="28"/>
  <c r="H183" i="28"/>
  <c r="D183" i="28"/>
  <c r="C183" i="28"/>
  <c r="A183" i="28"/>
  <c r="H182" i="28"/>
  <c r="D182" i="28"/>
  <c r="C182" i="28"/>
  <c r="A182" i="28"/>
  <c r="H181" i="28"/>
  <c r="D181" i="28"/>
  <c r="C181" i="28"/>
  <c r="B157" i="28"/>
  <c r="B156" i="28"/>
  <c r="B151" i="28"/>
  <c r="A181" i="28"/>
  <c r="H147" i="28"/>
  <c r="D147" i="28"/>
  <c r="C147" i="28"/>
  <c r="A147" i="28"/>
  <c r="H146" i="28"/>
  <c r="D146" i="28"/>
  <c r="C146" i="28"/>
  <c r="A146" i="28"/>
  <c r="H145" i="28"/>
  <c r="D145" i="28"/>
  <c r="C145" i="28"/>
  <c r="A145" i="28"/>
  <c r="H144" i="28"/>
  <c r="D144" i="28"/>
  <c r="C144" i="28"/>
  <c r="A144" i="28"/>
  <c r="H143" i="28"/>
  <c r="D143" i="28"/>
  <c r="C143" i="28"/>
  <c r="B119" i="28"/>
  <c r="B118" i="28"/>
  <c r="B113" i="28"/>
  <c r="A143" i="28"/>
  <c r="H109" i="28"/>
  <c r="D109" i="28"/>
  <c r="C109" i="28"/>
  <c r="A109" i="28"/>
  <c r="H108" i="28"/>
  <c r="D108" i="28"/>
  <c r="C108" i="28"/>
  <c r="A108" i="28"/>
  <c r="H107" i="28"/>
  <c r="D107" i="28"/>
  <c r="C107" i="28"/>
  <c r="A107" i="28"/>
  <c r="H106" i="28"/>
  <c r="D106" i="28"/>
  <c r="C106" i="28"/>
  <c r="A106" i="28"/>
  <c r="H105" i="28"/>
  <c r="D105" i="28"/>
  <c r="C105" i="28"/>
  <c r="B81" i="28"/>
  <c r="B80" i="28"/>
  <c r="B75" i="28"/>
  <c r="A105" i="28"/>
  <c r="H71" i="28"/>
  <c r="D71" i="28"/>
  <c r="C71" i="28"/>
  <c r="A71" i="28"/>
  <c r="H70" i="28"/>
  <c r="D70" i="28"/>
  <c r="C70" i="28"/>
  <c r="A70" i="28"/>
  <c r="H69" i="28"/>
  <c r="D69" i="28"/>
  <c r="C69" i="28"/>
  <c r="A69" i="28"/>
  <c r="H68" i="28"/>
  <c r="D68" i="28"/>
  <c r="C68" i="28"/>
  <c r="B44" i="28"/>
  <c r="B43" i="28"/>
  <c r="B38" i="28"/>
  <c r="A68" i="28"/>
  <c r="H34" i="28"/>
  <c r="D34" i="28"/>
  <c r="C34" i="28"/>
  <c r="A34" i="28"/>
  <c r="H33" i="28"/>
  <c r="D33" i="28"/>
  <c r="C33" i="28"/>
  <c r="A33" i="28"/>
  <c r="H32" i="28"/>
  <c r="D32" i="28"/>
  <c r="C32" i="28"/>
  <c r="A32" i="28"/>
  <c r="H31" i="28"/>
  <c r="D31" i="28"/>
  <c r="C31" i="28"/>
  <c r="B7" i="28"/>
  <c r="B6" i="28"/>
  <c r="B1" i="28"/>
  <c r="A31" i="28"/>
  <c r="R172" i="7"/>
  <c r="O172" i="7"/>
  <c r="M172" i="7"/>
  <c r="K172" i="7"/>
  <c r="G172" i="7"/>
  <c r="F172" i="7"/>
  <c r="D172" i="7"/>
  <c r="C172" i="7"/>
  <c r="B172" i="7"/>
  <c r="R171" i="7"/>
  <c r="O171" i="7"/>
  <c r="M171" i="7"/>
  <c r="K171" i="7"/>
  <c r="G171" i="7"/>
  <c r="F171" i="7"/>
  <c r="D171" i="7"/>
  <c r="C171" i="7"/>
  <c r="B171" i="7"/>
  <c r="R170" i="7"/>
  <c r="O170" i="7"/>
  <c r="M170" i="7"/>
  <c r="K170" i="7"/>
  <c r="G170" i="7"/>
  <c r="F170" i="7"/>
  <c r="D170" i="7"/>
  <c r="C170" i="7"/>
  <c r="B170" i="7"/>
  <c r="R169" i="7"/>
  <c r="O169" i="7"/>
  <c r="M169" i="7"/>
  <c r="K169" i="7"/>
  <c r="G169" i="7"/>
  <c r="F169" i="7"/>
  <c r="D169" i="7"/>
  <c r="C169" i="7"/>
  <c r="B169" i="7"/>
  <c r="R168" i="7"/>
  <c r="O168" i="7"/>
  <c r="M168" i="7"/>
  <c r="K168" i="7"/>
  <c r="G168" i="7"/>
  <c r="F168" i="7"/>
  <c r="D168" i="7"/>
  <c r="C168" i="7"/>
  <c r="B168" i="7"/>
  <c r="R167" i="7"/>
  <c r="O167" i="7"/>
  <c r="M167" i="7"/>
  <c r="K167" i="7"/>
  <c r="G167" i="7"/>
  <c r="F167" i="7"/>
  <c r="D167" i="7"/>
  <c r="C167" i="7"/>
  <c r="B167" i="7"/>
  <c r="R182" i="7"/>
  <c r="O182" i="7"/>
  <c r="M182" i="7"/>
  <c r="K182" i="7"/>
  <c r="G182" i="7"/>
  <c r="F182" i="7"/>
  <c r="C182" i="7"/>
  <c r="R181" i="7"/>
  <c r="O181" i="7"/>
  <c r="M181" i="7"/>
  <c r="K181" i="7"/>
  <c r="G181" i="7"/>
  <c r="F181" i="7"/>
  <c r="C181" i="7"/>
  <c r="R180" i="7"/>
  <c r="O180" i="7"/>
  <c r="M180" i="7"/>
  <c r="K180" i="7"/>
  <c r="G180" i="7"/>
  <c r="F180" i="7"/>
  <c r="C180" i="7"/>
  <c r="R179" i="7"/>
  <c r="O179" i="7"/>
  <c r="M179" i="7"/>
  <c r="K179" i="7"/>
  <c r="G179" i="7"/>
  <c r="F179" i="7"/>
  <c r="C179" i="7"/>
  <c r="AR38" i="1"/>
  <c r="AO38" i="1"/>
  <c r="AK38" i="1"/>
  <c r="AF38" i="1"/>
  <c r="AG38" i="1" s="1"/>
  <c r="AC38" i="1"/>
  <c r="AP38" i="1" s="1"/>
  <c r="Z38" i="1"/>
  <c r="U38" i="1"/>
  <c r="AN38" i="1" s="1"/>
  <c r="L38" i="1"/>
  <c r="A38" i="1"/>
  <c r="AR37" i="1"/>
  <c r="AO37" i="1"/>
  <c r="AK37" i="1"/>
  <c r="AF37" i="1"/>
  <c r="AH37" i="1" s="1"/>
  <c r="AC37" i="1"/>
  <c r="AP37" i="1" s="1"/>
  <c r="Z37" i="1"/>
  <c r="U37" i="1"/>
  <c r="AN37" i="1" s="1"/>
  <c r="L37" i="1"/>
  <c r="A37" i="1"/>
  <c r="AR36" i="1"/>
  <c r="AO36" i="1"/>
  <c r="AK36" i="1"/>
  <c r="AF36" i="1"/>
  <c r="AC36" i="1"/>
  <c r="AP36" i="1" s="1"/>
  <c r="Z36" i="1"/>
  <c r="U36" i="1"/>
  <c r="L36" i="1"/>
  <c r="A36" i="1"/>
  <c r="AR35" i="1"/>
  <c r="AO35" i="1"/>
  <c r="AK35" i="1"/>
  <c r="AF35" i="1"/>
  <c r="AH35" i="1" s="1"/>
  <c r="AC35" i="1"/>
  <c r="AP35" i="1" s="1"/>
  <c r="Z35" i="1"/>
  <c r="U35" i="1"/>
  <c r="L35" i="1"/>
  <c r="A35" i="1"/>
  <c r="CH34" i="1"/>
  <c r="BZ34" i="1"/>
  <c r="BR34" i="1"/>
  <c r="BJ34" i="1"/>
  <c r="BB34" i="1"/>
  <c r="AT34" i="1"/>
  <c r="AR34" i="1"/>
  <c r="CG34" i="1"/>
  <c r="AO34" i="1"/>
  <c r="AK34" i="1"/>
  <c r="AF34" i="1"/>
  <c r="AG34" i="1" s="1"/>
  <c r="AC34" i="1"/>
  <c r="AP34" i="1" s="1"/>
  <c r="Z34" i="1"/>
  <c r="U34" i="1"/>
  <c r="L34" i="1"/>
  <c r="A34" i="1"/>
  <c r="CH33" i="1"/>
  <c r="BZ33" i="1"/>
  <c r="BR33" i="1"/>
  <c r="BJ33" i="1"/>
  <c r="BB33" i="1"/>
  <c r="AT33" i="1"/>
  <c r="AR33" i="1"/>
  <c r="CG33" i="1"/>
  <c r="AO33" i="1"/>
  <c r="AK33" i="1"/>
  <c r="AF33" i="1"/>
  <c r="AC33" i="1"/>
  <c r="AP33" i="1" s="1"/>
  <c r="Z33" i="1"/>
  <c r="U33" i="1"/>
  <c r="AN33" i="1" s="1"/>
  <c r="L33" i="1"/>
  <c r="AO48" i="1"/>
  <c r="AK48" i="1"/>
  <c r="AF48" i="1"/>
  <c r="AA48" i="1"/>
  <c r="AB48" i="1" s="1"/>
  <c r="AC48" i="1" s="1"/>
  <c r="AP48" i="1" s="1"/>
  <c r="Z48" i="1"/>
  <c r="AS48" i="1" s="1"/>
  <c r="U48" i="1"/>
  <c r="AN48" i="1" s="1"/>
  <c r="L48" i="1"/>
  <c r="A48" i="1"/>
  <c r="AO47" i="1"/>
  <c r="AK47" i="1"/>
  <c r="AF47" i="1"/>
  <c r="AA47" i="1"/>
  <c r="AB47" i="1" s="1"/>
  <c r="AC47" i="1" s="1"/>
  <c r="Z47" i="1"/>
  <c r="AS47" i="1" s="1"/>
  <c r="U47" i="1"/>
  <c r="AN47" i="1" s="1"/>
  <c r="L47" i="1"/>
  <c r="A47" i="1"/>
  <c r="AO46" i="1"/>
  <c r="AK46" i="1"/>
  <c r="AF46" i="1"/>
  <c r="AA46" i="1"/>
  <c r="AB46" i="1" s="1"/>
  <c r="AC46" i="1" s="1"/>
  <c r="Z46" i="1"/>
  <c r="AS46" i="1" s="1"/>
  <c r="U46" i="1"/>
  <c r="AN46" i="1" s="1"/>
  <c r="L46" i="1"/>
  <c r="A46" i="1"/>
  <c r="AS45" i="1"/>
  <c r="AO45" i="1"/>
  <c r="AK45" i="1"/>
  <c r="AF45" i="1"/>
  <c r="AA45" i="1"/>
  <c r="AB45" i="1" s="1"/>
  <c r="AC45" i="1" s="1"/>
  <c r="Z45" i="1"/>
  <c r="U45" i="1"/>
  <c r="AN45" i="1" s="1"/>
  <c r="L45" i="1"/>
  <c r="A45" i="1"/>
  <c r="CF35" i="1"/>
  <c r="BX35" i="1"/>
  <c r="BP35" i="1"/>
  <c r="BH35" i="1"/>
  <c r="AZ35" i="1"/>
  <c r="BY35" i="1"/>
  <c r="CE35" i="1"/>
  <c r="BW35" i="1"/>
  <c r="BO35" i="1"/>
  <c r="BG35" i="1"/>
  <c r="AY35" i="1"/>
  <c r="CD35" i="1"/>
  <c r="BV35" i="1"/>
  <c r="BN35" i="1"/>
  <c r="BF35" i="1"/>
  <c r="AX35" i="1"/>
  <c r="BA35" i="1"/>
  <c r="CC35" i="1"/>
  <c r="BU35" i="1"/>
  <c r="BM35" i="1"/>
  <c r="BE35" i="1"/>
  <c r="AW35" i="1"/>
  <c r="CB35" i="1"/>
  <c r="BT35" i="1"/>
  <c r="BL35" i="1"/>
  <c r="BD35" i="1"/>
  <c r="AV35" i="1"/>
  <c r="CA35" i="1"/>
  <c r="BS35" i="1"/>
  <c r="BK35" i="1"/>
  <c r="BC35" i="1"/>
  <c r="AU35" i="1"/>
  <c r="BQ35" i="1"/>
  <c r="CH35" i="1"/>
  <c r="BZ35" i="1"/>
  <c r="BR35" i="1"/>
  <c r="BJ35" i="1"/>
  <c r="BB35" i="1"/>
  <c r="AT35" i="1"/>
  <c r="CG35" i="1"/>
  <c r="BI35" i="1"/>
  <c r="AN35" i="1"/>
  <c r="AU33" i="1"/>
  <c r="BC33" i="1"/>
  <c r="BK33" i="1"/>
  <c r="BS33" i="1"/>
  <c r="CA33" i="1"/>
  <c r="AU34" i="1"/>
  <c r="BC34" i="1"/>
  <c r="BK34" i="1"/>
  <c r="BS34" i="1"/>
  <c r="CA34" i="1"/>
  <c r="AV33" i="1"/>
  <c r="BD33" i="1"/>
  <c r="BL33" i="1"/>
  <c r="BT33" i="1"/>
  <c r="CB33" i="1"/>
  <c r="AV34" i="1"/>
  <c r="BD34" i="1"/>
  <c r="BL34" i="1"/>
  <c r="BT34" i="1"/>
  <c r="CB34" i="1"/>
  <c r="AN34" i="1"/>
  <c r="AG33" i="1"/>
  <c r="AS33" i="1" s="1"/>
  <c r="AW33" i="1"/>
  <c r="BE33" i="1"/>
  <c r="BM33" i="1"/>
  <c r="BU33" i="1"/>
  <c r="CC33" i="1"/>
  <c r="AW34" i="1"/>
  <c r="BE34" i="1"/>
  <c r="BM34" i="1"/>
  <c r="BU34" i="1"/>
  <c r="CC34" i="1"/>
  <c r="AH33" i="1"/>
  <c r="AX33" i="1"/>
  <c r="BF33" i="1"/>
  <c r="BN33" i="1"/>
  <c r="BV33" i="1"/>
  <c r="CD33" i="1"/>
  <c r="AX34" i="1"/>
  <c r="BF34" i="1"/>
  <c r="BN34" i="1"/>
  <c r="BV34" i="1"/>
  <c r="CD34" i="1"/>
  <c r="AY33" i="1"/>
  <c r="BG33" i="1"/>
  <c r="BO33" i="1"/>
  <c r="BW33" i="1"/>
  <c r="CE33" i="1"/>
  <c r="AY34" i="1"/>
  <c r="BG34" i="1"/>
  <c r="BO34" i="1"/>
  <c r="BW34" i="1"/>
  <c r="CE34" i="1"/>
  <c r="AZ33" i="1"/>
  <c r="CF33" i="1"/>
  <c r="AZ34" i="1"/>
  <c r="BP34" i="1"/>
  <c r="CF34" i="1"/>
  <c r="AG37" i="1"/>
  <c r="AS37" i="1" s="1"/>
  <c r="BH33" i="1"/>
  <c r="BP33" i="1"/>
  <c r="BX33" i="1"/>
  <c r="BH34" i="1"/>
  <c r="BX34" i="1"/>
  <c r="BA33" i="1"/>
  <c r="BI33" i="1"/>
  <c r="BQ33" i="1"/>
  <c r="BY33" i="1"/>
  <c r="BA34" i="1"/>
  <c r="BI34" i="1"/>
  <c r="BQ34" i="1"/>
  <c r="BY34" i="1"/>
  <c r="CD37" i="1"/>
  <c r="BV37" i="1"/>
  <c r="BN37" i="1"/>
  <c r="BF37" i="1"/>
  <c r="AX37" i="1"/>
  <c r="CC37" i="1"/>
  <c r="BU37" i="1"/>
  <c r="BM37" i="1"/>
  <c r="BE37" i="1"/>
  <c r="AW37" i="1"/>
  <c r="CB37" i="1"/>
  <c r="BT37" i="1"/>
  <c r="BL37" i="1"/>
  <c r="BD37" i="1"/>
  <c r="AV37" i="1"/>
  <c r="CA37" i="1"/>
  <c r="BS37" i="1"/>
  <c r="BK37" i="1"/>
  <c r="BC37" i="1"/>
  <c r="AU37" i="1"/>
  <c r="CH37" i="1"/>
  <c r="BZ37" i="1"/>
  <c r="BR37" i="1"/>
  <c r="BJ37" i="1"/>
  <c r="BB37" i="1"/>
  <c r="AT37" i="1"/>
  <c r="CG37" i="1"/>
  <c r="BY37" i="1"/>
  <c r="BQ37" i="1"/>
  <c r="BI37" i="1"/>
  <c r="BA37" i="1"/>
  <c r="CF37" i="1"/>
  <c r="BX37" i="1"/>
  <c r="BP37" i="1"/>
  <c r="BH37" i="1"/>
  <c r="AZ37" i="1"/>
  <c r="CE37" i="1"/>
  <c r="BW37" i="1"/>
  <c r="BO37" i="1"/>
  <c r="BG37" i="1"/>
  <c r="AY37" i="1"/>
  <c r="CE36" i="1"/>
  <c r="BW36" i="1"/>
  <c r="BO36" i="1"/>
  <c r="BG36" i="1"/>
  <c r="AY36" i="1"/>
  <c r="BX36" i="1"/>
  <c r="CD36" i="1"/>
  <c r="BV36" i="1"/>
  <c r="BN36" i="1"/>
  <c r="BF36" i="1"/>
  <c r="AX36" i="1"/>
  <c r="CC36" i="1"/>
  <c r="BU36" i="1"/>
  <c r="BM36" i="1"/>
  <c r="BE36" i="1"/>
  <c r="AW36" i="1"/>
  <c r="BP36" i="1"/>
  <c r="CB36" i="1"/>
  <c r="BT36" i="1"/>
  <c r="BL36" i="1"/>
  <c r="BD36" i="1"/>
  <c r="AV36" i="1"/>
  <c r="CA36" i="1"/>
  <c r="BS36" i="1"/>
  <c r="BK36" i="1"/>
  <c r="BC36" i="1"/>
  <c r="AU36" i="1"/>
  <c r="CH36" i="1"/>
  <c r="BZ36" i="1"/>
  <c r="BR36" i="1"/>
  <c r="BJ36" i="1"/>
  <c r="BB36" i="1"/>
  <c r="AT36" i="1"/>
  <c r="CF36" i="1"/>
  <c r="AZ36" i="1"/>
  <c r="CG36" i="1"/>
  <c r="BY36" i="1"/>
  <c r="BQ36" i="1"/>
  <c r="BI36" i="1"/>
  <c r="BA36" i="1"/>
  <c r="BH36" i="1"/>
  <c r="B11" i="23"/>
  <c r="B14" i="23"/>
  <c r="D10" i="23"/>
  <c r="C10" i="23"/>
  <c r="A10" i="23"/>
  <c r="B3" i="23"/>
  <c r="H10" i="23"/>
  <c r="H466" i="11"/>
  <c r="D466" i="11"/>
  <c r="C466" i="11"/>
  <c r="A466" i="11"/>
  <c r="H429" i="11"/>
  <c r="D429" i="11"/>
  <c r="C429" i="11"/>
  <c r="A429" i="11"/>
  <c r="H392" i="11"/>
  <c r="D392" i="11"/>
  <c r="C392" i="11"/>
  <c r="A392" i="11"/>
  <c r="H355" i="11"/>
  <c r="D355" i="11"/>
  <c r="C355" i="11"/>
  <c r="A355" i="11"/>
  <c r="H318" i="11"/>
  <c r="D318" i="11"/>
  <c r="C318" i="11"/>
  <c r="A318" i="11"/>
  <c r="H281" i="11"/>
  <c r="D281" i="11"/>
  <c r="C281" i="11"/>
  <c r="A281" i="11"/>
  <c r="H244" i="11"/>
  <c r="D244" i="11"/>
  <c r="C244" i="11"/>
  <c r="A244" i="11"/>
  <c r="H207" i="11"/>
  <c r="D207" i="11"/>
  <c r="C207" i="11"/>
  <c r="A207" i="11"/>
  <c r="H466" i="10"/>
  <c r="D466" i="10"/>
  <c r="C466" i="10"/>
  <c r="A466" i="10"/>
  <c r="H429" i="10"/>
  <c r="D429" i="10"/>
  <c r="C429" i="10"/>
  <c r="A429" i="10"/>
  <c r="H392" i="10"/>
  <c r="D392" i="10"/>
  <c r="C392" i="10"/>
  <c r="A392" i="10"/>
  <c r="H355" i="10"/>
  <c r="D355" i="10"/>
  <c r="C355" i="10"/>
  <c r="A355" i="10"/>
  <c r="H318" i="10"/>
  <c r="D318" i="10"/>
  <c r="C318" i="10"/>
  <c r="A318" i="10"/>
  <c r="H281" i="10"/>
  <c r="D281" i="10"/>
  <c r="C281" i="10"/>
  <c r="A281" i="10"/>
  <c r="H244" i="10"/>
  <c r="D244" i="10"/>
  <c r="C244" i="10"/>
  <c r="A244" i="10"/>
  <c r="H207" i="10"/>
  <c r="D207" i="10"/>
  <c r="C207" i="10"/>
  <c r="A207" i="10"/>
  <c r="H467" i="9"/>
  <c r="D467" i="9"/>
  <c r="C467" i="9"/>
  <c r="A467" i="9"/>
  <c r="H430" i="9"/>
  <c r="D430" i="9"/>
  <c r="C430" i="9"/>
  <c r="A430" i="9"/>
  <c r="H393" i="9"/>
  <c r="D393" i="9"/>
  <c r="C393" i="9"/>
  <c r="A393" i="9"/>
  <c r="H356" i="9"/>
  <c r="D356" i="9"/>
  <c r="C356" i="9"/>
  <c r="A356" i="9"/>
  <c r="H319" i="9"/>
  <c r="D319" i="9"/>
  <c r="C319" i="9"/>
  <c r="A319" i="9"/>
  <c r="H282" i="9"/>
  <c r="D282" i="9"/>
  <c r="C282" i="9"/>
  <c r="A282" i="9"/>
  <c r="H245" i="9"/>
  <c r="D245" i="9"/>
  <c r="C245" i="9"/>
  <c r="A245" i="9"/>
  <c r="H208" i="9"/>
  <c r="D208" i="9"/>
  <c r="C208" i="9"/>
  <c r="A208" i="9"/>
  <c r="H279" i="8"/>
  <c r="D279" i="8"/>
  <c r="C279" i="8"/>
  <c r="A279" i="8"/>
  <c r="H244" i="8"/>
  <c r="D244" i="8"/>
  <c r="C244" i="8"/>
  <c r="A244" i="8"/>
  <c r="H209" i="8"/>
  <c r="D209" i="8"/>
  <c r="C209" i="8"/>
  <c r="A209" i="8"/>
  <c r="H174" i="8"/>
  <c r="D174" i="8"/>
  <c r="C174" i="8"/>
  <c r="A174" i="8"/>
  <c r="H641" i="13"/>
  <c r="D641" i="13"/>
  <c r="C641" i="13"/>
  <c r="A641" i="13"/>
  <c r="H564" i="13"/>
  <c r="D564" i="13"/>
  <c r="C564" i="13"/>
  <c r="A564" i="13"/>
  <c r="H487" i="13"/>
  <c r="D487" i="13"/>
  <c r="C487" i="13"/>
  <c r="A487" i="13"/>
  <c r="H410" i="13"/>
  <c r="D410" i="13"/>
  <c r="C410" i="13"/>
  <c r="A410" i="13"/>
  <c r="H333" i="13"/>
  <c r="D333" i="13"/>
  <c r="C333" i="13"/>
  <c r="A333" i="13"/>
  <c r="H256" i="13"/>
  <c r="D256" i="13"/>
  <c r="C256" i="13"/>
  <c r="A256" i="13"/>
  <c r="H477" i="15"/>
  <c r="D477" i="15"/>
  <c r="C477" i="15"/>
  <c r="A477" i="15"/>
  <c r="H439" i="15"/>
  <c r="D439" i="15"/>
  <c r="C439" i="15"/>
  <c r="A439" i="15"/>
  <c r="H401" i="15"/>
  <c r="D401" i="15"/>
  <c r="C401" i="15"/>
  <c r="A401" i="15"/>
  <c r="H363" i="15"/>
  <c r="D363" i="15"/>
  <c r="C363" i="15"/>
  <c r="A363" i="15"/>
  <c r="H325" i="15"/>
  <c r="D325" i="15"/>
  <c r="C325" i="15"/>
  <c r="A325" i="15"/>
  <c r="H287" i="15"/>
  <c r="D287" i="15"/>
  <c r="C287" i="15"/>
  <c r="A287" i="15"/>
  <c r="H249" i="15"/>
  <c r="D249" i="15"/>
  <c r="C249" i="15"/>
  <c r="A249" i="15"/>
  <c r="H211" i="15"/>
  <c r="D211" i="15"/>
  <c r="C211" i="15"/>
  <c r="A211" i="15"/>
  <c r="H641" i="14"/>
  <c r="D641" i="14"/>
  <c r="C641" i="14"/>
  <c r="A641" i="14"/>
  <c r="H564" i="14"/>
  <c r="D564" i="14"/>
  <c r="C564" i="14"/>
  <c r="A564" i="14"/>
  <c r="H487" i="14"/>
  <c r="D487" i="14"/>
  <c r="C487" i="14"/>
  <c r="A487" i="14"/>
  <c r="H410" i="14"/>
  <c r="D410" i="14"/>
  <c r="C410" i="14"/>
  <c r="A410" i="14"/>
  <c r="H333" i="14"/>
  <c r="D333" i="14"/>
  <c r="C333" i="14"/>
  <c r="A333" i="14"/>
  <c r="H256" i="14"/>
  <c r="D256" i="14"/>
  <c r="C256" i="14"/>
  <c r="A256" i="14"/>
  <c r="H641" i="18"/>
  <c r="D641" i="18"/>
  <c r="C641" i="18"/>
  <c r="A641" i="18"/>
  <c r="H564" i="18"/>
  <c r="D564" i="18"/>
  <c r="C564" i="18"/>
  <c r="A564" i="18"/>
  <c r="H487" i="18"/>
  <c r="D487" i="18"/>
  <c r="C487" i="18"/>
  <c r="A487" i="18"/>
  <c r="H410" i="18"/>
  <c r="D410" i="18"/>
  <c r="C410" i="18"/>
  <c r="A410" i="18"/>
  <c r="H333" i="18"/>
  <c r="D333" i="18"/>
  <c r="C333" i="18"/>
  <c r="A333" i="18"/>
  <c r="H256" i="18"/>
  <c r="D256" i="18"/>
  <c r="C256" i="18"/>
  <c r="A256" i="18"/>
  <c r="H641" i="17"/>
  <c r="D641" i="17"/>
  <c r="C641" i="17"/>
  <c r="A641" i="17"/>
  <c r="H564" i="17"/>
  <c r="D564" i="17"/>
  <c r="C564" i="17"/>
  <c r="A564" i="17"/>
  <c r="H487" i="17"/>
  <c r="D487" i="17"/>
  <c r="C487" i="17"/>
  <c r="A487" i="17"/>
  <c r="H410" i="17"/>
  <c r="D410" i="17"/>
  <c r="C410" i="17"/>
  <c r="A410" i="17"/>
  <c r="H333" i="17"/>
  <c r="D333" i="17"/>
  <c r="C333" i="17"/>
  <c r="A333" i="17"/>
  <c r="H256" i="17"/>
  <c r="D256" i="17"/>
  <c r="C256" i="17"/>
  <c r="A256" i="17"/>
  <c r="H644" i="16"/>
  <c r="D644" i="16"/>
  <c r="C644" i="16"/>
  <c r="A644" i="16"/>
  <c r="H567" i="16"/>
  <c r="D567" i="16"/>
  <c r="C567" i="16"/>
  <c r="A567" i="16"/>
  <c r="H490" i="16"/>
  <c r="D490" i="16"/>
  <c r="C490" i="16"/>
  <c r="A490" i="16"/>
  <c r="H413" i="16"/>
  <c r="D413" i="16"/>
  <c r="C413" i="16"/>
  <c r="A413" i="16"/>
  <c r="H336" i="16"/>
  <c r="D336" i="16"/>
  <c r="C336" i="16"/>
  <c r="A336" i="16"/>
  <c r="H259" i="16"/>
  <c r="D259" i="16"/>
  <c r="C259" i="16"/>
  <c r="A259" i="16"/>
  <c r="A258" i="16"/>
  <c r="C258" i="16"/>
  <c r="D258" i="16"/>
  <c r="H258" i="16"/>
  <c r="H481" i="22"/>
  <c r="D481" i="22"/>
  <c r="C481" i="22"/>
  <c r="A481" i="22"/>
  <c r="H443" i="22"/>
  <c r="D443" i="22"/>
  <c r="C443" i="22"/>
  <c r="A443" i="22"/>
  <c r="H405" i="22"/>
  <c r="D405" i="22"/>
  <c r="C405" i="22"/>
  <c r="A405" i="22"/>
  <c r="H367" i="22"/>
  <c r="D367" i="22"/>
  <c r="C367" i="22"/>
  <c r="A367" i="22"/>
  <c r="H328" i="22"/>
  <c r="D328" i="22"/>
  <c r="C328" i="22"/>
  <c r="A328" i="22"/>
  <c r="H290" i="22"/>
  <c r="D290" i="22"/>
  <c r="C290" i="22"/>
  <c r="A290" i="22"/>
  <c r="H252" i="22"/>
  <c r="D252" i="22"/>
  <c r="C252" i="22"/>
  <c r="A252" i="22"/>
  <c r="C214" i="22"/>
  <c r="D214" i="22"/>
  <c r="H214" i="22"/>
  <c r="A214" i="22"/>
  <c r="H480" i="21"/>
  <c r="D480" i="21"/>
  <c r="C480" i="21"/>
  <c r="A480" i="21"/>
  <c r="H442" i="21"/>
  <c r="D442" i="21"/>
  <c r="C442" i="21"/>
  <c r="A442" i="21"/>
  <c r="H404" i="21"/>
  <c r="D404" i="21"/>
  <c r="C404" i="21"/>
  <c r="A404" i="21"/>
  <c r="H366" i="21"/>
  <c r="D366" i="21"/>
  <c r="C366" i="21"/>
  <c r="A366" i="21"/>
  <c r="H328" i="21"/>
  <c r="D328" i="21"/>
  <c r="C328" i="21"/>
  <c r="A328" i="21"/>
  <c r="H290" i="21"/>
  <c r="D290" i="21"/>
  <c r="C290" i="21"/>
  <c r="A290" i="21"/>
  <c r="H252" i="21"/>
  <c r="D252" i="21"/>
  <c r="C252" i="21"/>
  <c r="A252" i="21"/>
  <c r="H214" i="21"/>
  <c r="D214" i="21"/>
  <c r="C214" i="21"/>
  <c r="A214" i="21"/>
  <c r="H480" i="20"/>
  <c r="D480" i="20"/>
  <c r="C480" i="20"/>
  <c r="A480" i="20"/>
  <c r="H442" i="20"/>
  <c r="D442" i="20"/>
  <c r="C442" i="20"/>
  <c r="A442" i="20"/>
  <c r="H404" i="20"/>
  <c r="D404" i="20"/>
  <c r="C404" i="20"/>
  <c r="A404" i="20"/>
  <c r="H366" i="20"/>
  <c r="D366" i="20"/>
  <c r="C366" i="20"/>
  <c r="A366" i="20"/>
  <c r="H328" i="20"/>
  <c r="D328" i="20"/>
  <c r="C328" i="20"/>
  <c r="A328" i="20"/>
  <c r="H290" i="20"/>
  <c r="D290" i="20"/>
  <c r="C290" i="20"/>
  <c r="A290" i="20"/>
  <c r="H252" i="20"/>
  <c r="D252" i="20"/>
  <c r="C252" i="20"/>
  <c r="A252" i="20"/>
  <c r="H214" i="20"/>
  <c r="D214" i="20"/>
  <c r="C214" i="20"/>
  <c r="A214" i="20"/>
  <c r="H480" i="19"/>
  <c r="D480" i="19"/>
  <c r="C480" i="19"/>
  <c r="A480" i="19"/>
  <c r="H442" i="19"/>
  <c r="D442" i="19"/>
  <c r="C442" i="19"/>
  <c r="A442" i="19"/>
  <c r="H404" i="19"/>
  <c r="D404" i="19"/>
  <c r="C404" i="19"/>
  <c r="A404" i="19"/>
  <c r="H366" i="19"/>
  <c r="D366" i="19"/>
  <c r="C366" i="19"/>
  <c r="A366" i="19"/>
  <c r="H328" i="19"/>
  <c r="D328" i="19"/>
  <c r="C328" i="19"/>
  <c r="A328" i="19"/>
  <c r="H290" i="19"/>
  <c r="D290" i="19"/>
  <c r="C290" i="19"/>
  <c r="A290" i="19"/>
  <c r="H252" i="19"/>
  <c r="D252" i="19"/>
  <c r="C252" i="19"/>
  <c r="A252" i="19"/>
  <c r="H214" i="19"/>
  <c r="D214" i="19"/>
  <c r="C214" i="19"/>
  <c r="A214" i="19"/>
  <c r="H318" i="6"/>
  <c r="D318" i="6"/>
  <c r="C318" i="6"/>
  <c r="A318" i="6"/>
  <c r="H281" i="6"/>
  <c r="D281" i="6"/>
  <c r="C281" i="6"/>
  <c r="A281" i="6"/>
  <c r="H244" i="6"/>
  <c r="D244" i="6"/>
  <c r="C244" i="6"/>
  <c r="A244" i="6"/>
  <c r="C207" i="6"/>
  <c r="D207" i="6"/>
  <c r="H207" i="6"/>
  <c r="A207" i="6"/>
  <c r="U80" i="1"/>
  <c r="U81" i="1"/>
  <c r="U82" i="1"/>
  <c r="U79" i="1"/>
  <c r="U72" i="1"/>
  <c r="U73" i="1"/>
  <c r="U74" i="1"/>
  <c r="U71" i="1"/>
  <c r="U76" i="1"/>
  <c r="AN76" i="1" s="1"/>
  <c r="U77" i="1"/>
  <c r="AN77" i="1" s="1"/>
  <c r="U78" i="1"/>
  <c r="U75" i="1"/>
  <c r="AN75" i="1" s="1"/>
  <c r="U84" i="1"/>
  <c r="U85" i="1"/>
  <c r="U86" i="1"/>
  <c r="U83" i="1"/>
  <c r="AN83" i="1" s="1"/>
  <c r="AO59" i="1"/>
  <c r="AO60" i="1"/>
  <c r="AO61" i="1"/>
  <c r="AO62" i="1"/>
  <c r="AO63" i="1"/>
  <c r="U59" i="1"/>
  <c r="AN59" i="1" s="1"/>
  <c r="U60" i="1"/>
  <c r="U61" i="1"/>
  <c r="U62" i="1"/>
  <c r="U63" i="1"/>
  <c r="AN63" i="1" s="1"/>
  <c r="U64" i="1"/>
  <c r="U65" i="1"/>
  <c r="AN65" i="1" s="1"/>
  <c r="U66" i="1"/>
  <c r="AN66" i="1" s="1"/>
  <c r="U67" i="1"/>
  <c r="U68" i="1"/>
  <c r="AN68" i="1" s="1"/>
  <c r="U69" i="1"/>
  <c r="U70" i="1"/>
  <c r="AN70" i="1" s="1"/>
  <c r="U54" i="1"/>
  <c r="U55" i="1"/>
  <c r="AN55" i="1" s="1"/>
  <c r="U56" i="1"/>
  <c r="AN56" i="1" s="1"/>
  <c r="U57" i="1"/>
  <c r="U58" i="1"/>
  <c r="U53" i="1"/>
  <c r="V56" i="1"/>
  <c r="AO56" i="1" s="1"/>
  <c r="V57" i="1"/>
  <c r="V58" i="1"/>
  <c r="V53" i="1"/>
  <c r="AO53" i="1" s="1"/>
  <c r="V54" i="1"/>
  <c r="AO54" i="1" s="1"/>
  <c r="B12" i="23"/>
  <c r="B13" i="23"/>
  <c r="AF27" i="1"/>
  <c r="AF28" i="1"/>
  <c r="AH28" i="1" s="1"/>
  <c r="AF29" i="1"/>
  <c r="AH29" i="1" s="1"/>
  <c r="AF30" i="1"/>
  <c r="AF31" i="1"/>
  <c r="AF32" i="1"/>
  <c r="AF39" i="1"/>
  <c r="AF40" i="1"/>
  <c r="AH40" i="1" s="1"/>
  <c r="AF41" i="1"/>
  <c r="AF42" i="1"/>
  <c r="AH42" i="1" s="1"/>
  <c r="AF43" i="1"/>
  <c r="AF44" i="1"/>
  <c r="AF49" i="1"/>
  <c r="AF50" i="1"/>
  <c r="AF51" i="1"/>
  <c r="AF52" i="1"/>
  <c r="AF53" i="1"/>
  <c r="AH53" i="1" s="1"/>
  <c r="AF54" i="1"/>
  <c r="AF55" i="1"/>
  <c r="AF56" i="1"/>
  <c r="AF57" i="1"/>
  <c r="AH57" i="1" s="1"/>
  <c r="AF58" i="1"/>
  <c r="AH58" i="1" s="1"/>
  <c r="AF59" i="1"/>
  <c r="AH59" i="1" s="1"/>
  <c r="AF60" i="1"/>
  <c r="AH60" i="1" s="1"/>
  <c r="AF61" i="1"/>
  <c r="AF62" i="1"/>
  <c r="AF63" i="1"/>
  <c r="AF64" i="1"/>
  <c r="AF65" i="1"/>
  <c r="AH65" i="1" s="1"/>
  <c r="AF66" i="1"/>
  <c r="AF67" i="1"/>
  <c r="AH67" i="1" s="1"/>
  <c r="AF68" i="1"/>
  <c r="AH68" i="1" s="1"/>
  <c r="AF69" i="1"/>
  <c r="AF70" i="1"/>
  <c r="Z49" i="1"/>
  <c r="Z50" i="1"/>
  <c r="Z51" i="1"/>
  <c r="Z52" i="1"/>
  <c r="AS52" i="1" s="1"/>
  <c r="E684" i="13"/>
  <c r="D684" i="13"/>
  <c r="A684" i="13"/>
  <c r="E683" i="13"/>
  <c r="D683" i="13"/>
  <c r="A683" i="13"/>
  <c r="E682" i="13"/>
  <c r="D682" i="13"/>
  <c r="A682" i="13"/>
  <c r="E681" i="13"/>
  <c r="D681" i="13"/>
  <c r="A681" i="13"/>
  <c r="E680" i="13"/>
  <c r="D680" i="13"/>
  <c r="A680" i="13"/>
  <c r="E679" i="13"/>
  <c r="D679" i="13"/>
  <c r="A679" i="13"/>
  <c r="E678" i="13"/>
  <c r="D678" i="13"/>
  <c r="A678" i="13"/>
  <c r="E677" i="13"/>
  <c r="D677" i="13"/>
  <c r="A677" i="13"/>
  <c r="E676" i="13"/>
  <c r="D676" i="13"/>
  <c r="A676" i="13"/>
  <c r="E675" i="13"/>
  <c r="D675" i="13"/>
  <c r="A675" i="13"/>
  <c r="E674" i="13"/>
  <c r="D674" i="13"/>
  <c r="A674" i="13"/>
  <c r="E673" i="13"/>
  <c r="D673" i="13"/>
  <c r="A673" i="13"/>
  <c r="E672" i="13"/>
  <c r="D672" i="13"/>
  <c r="A672" i="13"/>
  <c r="E671" i="13"/>
  <c r="D671" i="13"/>
  <c r="A671" i="13"/>
  <c r="E670" i="13"/>
  <c r="D670" i="13"/>
  <c r="A670" i="13"/>
  <c r="E669" i="13"/>
  <c r="D669" i="13"/>
  <c r="A669" i="13"/>
  <c r="E668" i="13"/>
  <c r="D668" i="13"/>
  <c r="A668" i="13"/>
  <c r="E667" i="13"/>
  <c r="D667" i="13"/>
  <c r="A667" i="13"/>
  <c r="E666" i="13"/>
  <c r="D666" i="13"/>
  <c r="A666" i="13"/>
  <c r="E665" i="13"/>
  <c r="D665" i="13"/>
  <c r="A665" i="13"/>
  <c r="E664" i="13"/>
  <c r="D664" i="13"/>
  <c r="A664" i="13"/>
  <c r="E663" i="13"/>
  <c r="D663" i="13"/>
  <c r="A663" i="13"/>
  <c r="E662" i="13"/>
  <c r="D662" i="13"/>
  <c r="A662" i="13"/>
  <c r="E661" i="13"/>
  <c r="D661" i="13"/>
  <c r="A661" i="13"/>
  <c r="E660" i="13"/>
  <c r="D660" i="13"/>
  <c r="A660" i="13"/>
  <c r="E659" i="13"/>
  <c r="D659" i="13"/>
  <c r="A659" i="13"/>
  <c r="E658" i="13"/>
  <c r="D658" i="13"/>
  <c r="A658" i="13"/>
  <c r="E657" i="13"/>
  <c r="D657" i="13"/>
  <c r="A657" i="13"/>
  <c r="E656" i="13"/>
  <c r="D656" i="13"/>
  <c r="A656" i="13"/>
  <c r="E655" i="13"/>
  <c r="D655" i="13"/>
  <c r="A655" i="13"/>
  <c r="E654" i="13"/>
  <c r="D654" i="13"/>
  <c r="A654" i="13"/>
  <c r="E607" i="13"/>
  <c r="D607" i="13"/>
  <c r="A607" i="13"/>
  <c r="E606" i="13"/>
  <c r="D606" i="13"/>
  <c r="A606" i="13"/>
  <c r="E605" i="13"/>
  <c r="D605" i="13"/>
  <c r="A605" i="13"/>
  <c r="E604" i="13"/>
  <c r="D604" i="13"/>
  <c r="A604" i="13"/>
  <c r="E603" i="13"/>
  <c r="D603" i="13"/>
  <c r="A603" i="13"/>
  <c r="E602" i="13"/>
  <c r="D602" i="13"/>
  <c r="A602" i="13"/>
  <c r="E601" i="13"/>
  <c r="D601" i="13"/>
  <c r="A601" i="13"/>
  <c r="E600" i="13"/>
  <c r="D600" i="13"/>
  <c r="A600" i="13"/>
  <c r="E599" i="13"/>
  <c r="D599" i="13"/>
  <c r="A599" i="13"/>
  <c r="E598" i="13"/>
  <c r="D598" i="13"/>
  <c r="A598" i="13"/>
  <c r="E597" i="13"/>
  <c r="D597" i="13"/>
  <c r="A597" i="13"/>
  <c r="E596" i="13"/>
  <c r="D596" i="13"/>
  <c r="A596" i="13"/>
  <c r="E595" i="13"/>
  <c r="D595" i="13"/>
  <c r="A595" i="13"/>
  <c r="E594" i="13"/>
  <c r="D594" i="13"/>
  <c r="A594" i="13"/>
  <c r="E593" i="13"/>
  <c r="D593" i="13"/>
  <c r="A593" i="13"/>
  <c r="E592" i="13"/>
  <c r="D592" i="13"/>
  <c r="A592" i="13"/>
  <c r="E591" i="13"/>
  <c r="D591" i="13"/>
  <c r="A591" i="13"/>
  <c r="E590" i="13"/>
  <c r="D590" i="13"/>
  <c r="A590" i="13"/>
  <c r="E589" i="13"/>
  <c r="D589" i="13"/>
  <c r="A589" i="13"/>
  <c r="E588" i="13"/>
  <c r="D588" i="13"/>
  <c r="A588" i="13"/>
  <c r="E587" i="13"/>
  <c r="D587" i="13"/>
  <c r="A587" i="13"/>
  <c r="E586" i="13"/>
  <c r="D586" i="13"/>
  <c r="A586" i="13"/>
  <c r="E585" i="13"/>
  <c r="D585" i="13"/>
  <c r="A585" i="13"/>
  <c r="E584" i="13"/>
  <c r="D584" i="13"/>
  <c r="A584" i="13"/>
  <c r="E583" i="13"/>
  <c r="D583" i="13"/>
  <c r="A583" i="13"/>
  <c r="E582" i="13"/>
  <c r="D582" i="13"/>
  <c r="A582" i="13"/>
  <c r="E581" i="13"/>
  <c r="D581" i="13"/>
  <c r="A581" i="13"/>
  <c r="E580" i="13"/>
  <c r="D580" i="13"/>
  <c r="A580" i="13"/>
  <c r="E579" i="13"/>
  <c r="D579" i="13"/>
  <c r="A579" i="13"/>
  <c r="E578" i="13"/>
  <c r="D578" i="13"/>
  <c r="A578" i="13"/>
  <c r="E577" i="13"/>
  <c r="D577" i="13"/>
  <c r="A577" i="13"/>
  <c r="E530" i="13"/>
  <c r="D530" i="13"/>
  <c r="A530" i="13"/>
  <c r="E529" i="13"/>
  <c r="D529" i="13"/>
  <c r="A529" i="13"/>
  <c r="E528" i="13"/>
  <c r="D528" i="13"/>
  <c r="A528" i="13"/>
  <c r="E527" i="13"/>
  <c r="D527" i="13"/>
  <c r="A527" i="13"/>
  <c r="E526" i="13"/>
  <c r="D526" i="13"/>
  <c r="A526" i="13"/>
  <c r="E525" i="13"/>
  <c r="D525" i="13"/>
  <c r="A525" i="13"/>
  <c r="E524" i="13"/>
  <c r="D524" i="13"/>
  <c r="A524" i="13"/>
  <c r="E523" i="13"/>
  <c r="D523" i="13"/>
  <c r="A523" i="13"/>
  <c r="E522" i="13"/>
  <c r="D522" i="13"/>
  <c r="A522" i="13"/>
  <c r="E521" i="13"/>
  <c r="D521" i="13"/>
  <c r="A521" i="13"/>
  <c r="E520" i="13"/>
  <c r="D520" i="13"/>
  <c r="A520" i="13"/>
  <c r="E519" i="13"/>
  <c r="D519" i="13"/>
  <c r="A519" i="13"/>
  <c r="E518" i="13"/>
  <c r="D518" i="13"/>
  <c r="A518" i="13"/>
  <c r="E517" i="13"/>
  <c r="D517" i="13"/>
  <c r="A517" i="13"/>
  <c r="E516" i="13"/>
  <c r="D516" i="13"/>
  <c r="A516" i="13"/>
  <c r="E515" i="13"/>
  <c r="D515" i="13"/>
  <c r="A515" i="13"/>
  <c r="E514" i="13"/>
  <c r="D514" i="13"/>
  <c r="A514" i="13"/>
  <c r="E513" i="13"/>
  <c r="D513" i="13"/>
  <c r="A513" i="13"/>
  <c r="E512" i="13"/>
  <c r="D512" i="13"/>
  <c r="A512" i="13"/>
  <c r="E511" i="13"/>
  <c r="D511" i="13"/>
  <c r="A511" i="13"/>
  <c r="E510" i="13"/>
  <c r="D510" i="13"/>
  <c r="A510" i="13"/>
  <c r="E509" i="13"/>
  <c r="D509" i="13"/>
  <c r="A509" i="13"/>
  <c r="E508" i="13"/>
  <c r="D508" i="13"/>
  <c r="A508" i="13"/>
  <c r="E507" i="13"/>
  <c r="D507" i="13"/>
  <c r="A507" i="13"/>
  <c r="E506" i="13"/>
  <c r="D506" i="13"/>
  <c r="A506" i="13"/>
  <c r="E505" i="13"/>
  <c r="D505" i="13"/>
  <c r="A505" i="13"/>
  <c r="E504" i="13"/>
  <c r="D504" i="13"/>
  <c r="A504" i="13"/>
  <c r="E503" i="13"/>
  <c r="D503" i="13"/>
  <c r="A503" i="13"/>
  <c r="E502" i="13"/>
  <c r="D502" i="13"/>
  <c r="A502" i="13"/>
  <c r="E501" i="13"/>
  <c r="D501" i="13"/>
  <c r="A501" i="13"/>
  <c r="E500" i="13"/>
  <c r="D500" i="13"/>
  <c r="A500" i="13"/>
  <c r="E453" i="13"/>
  <c r="D453" i="13"/>
  <c r="A453" i="13"/>
  <c r="E452" i="13"/>
  <c r="D452" i="13"/>
  <c r="A452" i="13"/>
  <c r="E451" i="13"/>
  <c r="D451" i="13"/>
  <c r="A451" i="13"/>
  <c r="E450" i="13"/>
  <c r="D450" i="13"/>
  <c r="A450" i="13"/>
  <c r="E449" i="13"/>
  <c r="D449" i="13"/>
  <c r="A449" i="13"/>
  <c r="E448" i="13"/>
  <c r="D448" i="13"/>
  <c r="A448" i="13"/>
  <c r="E447" i="13"/>
  <c r="D447" i="13"/>
  <c r="A447" i="13"/>
  <c r="E446" i="13"/>
  <c r="D446" i="13"/>
  <c r="A446" i="13"/>
  <c r="E445" i="13"/>
  <c r="D445" i="13"/>
  <c r="A445" i="13"/>
  <c r="E444" i="13"/>
  <c r="D444" i="13"/>
  <c r="A444" i="13"/>
  <c r="E443" i="13"/>
  <c r="D443" i="13"/>
  <c r="A443" i="13"/>
  <c r="E442" i="13"/>
  <c r="D442" i="13"/>
  <c r="A442" i="13"/>
  <c r="E441" i="13"/>
  <c r="D441" i="13"/>
  <c r="A441" i="13"/>
  <c r="E440" i="13"/>
  <c r="D440" i="13"/>
  <c r="A440" i="13"/>
  <c r="E439" i="13"/>
  <c r="D439" i="13"/>
  <c r="A439" i="13"/>
  <c r="E438" i="13"/>
  <c r="D438" i="13"/>
  <c r="A438" i="13"/>
  <c r="E437" i="13"/>
  <c r="D437" i="13"/>
  <c r="A437" i="13"/>
  <c r="E436" i="13"/>
  <c r="D436" i="13"/>
  <c r="A436" i="13"/>
  <c r="E435" i="13"/>
  <c r="D435" i="13"/>
  <c r="A435" i="13"/>
  <c r="E434" i="13"/>
  <c r="D434" i="13"/>
  <c r="A434" i="13"/>
  <c r="E433" i="13"/>
  <c r="D433" i="13"/>
  <c r="A433" i="13"/>
  <c r="E432" i="13"/>
  <c r="D432" i="13"/>
  <c r="A432" i="13"/>
  <c r="E431" i="13"/>
  <c r="D431" i="13"/>
  <c r="A431" i="13"/>
  <c r="E430" i="13"/>
  <c r="D430" i="13"/>
  <c r="A430" i="13"/>
  <c r="E429" i="13"/>
  <c r="D429" i="13"/>
  <c r="A429" i="13"/>
  <c r="E428" i="13"/>
  <c r="D428" i="13"/>
  <c r="A428" i="13"/>
  <c r="E427" i="13"/>
  <c r="D427" i="13"/>
  <c r="A427" i="13"/>
  <c r="E426" i="13"/>
  <c r="D426" i="13"/>
  <c r="A426" i="13"/>
  <c r="E425" i="13"/>
  <c r="D425" i="13"/>
  <c r="A425" i="13"/>
  <c r="E424" i="13"/>
  <c r="D424" i="13"/>
  <c r="A424" i="13"/>
  <c r="E423" i="13"/>
  <c r="D423" i="13"/>
  <c r="A423" i="13"/>
  <c r="E376" i="13"/>
  <c r="D376" i="13"/>
  <c r="A376" i="13"/>
  <c r="E375" i="13"/>
  <c r="D375" i="13"/>
  <c r="A375" i="13"/>
  <c r="E374" i="13"/>
  <c r="D374" i="13"/>
  <c r="A374" i="13"/>
  <c r="E373" i="13"/>
  <c r="D373" i="13"/>
  <c r="A373" i="13"/>
  <c r="E372" i="13"/>
  <c r="D372" i="13"/>
  <c r="A372" i="13"/>
  <c r="E371" i="13"/>
  <c r="D371" i="13"/>
  <c r="A371" i="13"/>
  <c r="E370" i="13"/>
  <c r="D370" i="13"/>
  <c r="A370" i="13"/>
  <c r="E369" i="13"/>
  <c r="D369" i="13"/>
  <c r="A369" i="13"/>
  <c r="E368" i="13"/>
  <c r="D368" i="13"/>
  <c r="A368" i="13"/>
  <c r="E367" i="13"/>
  <c r="D367" i="13"/>
  <c r="A367" i="13"/>
  <c r="E366" i="13"/>
  <c r="D366" i="13"/>
  <c r="A366" i="13"/>
  <c r="E365" i="13"/>
  <c r="D365" i="13"/>
  <c r="A365" i="13"/>
  <c r="E364" i="13"/>
  <c r="D364" i="13"/>
  <c r="A364" i="13"/>
  <c r="E363" i="13"/>
  <c r="D363" i="13"/>
  <c r="A363" i="13"/>
  <c r="E362" i="13"/>
  <c r="D362" i="13"/>
  <c r="A362" i="13"/>
  <c r="E361" i="13"/>
  <c r="D361" i="13"/>
  <c r="A361" i="13"/>
  <c r="E360" i="13"/>
  <c r="D360" i="13"/>
  <c r="A360" i="13"/>
  <c r="E359" i="13"/>
  <c r="D359" i="13"/>
  <c r="A359" i="13"/>
  <c r="E358" i="13"/>
  <c r="D358" i="13"/>
  <c r="A358" i="13"/>
  <c r="E357" i="13"/>
  <c r="D357" i="13"/>
  <c r="A357" i="13"/>
  <c r="E356" i="13"/>
  <c r="D356" i="13"/>
  <c r="A356" i="13"/>
  <c r="E355" i="13"/>
  <c r="D355" i="13"/>
  <c r="A355" i="13"/>
  <c r="E354" i="13"/>
  <c r="D354" i="13"/>
  <c r="A354" i="13"/>
  <c r="E353" i="13"/>
  <c r="D353" i="13"/>
  <c r="A353" i="13"/>
  <c r="E352" i="13"/>
  <c r="D352" i="13"/>
  <c r="A352" i="13"/>
  <c r="E351" i="13"/>
  <c r="D351" i="13"/>
  <c r="A351" i="13"/>
  <c r="E350" i="13"/>
  <c r="D350" i="13"/>
  <c r="A350" i="13"/>
  <c r="E349" i="13"/>
  <c r="D349" i="13"/>
  <c r="A349" i="13"/>
  <c r="E348" i="13"/>
  <c r="D348" i="13"/>
  <c r="A348" i="13"/>
  <c r="E347" i="13"/>
  <c r="D347" i="13"/>
  <c r="A347" i="13"/>
  <c r="E346" i="13"/>
  <c r="D346" i="13"/>
  <c r="A346" i="13"/>
  <c r="E299" i="13"/>
  <c r="D299" i="13"/>
  <c r="A299" i="13"/>
  <c r="E298" i="13"/>
  <c r="D298" i="13"/>
  <c r="A298" i="13"/>
  <c r="E297" i="13"/>
  <c r="D297" i="13"/>
  <c r="A297" i="13"/>
  <c r="E296" i="13"/>
  <c r="D296" i="13"/>
  <c r="A296" i="13"/>
  <c r="E295" i="13"/>
  <c r="D295" i="13"/>
  <c r="A295" i="13"/>
  <c r="E294" i="13"/>
  <c r="D294" i="13"/>
  <c r="A294" i="13"/>
  <c r="E293" i="13"/>
  <c r="D293" i="13"/>
  <c r="A293" i="13"/>
  <c r="E292" i="13"/>
  <c r="D292" i="13"/>
  <c r="A292" i="13"/>
  <c r="E291" i="13"/>
  <c r="D291" i="13"/>
  <c r="A291" i="13"/>
  <c r="E290" i="13"/>
  <c r="D290" i="13"/>
  <c r="A290" i="13"/>
  <c r="E289" i="13"/>
  <c r="D289" i="13"/>
  <c r="A289" i="13"/>
  <c r="E288" i="13"/>
  <c r="D288" i="13"/>
  <c r="A288" i="13"/>
  <c r="E287" i="13"/>
  <c r="D287" i="13"/>
  <c r="A287" i="13"/>
  <c r="E286" i="13"/>
  <c r="D286" i="13"/>
  <c r="A286" i="13"/>
  <c r="E285" i="13"/>
  <c r="D285" i="13"/>
  <c r="A285" i="13"/>
  <c r="E284" i="13"/>
  <c r="D284" i="13"/>
  <c r="A284" i="13"/>
  <c r="E283" i="13"/>
  <c r="D283" i="13"/>
  <c r="A283" i="13"/>
  <c r="E282" i="13"/>
  <c r="D282" i="13"/>
  <c r="A282" i="13"/>
  <c r="E281" i="13"/>
  <c r="D281" i="13"/>
  <c r="A281" i="13"/>
  <c r="E280" i="13"/>
  <c r="D280" i="13"/>
  <c r="A280" i="13"/>
  <c r="E279" i="13"/>
  <c r="D279" i="13"/>
  <c r="A279" i="13"/>
  <c r="E278" i="13"/>
  <c r="D278" i="13"/>
  <c r="A278" i="13"/>
  <c r="E277" i="13"/>
  <c r="D277" i="13"/>
  <c r="A277" i="13"/>
  <c r="E276" i="13"/>
  <c r="D276" i="13"/>
  <c r="A276" i="13"/>
  <c r="E275" i="13"/>
  <c r="D275" i="13"/>
  <c r="A275" i="13"/>
  <c r="E274" i="13"/>
  <c r="D274" i="13"/>
  <c r="A274" i="13"/>
  <c r="E273" i="13"/>
  <c r="D273" i="13"/>
  <c r="A273" i="13"/>
  <c r="E272" i="13"/>
  <c r="D272" i="13"/>
  <c r="A272" i="13"/>
  <c r="E271" i="13"/>
  <c r="D271" i="13"/>
  <c r="A271" i="13"/>
  <c r="E270" i="13"/>
  <c r="D270" i="13"/>
  <c r="A270" i="13"/>
  <c r="E269" i="13"/>
  <c r="D269" i="13"/>
  <c r="A269" i="13"/>
  <c r="E684" i="14"/>
  <c r="D684" i="14"/>
  <c r="A684" i="14"/>
  <c r="E683" i="14"/>
  <c r="D683" i="14"/>
  <c r="A683" i="14"/>
  <c r="E682" i="14"/>
  <c r="D682" i="14"/>
  <c r="A682" i="14"/>
  <c r="E681" i="14"/>
  <c r="D681" i="14"/>
  <c r="A681" i="14"/>
  <c r="E680" i="14"/>
  <c r="D680" i="14"/>
  <c r="A680" i="14"/>
  <c r="E679" i="14"/>
  <c r="D679" i="14"/>
  <c r="A679" i="14"/>
  <c r="E678" i="14"/>
  <c r="D678" i="14"/>
  <c r="A678" i="14"/>
  <c r="E677" i="14"/>
  <c r="D677" i="14"/>
  <c r="A677" i="14"/>
  <c r="E676" i="14"/>
  <c r="D676" i="14"/>
  <c r="A676" i="14"/>
  <c r="E675" i="14"/>
  <c r="D675" i="14"/>
  <c r="A675" i="14"/>
  <c r="E674" i="14"/>
  <c r="D674" i="14"/>
  <c r="A674" i="14"/>
  <c r="E673" i="14"/>
  <c r="D673" i="14"/>
  <c r="A673" i="14"/>
  <c r="E672" i="14"/>
  <c r="D672" i="14"/>
  <c r="A672" i="14"/>
  <c r="E671" i="14"/>
  <c r="D671" i="14"/>
  <c r="A671" i="14"/>
  <c r="E670" i="14"/>
  <c r="D670" i="14"/>
  <c r="A670" i="14"/>
  <c r="E669" i="14"/>
  <c r="D669" i="14"/>
  <c r="A669" i="14"/>
  <c r="E668" i="14"/>
  <c r="D668" i="14"/>
  <c r="A668" i="14"/>
  <c r="E667" i="14"/>
  <c r="D667" i="14"/>
  <c r="A667" i="14"/>
  <c r="E666" i="14"/>
  <c r="D666" i="14"/>
  <c r="A666" i="14"/>
  <c r="E665" i="14"/>
  <c r="D665" i="14"/>
  <c r="A665" i="14"/>
  <c r="E664" i="14"/>
  <c r="D664" i="14"/>
  <c r="A664" i="14"/>
  <c r="E663" i="14"/>
  <c r="D663" i="14"/>
  <c r="A663" i="14"/>
  <c r="E662" i="14"/>
  <c r="D662" i="14"/>
  <c r="A662" i="14"/>
  <c r="E661" i="14"/>
  <c r="D661" i="14"/>
  <c r="A661" i="14"/>
  <c r="E660" i="14"/>
  <c r="D660" i="14"/>
  <c r="A660" i="14"/>
  <c r="E659" i="14"/>
  <c r="D659" i="14"/>
  <c r="A659" i="14"/>
  <c r="E658" i="14"/>
  <c r="D658" i="14"/>
  <c r="A658" i="14"/>
  <c r="E657" i="14"/>
  <c r="D657" i="14"/>
  <c r="A657" i="14"/>
  <c r="E656" i="14"/>
  <c r="D656" i="14"/>
  <c r="A656" i="14"/>
  <c r="E655" i="14"/>
  <c r="D655" i="14"/>
  <c r="A655" i="14"/>
  <c r="E654" i="14"/>
  <c r="D654" i="14"/>
  <c r="A654" i="14"/>
  <c r="E607" i="14"/>
  <c r="D607" i="14"/>
  <c r="A607" i="14"/>
  <c r="E606" i="14"/>
  <c r="D606" i="14"/>
  <c r="A606" i="14"/>
  <c r="E605" i="14"/>
  <c r="D605" i="14"/>
  <c r="A605" i="14"/>
  <c r="E604" i="14"/>
  <c r="D604" i="14"/>
  <c r="A604" i="14"/>
  <c r="E603" i="14"/>
  <c r="D603" i="14"/>
  <c r="A603" i="14"/>
  <c r="E602" i="14"/>
  <c r="D602" i="14"/>
  <c r="A602" i="14"/>
  <c r="E601" i="14"/>
  <c r="D601" i="14"/>
  <c r="A601" i="14"/>
  <c r="E600" i="14"/>
  <c r="D600" i="14"/>
  <c r="A600" i="14"/>
  <c r="E599" i="14"/>
  <c r="D599" i="14"/>
  <c r="A599" i="14"/>
  <c r="E598" i="14"/>
  <c r="D598" i="14"/>
  <c r="A598" i="14"/>
  <c r="E597" i="14"/>
  <c r="D597" i="14"/>
  <c r="A597" i="14"/>
  <c r="E596" i="14"/>
  <c r="D596" i="14"/>
  <c r="A596" i="14"/>
  <c r="E595" i="14"/>
  <c r="D595" i="14"/>
  <c r="A595" i="14"/>
  <c r="E594" i="14"/>
  <c r="D594" i="14"/>
  <c r="A594" i="14"/>
  <c r="E593" i="14"/>
  <c r="D593" i="14"/>
  <c r="A593" i="14"/>
  <c r="E592" i="14"/>
  <c r="D592" i="14"/>
  <c r="A592" i="14"/>
  <c r="E591" i="14"/>
  <c r="D591" i="14"/>
  <c r="A591" i="14"/>
  <c r="E590" i="14"/>
  <c r="D590" i="14"/>
  <c r="A590" i="14"/>
  <c r="E589" i="14"/>
  <c r="D589" i="14"/>
  <c r="A589" i="14"/>
  <c r="E588" i="14"/>
  <c r="D588" i="14"/>
  <c r="A588" i="14"/>
  <c r="E587" i="14"/>
  <c r="D587" i="14"/>
  <c r="A587" i="14"/>
  <c r="E586" i="14"/>
  <c r="D586" i="14"/>
  <c r="A586" i="14"/>
  <c r="E585" i="14"/>
  <c r="D585" i="14"/>
  <c r="A585" i="14"/>
  <c r="E584" i="14"/>
  <c r="D584" i="14"/>
  <c r="A584" i="14"/>
  <c r="E583" i="14"/>
  <c r="D583" i="14"/>
  <c r="A583" i="14"/>
  <c r="E582" i="14"/>
  <c r="D582" i="14"/>
  <c r="A582" i="14"/>
  <c r="E581" i="14"/>
  <c r="D581" i="14"/>
  <c r="A581" i="14"/>
  <c r="E580" i="14"/>
  <c r="D580" i="14"/>
  <c r="A580" i="14"/>
  <c r="E579" i="14"/>
  <c r="D579" i="14"/>
  <c r="A579" i="14"/>
  <c r="E578" i="14"/>
  <c r="D578" i="14"/>
  <c r="A578" i="14"/>
  <c r="E577" i="14"/>
  <c r="D577" i="14"/>
  <c r="A577" i="14"/>
  <c r="E530" i="14"/>
  <c r="D530" i="14"/>
  <c r="A530" i="14"/>
  <c r="E529" i="14"/>
  <c r="D529" i="14"/>
  <c r="A529" i="14"/>
  <c r="E528" i="14"/>
  <c r="D528" i="14"/>
  <c r="A528" i="14"/>
  <c r="E527" i="14"/>
  <c r="D527" i="14"/>
  <c r="A527" i="14"/>
  <c r="E526" i="14"/>
  <c r="D526" i="14"/>
  <c r="A526" i="14"/>
  <c r="E525" i="14"/>
  <c r="D525" i="14"/>
  <c r="A525" i="14"/>
  <c r="E524" i="14"/>
  <c r="D524" i="14"/>
  <c r="A524" i="14"/>
  <c r="E523" i="14"/>
  <c r="D523" i="14"/>
  <c r="A523" i="14"/>
  <c r="E522" i="14"/>
  <c r="D522" i="14"/>
  <c r="A522" i="14"/>
  <c r="E521" i="14"/>
  <c r="D521" i="14"/>
  <c r="A521" i="14"/>
  <c r="E520" i="14"/>
  <c r="D520" i="14"/>
  <c r="A520" i="14"/>
  <c r="E519" i="14"/>
  <c r="D519" i="14"/>
  <c r="A519" i="14"/>
  <c r="E518" i="14"/>
  <c r="D518" i="14"/>
  <c r="A518" i="14"/>
  <c r="E517" i="14"/>
  <c r="D517" i="14"/>
  <c r="A517" i="14"/>
  <c r="E516" i="14"/>
  <c r="D516" i="14"/>
  <c r="A516" i="14"/>
  <c r="E515" i="14"/>
  <c r="D515" i="14"/>
  <c r="A515" i="14"/>
  <c r="E514" i="14"/>
  <c r="D514" i="14"/>
  <c r="A514" i="14"/>
  <c r="E513" i="14"/>
  <c r="D513" i="14"/>
  <c r="A513" i="14"/>
  <c r="E512" i="14"/>
  <c r="D512" i="14"/>
  <c r="A512" i="14"/>
  <c r="E511" i="14"/>
  <c r="D511" i="14"/>
  <c r="A511" i="14"/>
  <c r="E510" i="14"/>
  <c r="D510" i="14"/>
  <c r="A510" i="14"/>
  <c r="E509" i="14"/>
  <c r="D509" i="14"/>
  <c r="A509" i="14"/>
  <c r="E508" i="14"/>
  <c r="D508" i="14"/>
  <c r="A508" i="14"/>
  <c r="E507" i="14"/>
  <c r="D507" i="14"/>
  <c r="A507" i="14"/>
  <c r="E506" i="14"/>
  <c r="D506" i="14"/>
  <c r="A506" i="14"/>
  <c r="E505" i="14"/>
  <c r="D505" i="14"/>
  <c r="A505" i="14"/>
  <c r="E504" i="14"/>
  <c r="D504" i="14"/>
  <c r="A504" i="14"/>
  <c r="E503" i="14"/>
  <c r="D503" i="14"/>
  <c r="A503" i="14"/>
  <c r="E502" i="14"/>
  <c r="D502" i="14"/>
  <c r="A502" i="14"/>
  <c r="E501" i="14"/>
  <c r="D501" i="14"/>
  <c r="A501" i="14"/>
  <c r="E500" i="14"/>
  <c r="D500" i="14"/>
  <c r="A500" i="14"/>
  <c r="E453" i="14"/>
  <c r="D453" i="14"/>
  <c r="A453" i="14"/>
  <c r="E452" i="14"/>
  <c r="D452" i="14"/>
  <c r="A452" i="14"/>
  <c r="E451" i="14"/>
  <c r="D451" i="14"/>
  <c r="A451" i="14"/>
  <c r="E450" i="14"/>
  <c r="D450" i="14"/>
  <c r="A450" i="14"/>
  <c r="E449" i="14"/>
  <c r="D449" i="14"/>
  <c r="A449" i="14"/>
  <c r="E448" i="14"/>
  <c r="D448" i="14"/>
  <c r="A448" i="14"/>
  <c r="E447" i="14"/>
  <c r="D447" i="14"/>
  <c r="A447" i="14"/>
  <c r="E446" i="14"/>
  <c r="D446" i="14"/>
  <c r="A446" i="14"/>
  <c r="E445" i="14"/>
  <c r="D445" i="14"/>
  <c r="A445" i="14"/>
  <c r="E444" i="14"/>
  <c r="D444" i="14"/>
  <c r="A444" i="14"/>
  <c r="E443" i="14"/>
  <c r="D443" i="14"/>
  <c r="A443" i="14"/>
  <c r="E442" i="14"/>
  <c r="D442" i="14"/>
  <c r="A442" i="14"/>
  <c r="E441" i="14"/>
  <c r="D441" i="14"/>
  <c r="A441" i="14"/>
  <c r="E440" i="14"/>
  <c r="D440" i="14"/>
  <c r="A440" i="14"/>
  <c r="E439" i="14"/>
  <c r="D439" i="14"/>
  <c r="A439" i="14"/>
  <c r="E438" i="14"/>
  <c r="D438" i="14"/>
  <c r="A438" i="14"/>
  <c r="E437" i="14"/>
  <c r="D437" i="14"/>
  <c r="A437" i="14"/>
  <c r="E436" i="14"/>
  <c r="D436" i="14"/>
  <c r="A436" i="14"/>
  <c r="E435" i="14"/>
  <c r="D435" i="14"/>
  <c r="A435" i="14"/>
  <c r="E434" i="14"/>
  <c r="D434" i="14"/>
  <c r="A434" i="14"/>
  <c r="E433" i="14"/>
  <c r="D433" i="14"/>
  <c r="A433" i="14"/>
  <c r="E432" i="14"/>
  <c r="D432" i="14"/>
  <c r="A432" i="14"/>
  <c r="E431" i="14"/>
  <c r="D431" i="14"/>
  <c r="A431" i="14"/>
  <c r="E430" i="14"/>
  <c r="D430" i="14"/>
  <c r="A430" i="14"/>
  <c r="E429" i="14"/>
  <c r="D429" i="14"/>
  <c r="A429" i="14"/>
  <c r="E428" i="14"/>
  <c r="D428" i="14"/>
  <c r="A428" i="14"/>
  <c r="E427" i="14"/>
  <c r="D427" i="14"/>
  <c r="A427" i="14"/>
  <c r="E426" i="14"/>
  <c r="D426" i="14"/>
  <c r="A426" i="14"/>
  <c r="E425" i="14"/>
  <c r="D425" i="14"/>
  <c r="A425" i="14"/>
  <c r="E424" i="14"/>
  <c r="D424" i="14"/>
  <c r="A424" i="14"/>
  <c r="E423" i="14"/>
  <c r="D423" i="14"/>
  <c r="A423" i="14"/>
  <c r="E376" i="14"/>
  <c r="D376" i="14"/>
  <c r="A376" i="14"/>
  <c r="E375" i="14"/>
  <c r="D375" i="14"/>
  <c r="A375" i="14"/>
  <c r="E374" i="14"/>
  <c r="D374" i="14"/>
  <c r="A374" i="14"/>
  <c r="E373" i="14"/>
  <c r="D373" i="14"/>
  <c r="A373" i="14"/>
  <c r="E372" i="14"/>
  <c r="D372" i="14"/>
  <c r="A372" i="14"/>
  <c r="E371" i="14"/>
  <c r="D371" i="14"/>
  <c r="A371" i="14"/>
  <c r="E370" i="14"/>
  <c r="D370" i="14"/>
  <c r="A370" i="14"/>
  <c r="E369" i="14"/>
  <c r="D369" i="14"/>
  <c r="A369" i="14"/>
  <c r="E368" i="14"/>
  <c r="D368" i="14"/>
  <c r="A368" i="14"/>
  <c r="E367" i="14"/>
  <c r="D367" i="14"/>
  <c r="A367" i="14"/>
  <c r="E366" i="14"/>
  <c r="D366" i="14"/>
  <c r="A366" i="14"/>
  <c r="E365" i="14"/>
  <c r="D365" i="14"/>
  <c r="A365" i="14"/>
  <c r="E364" i="14"/>
  <c r="D364" i="14"/>
  <c r="A364" i="14"/>
  <c r="E363" i="14"/>
  <c r="D363" i="14"/>
  <c r="A363" i="14"/>
  <c r="E362" i="14"/>
  <c r="D362" i="14"/>
  <c r="A362" i="14"/>
  <c r="E361" i="14"/>
  <c r="D361" i="14"/>
  <c r="A361" i="14"/>
  <c r="E360" i="14"/>
  <c r="D360" i="14"/>
  <c r="A360" i="14"/>
  <c r="E359" i="14"/>
  <c r="D359" i="14"/>
  <c r="A359" i="14"/>
  <c r="E358" i="14"/>
  <c r="D358" i="14"/>
  <c r="A358" i="14"/>
  <c r="E357" i="14"/>
  <c r="D357" i="14"/>
  <c r="A357" i="14"/>
  <c r="E356" i="14"/>
  <c r="D356" i="14"/>
  <c r="A356" i="14"/>
  <c r="E355" i="14"/>
  <c r="D355" i="14"/>
  <c r="A355" i="14"/>
  <c r="E354" i="14"/>
  <c r="D354" i="14"/>
  <c r="A354" i="14"/>
  <c r="E353" i="14"/>
  <c r="D353" i="14"/>
  <c r="A353" i="14"/>
  <c r="E352" i="14"/>
  <c r="D352" i="14"/>
  <c r="A352" i="14"/>
  <c r="E351" i="14"/>
  <c r="D351" i="14"/>
  <c r="A351" i="14"/>
  <c r="E350" i="14"/>
  <c r="D350" i="14"/>
  <c r="A350" i="14"/>
  <c r="E349" i="14"/>
  <c r="D349" i="14"/>
  <c r="A349" i="14"/>
  <c r="E348" i="14"/>
  <c r="D348" i="14"/>
  <c r="A348" i="14"/>
  <c r="E347" i="14"/>
  <c r="D347" i="14"/>
  <c r="A347" i="14"/>
  <c r="E346" i="14"/>
  <c r="D346" i="14"/>
  <c r="A346" i="14"/>
  <c r="E299" i="14"/>
  <c r="D299" i="14"/>
  <c r="A299" i="14"/>
  <c r="E298" i="14"/>
  <c r="D298" i="14"/>
  <c r="A298" i="14"/>
  <c r="E297" i="14"/>
  <c r="D297" i="14"/>
  <c r="A297" i="14"/>
  <c r="E296" i="14"/>
  <c r="D296" i="14"/>
  <c r="A296" i="14"/>
  <c r="E295" i="14"/>
  <c r="D295" i="14"/>
  <c r="A295" i="14"/>
  <c r="E294" i="14"/>
  <c r="D294" i="14"/>
  <c r="A294" i="14"/>
  <c r="E293" i="14"/>
  <c r="D293" i="14"/>
  <c r="A293" i="14"/>
  <c r="E292" i="14"/>
  <c r="D292" i="14"/>
  <c r="A292" i="14"/>
  <c r="E291" i="14"/>
  <c r="D291" i="14"/>
  <c r="A291" i="14"/>
  <c r="E290" i="14"/>
  <c r="D290" i="14"/>
  <c r="A290" i="14"/>
  <c r="E289" i="14"/>
  <c r="D289" i="14"/>
  <c r="A289" i="14"/>
  <c r="E288" i="14"/>
  <c r="D288" i="14"/>
  <c r="A288" i="14"/>
  <c r="E287" i="14"/>
  <c r="D287" i="14"/>
  <c r="A287" i="14"/>
  <c r="E286" i="14"/>
  <c r="D286" i="14"/>
  <c r="A286" i="14"/>
  <c r="E285" i="14"/>
  <c r="D285" i="14"/>
  <c r="A285" i="14"/>
  <c r="E284" i="14"/>
  <c r="D284" i="14"/>
  <c r="A284" i="14"/>
  <c r="E283" i="14"/>
  <c r="D283" i="14"/>
  <c r="A283" i="14"/>
  <c r="E282" i="14"/>
  <c r="D282" i="14"/>
  <c r="A282" i="14"/>
  <c r="E281" i="14"/>
  <c r="D281" i="14"/>
  <c r="A281" i="14"/>
  <c r="E280" i="14"/>
  <c r="D280" i="14"/>
  <c r="A280" i="14"/>
  <c r="E279" i="14"/>
  <c r="D279" i="14"/>
  <c r="A279" i="14"/>
  <c r="E278" i="14"/>
  <c r="D278" i="14"/>
  <c r="A278" i="14"/>
  <c r="E277" i="14"/>
  <c r="D277" i="14"/>
  <c r="A277" i="14"/>
  <c r="E276" i="14"/>
  <c r="D276" i="14"/>
  <c r="A276" i="14"/>
  <c r="E275" i="14"/>
  <c r="D275" i="14"/>
  <c r="A275" i="14"/>
  <c r="E274" i="14"/>
  <c r="D274" i="14"/>
  <c r="A274" i="14"/>
  <c r="E273" i="14"/>
  <c r="D273" i="14"/>
  <c r="A273" i="14"/>
  <c r="E272" i="14"/>
  <c r="D272" i="14"/>
  <c r="A272" i="14"/>
  <c r="E271" i="14"/>
  <c r="D271" i="14"/>
  <c r="A271" i="14"/>
  <c r="E270" i="14"/>
  <c r="D270" i="14"/>
  <c r="A270" i="14"/>
  <c r="E269" i="14"/>
  <c r="D269" i="14"/>
  <c r="A269" i="14"/>
  <c r="E684" i="18"/>
  <c r="D684" i="18"/>
  <c r="A684" i="18"/>
  <c r="E683" i="18"/>
  <c r="D683" i="18"/>
  <c r="A683" i="18"/>
  <c r="E682" i="18"/>
  <c r="D682" i="18"/>
  <c r="A682" i="18"/>
  <c r="E681" i="18"/>
  <c r="D681" i="18"/>
  <c r="A681" i="18"/>
  <c r="E680" i="18"/>
  <c r="D680" i="18"/>
  <c r="A680" i="18"/>
  <c r="E679" i="18"/>
  <c r="D679" i="18"/>
  <c r="A679" i="18"/>
  <c r="E678" i="18"/>
  <c r="D678" i="18"/>
  <c r="A678" i="18"/>
  <c r="E677" i="18"/>
  <c r="D677" i="18"/>
  <c r="A677" i="18"/>
  <c r="E676" i="18"/>
  <c r="D676" i="18"/>
  <c r="A676" i="18"/>
  <c r="E675" i="18"/>
  <c r="D675" i="18"/>
  <c r="A675" i="18"/>
  <c r="E674" i="18"/>
  <c r="D674" i="18"/>
  <c r="A674" i="18"/>
  <c r="E673" i="18"/>
  <c r="D673" i="18"/>
  <c r="A673" i="18"/>
  <c r="E672" i="18"/>
  <c r="D672" i="18"/>
  <c r="A672" i="18"/>
  <c r="E671" i="18"/>
  <c r="D671" i="18"/>
  <c r="A671" i="18"/>
  <c r="E670" i="18"/>
  <c r="D670" i="18"/>
  <c r="A670" i="18"/>
  <c r="E669" i="18"/>
  <c r="D669" i="18"/>
  <c r="A669" i="18"/>
  <c r="E668" i="18"/>
  <c r="D668" i="18"/>
  <c r="A668" i="18"/>
  <c r="E667" i="18"/>
  <c r="D667" i="18"/>
  <c r="A667" i="18"/>
  <c r="E666" i="18"/>
  <c r="D666" i="18"/>
  <c r="A666" i="18"/>
  <c r="E665" i="18"/>
  <c r="D665" i="18"/>
  <c r="A665" i="18"/>
  <c r="E664" i="18"/>
  <c r="D664" i="18"/>
  <c r="A664" i="18"/>
  <c r="E663" i="18"/>
  <c r="D663" i="18"/>
  <c r="A663" i="18"/>
  <c r="E662" i="18"/>
  <c r="D662" i="18"/>
  <c r="A662" i="18"/>
  <c r="E661" i="18"/>
  <c r="D661" i="18"/>
  <c r="A661" i="18"/>
  <c r="E660" i="18"/>
  <c r="D660" i="18"/>
  <c r="A660" i="18"/>
  <c r="E659" i="18"/>
  <c r="D659" i="18"/>
  <c r="A659" i="18"/>
  <c r="E658" i="18"/>
  <c r="D658" i="18"/>
  <c r="A658" i="18"/>
  <c r="E657" i="18"/>
  <c r="D657" i="18"/>
  <c r="A657" i="18"/>
  <c r="E656" i="18"/>
  <c r="D656" i="18"/>
  <c r="A656" i="18"/>
  <c r="E655" i="18"/>
  <c r="D655" i="18"/>
  <c r="A655" i="18"/>
  <c r="E654" i="18"/>
  <c r="D654" i="18"/>
  <c r="A654" i="18"/>
  <c r="E607" i="18"/>
  <c r="D607" i="18"/>
  <c r="A607" i="18"/>
  <c r="E606" i="18"/>
  <c r="D606" i="18"/>
  <c r="A606" i="18"/>
  <c r="E605" i="18"/>
  <c r="D605" i="18"/>
  <c r="A605" i="18"/>
  <c r="E604" i="18"/>
  <c r="D604" i="18"/>
  <c r="A604" i="18"/>
  <c r="E603" i="18"/>
  <c r="D603" i="18"/>
  <c r="A603" i="18"/>
  <c r="E602" i="18"/>
  <c r="D602" i="18"/>
  <c r="A602" i="18"/>
  <c r="E601" i="18"/>
  <c r="D601" i="18"/>
  <c r="A601" i="18"/>
  <c r="E600" i="18"/>
  <c r="D600" i="18"/>
  <c r="A600" i="18"/>
  <c r="E599" i="18"/>
  <c r="D599" i="18"/>
  <c r="A599" i="18"/>
  <c r="E598" i="18"/>
  <c r="D598" i="18"/>
  <c r="A598" i="18"/>
  <c r="E597" i="18"/>
  <c r="D597" i="18"/>
  <c r="A597" i="18"/>
  <c r="E596" i="18"/>
  <c r="D596" i="18"/>
  <c r="A596" i="18"/>
  <c r="E595" i="18"/>
  <c r="D595" i="18"/>
  <c r="A595" i="18"/>
  <c r="E594" i="18"/>
  <c r="D594" i="18"/>
  <c r="A594" i="18"/>
  <c r="E593" i="18"/>
  <c r="D593" i="18"/>
  <c r="A593" i="18"/>
  <c r="E592" i="18"/>
  <c r="D592" i="18"/>
  <c r="A592" i="18"/>
  <c r="E591" i="18"/>
  <c r="D591" i="18"/>
  <c r="A591" i="18"/>
  <c r="E590" i="18"/>
  <c r="D590" i="18"/>
  <c r="A590" i="18"/>
  <c r="E589" i="18"/>
  <c r="D589" i="18"/>
  <c r="A589" i="18"/>
  <c r="E588" i="18"/>
  <c r="D588" i="18"/>
  <c r="A588" i="18"/>
  <c r="E587" i="18"/>
  <c r="D587" i="18"/>
  <c r="A587" i="18"/>
  <c r="E586" i="18"/>
  <c r="D586" i="18"/>
  <c r="A586" i="18"/>
  <c r="E585" i="18"/>
  <c r="D585" i="18"/>
  <c r="A585" i="18"/>
  <c r="E584" i="18"/>
  <c r="D584" i="18"/>
  <c r="A584" i="18"/>
  <c r="E583" i="18"/>
  <c r="D583" i="18"/>
  <c r="A583" i="18"/>
  <c r="E582" i="18"/>
  <c r="D582" i="18"/>
  <c r="A582" i="18"/>
  <c r="E581" i="18"/>
  <c r="D581" i="18"/>
  <c r="A581" i="18"/>
  <c r="E580" i="18"/>
  <c r="D580" i="18"/>
  <c r="A580" i="18"/>
  <c r="E579" i="18"/>
  <c r="D579" i="18"/>
  <c r="A579" i="18"/>
  <c r="E578" i="18"/>
  <c r="D578" i="18"/>
  <c r="A578" i="18"/>
  <c r="E577" i="18"/>
  <c r="D577" i="18"/>
  <c r="A577" i="18"/>
  <c r="E530" i="18"/>
  <c r="D530" i="18"/>
  <c r="A530" i="18"/>
  <c r="E529" i="18"/>
  <c r="D529" i="18"/>
  <c r="A529" i="18"/>
  <c r="E528" i="18"/>
  <c r="D528" i="18"/>
  <c r="A528" i="18"/>
  <c r="E527" i="18"/>
  <c r="D527" i="18"/>
  <c r="A527" i="18"/>
  <c r="E526" i="18"/>
  <c r="D526" i="18"/>
  <c r="A526" i="18"/>
  <c r="E525" i="18"/>
  <c r="D525" i="18"/>
  <c r="A525" i="18"/>
  <c r="E524" i="18"/>
  <c r="D524" i="18"/>
  <c r="A524" i="18"/>
  <c r="E523" i="18"/>
  <c r="D523" i="18"/>
  <c r="A523" i="18"/>
  <c r="E522" i="18"/>
  <c r="D522" i="18"/>
  <c r="A522" i="18"/>
  <c r="E521" i="18"/>
  <c r="D521" i="18"/>
  <c r="A521" i="18"/>
  <c r="E520" i="18"/>
  <c r="D520" i="18"/>
  <c r="A520" i="18"/>
  <c r="E519" i="18"/>
  <c r="D519" i="18"/>
  <c r="A519" i="18"/>
  <c r="E518" i="18"/>
  <c r="D518" i="18"/>
  <c r="A518" i="18"/>
  <c r="E517" i="18"/>
  <c r="D517" i="18"/>
  <c r="A517" i="18"/>
  <c r="E516" i="18"/>
  <c r="D516" i="18"/>
  <c r="A516" i="18"/>
  <c r="E515" i="18"/>
  <c r="D515" i="18"/>
  <c r="A515" i="18"/>
  <c r="E514" i="18"/>
  <c r="D514" i="18"/>
  <c r="A514" i="18"/>
  <c r="E513" i="18"/>
  <c r="D513" i="18"/>
  <c r="A513" i="18"/>
  <c r="E512" i="18"/>
  <c r="D512" i="18"/>
  <c r="A512" i="18"/>
  <c r="E511" i="18"/>
  <c r="D511" i="18"/>
  <c r="A511" i="18"/>
  <c r="E510" i="18"/>
  <c r="D510" i="18"/>
  <c r="A510" i="18"/>
  <c r="E509" i="18"/>
  <c r="D509" i="18"/>
  <c r="A509" i="18"/>
  <c r="E508" i="18"/>
  <c r="D508" i="18"/>
  <c r="A508" i="18"/>
  <c r="E507" i="18"/>
  <c r="D507" i="18"/>
  <c r="A507" i="18"/>
  <c r="E506" i="18"/>
  <c r="D506" i="18"/>
  <c r="A506" i="18"/>
  <c r="E505" i="18"/>
  <c r="D505" i="18"/>
  <c r="A505" i="18"/>
  <c r="E504" i="18"/>
  <c r="D504" i="18"/>
  <c r="A504" i="18"/>
  <c r="E503" i="18"/>
  <c r="D503" i="18"/>
  <c r="A503" i="18"/>
  <c r="E502" i="18"/>
  <c r="D502" i="18"/>
  <c r="A502" i="18"/>
  <c r="E501" i="18"/>
  <c r="D501" i="18"/>
  <c r="A501" i="18"/>
  <c r="E500" i="18"/>
  <c r="D500" i="18"/>
  <c r="A500" i="18"/>
  <c r="E453" i="18"/>
  <c r="D453" i="18"/>
  <c r="A453" i="18"/>
  <c r="E452" i="18"/>
  <c r="D452" i="18"/>
  <c r="A452" i="18"/>
  <c r="E451" i="18"/>
  <c r="D451" i="18"/>
  <c r="A451" i="18"/>
  <c r="E450" i="18"/>
  <c r="D450" i="18"/>
  <c r="A450" i="18"/>
  <c r="E449" i="18"/>
  <c r="D449" i="18"/>
  <c r="A449" i="18"/>
  <c r="E448" i="18"/>
  <c r="D448" i="18"/>
  <c r="A448" i="18"/>
  <c r="E447" i="18"/>
  <c r="D447" i="18"/>
  <c r="A447" i="18"/>
  <c r="E446" i="18"/>
  <c r="D446" i="18"/>
  <c r="A446" i="18"/>
  <c r="E445" i="18"/>
  <c r="D445" i="18"/>
  <c r="A445" i="18"/>
  <c r="E444" i="18"/>
  <c r="D444" i="18"/>
  <c r="A444" i="18"/>
  <c r="E443" i="18"/>
  <c r="D443" i="18"/>
  <c r="A443" i="18"/>
  <c r="E442" i="18"/>
  <c r="D442" i="18"/>
  <c r="A442" i="18"/>
  <c r="E441" i="18"/>
  <c r="D441" i="18"/>
  <c r="A441" i="18"/>
  <c r="E440" i="18"/>
  <c r="D440" i="18"/>
  <c r="A440" i="18"/>
  <c r="E439" i="18"/>
  <c r="D439" i="18"/>
  <c r="A439" i="18"/>
  <c r="E438" i="18"/>
  <c r="D438" i="18"/>
  <c r="A438" i="18"/>
  <c r="E437" i="18"/>
  <c r="D437" i="18"/>
  <c r="A437" i="18"/>
  <c r="E436" i="18"/>
  <c r="D436" i="18"/>
  <c r="A436" i="18"/>
  <c r="E435" i="18"/>
  <c r="D435" i="18"/>
  <c r="A435" i="18"/>
  <c r="E434" i="18"/>
  <c r="D434" i="18"/>
  <c r="A434" i="18"/>
  <c r="E433" i="18"/>
  <c r="D433" i="18"/>
  <c r="A433" i="18"/>
  <c r="E432" i="18"/>
  <c r="D432" i="18"/>
  <c r="A432" i="18"/>
  <c r="E431" i="18"/>
  <c r="D431" i="18"/>
  <c r="A431" i="18"/>
  <c r="E430" i="18"/>
  <c r="D430" i="18"/>
  <c r="A430" i="18"/>
  <c r="E429" i="18"/>
  <c r="D429" i="18"/>
  <c r="A429" i="18"/>
  <c r="E428" i="18"/>
  <c r="D428" i="18"/>
  <c r="A428" i="18"/>
  <c r="E427" i="18"/>
  <c r="D427" i="18"/>
  <c r="A427" i="18"/>
  <c r="E426" i="18"/>
  <c r="D426" i="18"/>
  <c r="A426" i="18"/>
  <c r="E425" i="18"/>
  <c r="D425" i="18"/>
  <c r="A425" i="18"/>
  <c r="E424" i="18"/>
  <c r="D424" i="18"/>
  <c r="A424" i="18"/>
  <c r="E423" i="18"/>
  <c r="D423" i="18"/>
  <c r="A423" i="18"/>
  <c r="E376" i="18"/>
  <c r="D376" i="18"/>
  <c r="A376" i="18"/>
  <c r="E375" i="18"/>
  <c r="D375" i="18"/>
  <c r="A375" i="18"/>
  <c r="E374" i="18"/>
  <c r="D374" i="18"/>
  <c r="A374" i="18"/>
  <c r="E373" i="18"/>
  <c r="D373" i="18"/>
  <c r="A373" i="18"/>
  <c r="E372" i="18"/>
  <c r="D372" i="18"/>
  <c r="A372" i="18"/>
  <c r="E371" i="18"/>
  <c r="D371" i="18"/>
  <c r="A371" i="18"/>
  <c r="E370" i="18"/>
  <c r="D370" i="18"/>
  <c r="A370" i="18"/>
  <c r="E369" i="18"/>
  <c r="D369" i="18"/>
  <c r="A369" i="18"/>
  <c r="E368" i="18"/>
  <c r="D368" i="18"/>
  <c r="A368" i="18"/>
  <c r="E367" i="18"/>
  <c r="D367" i="18"/>
  <c r="A367" i="18"/>
  <c r="E366" i="18"/>
  <c r="D366" i="18"/>
  <c r="A366" i="18"/>
  <c r="E365" i="18"/>
  <c r="D365" i="18"/>
  <c r="A365" i="18"/>
  <c r="E364" i="18"/>
  <c r="D364" i="18"/>
  <c r="A364" i="18"/>
  <c r="E363" i="18"/>
  <c r="D363" i="18"/>
  <c r="A363" i="18"/>
  <c r="E362" i="18"/>
  <c r="D362" i="18"/>
  <c r="A362" i="18"/>
  <c r="E361" i="18"/>
  <c r="D361" i="18"/>
  <c r="A361" i="18"/>
  <c r="E360" i="18"/>
  <c r="D360" i="18"/>
  <c r="A360" i="18"/>
  <c r="E359" i="18"/>
  <c r="D359" i="18"/>
  <c r="A359" i="18"/>
  <c r="E358" i="18"/>
  <c r="D358" i="18"/>
  <c r="A358" i="18"/>
  <c r="E357" i="18"/>
  <c r="D357" i="18"/>
  <c r="A357" i="18"/>
  <c r="E356" i="18"/>
  <c r="D356" i="18"/>
  <c r="A356" i="18"/>
  <c r="E355" i="18"/>
  <c r="D355" i="18"/>
  <c r="A355" i="18"/>
  <c r="E354" i="18"/>
  <c r="D354" i="18"/>
  <c r="A354" i="18"/>
  <c r="E353" i="18"/>
  <c r="D353" i="18"/>
  <c r="A353" i="18"/>
  <c r="E352" i="18"/>
  <c r="D352" i="18"/>
  <c r="A352" i="18"/>
  <c r="E351" i="18"/>
  <c r="D351" i="18"/>
  <c r="A351" i="18"/>
  <c r="E350" i="18"/>
  <c r="D350" i="18"/>
  <c r="A350" i="18"/>
  <c r="E349" i="18"/>
  <c r="D349" i="18"/>
  <c r="A349" i="18"/>
  <c r="E348" i="18"/>
  <c r="D348" i="18"/>
  <c r="A348" i="18"/>
  <c r="E347" i="18"/>
  <c r="D347" i="18"/>
  <c r="A347" i="18"/>
  <c r="E346" i="18"/>
  <c r="D346" i="18"/>
  <c r="A346" i="18"/>
  <c r="E299" i="18"/>
  <c r="D299" i="18"/>
  <c r="A299" i="18"/>
  <c r="E298" i="18"/>
  <c r="D298" i="18"/>
  <c r="A298" i="18"/>
  <c r="E297" i="18"/>
  <c r="D297" i="18"/>
  <c r="A297" i="18"/>
  <c r="E296" i="18"/>
  <c r="D296" i="18"/>
  <c r="A296" i="18"/>
  <c r="E295" i="18"/>
  <c r="D295" i="18"/>
  <c r="A295" i="18"/>
  <c r="E294" i="18"/>
  <c r="D294" i="18"/>
  <c r="A294" i="18"/>
  <c r="E293" i="18"/>
  <c r="D293" i="18"/>
  <c r="A293" i="18"/>
  <c r="E292" i="18"/>
  <c r="D292" i="18"/>
  <c r="A292" i="18"/>
  <c r="E291" i="18"/>
  <c r="D291" i="18"/>
  <c r="A291" i="18"/>
  <c r="E290" i="18"/>
  <c r="D290" i="18"/>
  <c r="A290" i="18"/>
  <c r="E289" i="18"/>
  <c r="D289" i="18"/>
  <c r="A289" i="18"/>
  <c r="E288" i="18"/>
  <c r="D288" i="18"/>
  <c r="A288" i="18"/>
  <c r="E287" i="18"/>
  <c r="D287" i="18"/>
  <c r="A287" i="18"/>
  <c r="E286" i="18"/>
  <c r="D286" i="18"/>
  <c r="A286" i="18"/>
  <c r="E285" i="18"/>
  <c r="D285" i="18"/>
  <c r="A285" i="18"/>
  <c r="E284" i="18"/>
  <c r="D284" i="18"/>
  <c r="A284" i="18"/>
  <c r="E283" i="18"/>
  <c r="D283" i="18"/>
  <c r="A283" i="18"/>
  <c r="E282" i="18"/>
  <c r="D282" i="18"/>
  <c r="A282" i="18"/>
  <c r="E281" i="18"/>
  <c r="D281" i="18"/>
  <c r="A281" i="18"/>
  <c r="E280" i="18"/>
  <c r="D280" i="18"/>
  <c r="A280" i="18"/>
  <c r="E279" i="18"/>
  <c r="D279" i="18"/>
  <c r="A279" i="18"/>
  <c r="E278" i="18"/>
  <c r="D278" i="18"/>
  <c r="A278" i="18"/>
  <c r="E277" i="18"/>
  <c r="D277" i="18"/>
  <c r="A277" i="18"/>
  <c r="E276" i="18"/>
  <c r="D276" i="18"/>
  <c r="A276" i="18"/>
  <c r="E275" i="18"/>
  <c r="D275" i="18"/>
  <c r="A275" i="18"/>
  <c r="E274" i="18"/>
  <c r="D274" i="18"/>
  <c r="A274" i="18"/>
  <c r="E273" i="18"/>
  <c r="D273" i="18"/>
  <c r="A273" i="18"/>
  <c r="E272" i="18"/>
  <c r="D272" i="18"/>
  <c r="A272" i="18"/>
  <c r="E271" i="18"/>
  <c r="D271" i="18"/>
  <c r="A271" i="18"/>
  <c r="E270" i="18"/>
  <c r="D270" i="18"/>
  <c r="A270" i="18"/>
  <c r="E269" i="18"/>
  <c r="D269" i="18"/>
  <c r="A269" i="18"/>
  <c r="E299" i="17"/>
  <c r="D299" i="17"/>
  <c r="A299" i="17"/>
  <c r="E298" i="17"/>
  <c r="D298" i="17"/>
  <c r="A298" i="17"/>
  <c r="E297" i="17"/>
  <c r="D297" i="17"/>
  <c r="A297" i="17"/>
  <c r="E296" i="17"/>
  <c r="D296" i="17"/>
  <c r="A296" i="17"/>
  <c r="E295" i="17"/>
  <c r="D295" i="17"/>
  <c r="A295" i="17"/>
  <c r="E294" i="17"/>
  <c r="D294" i="17"/>
  <c r="A294" i="17"/>
  <c r="E293" i="17"/>
  <c r="D293" i="17"/>
  <c r="A293" i="17"/>
  <c r="E292" i="17"/>
  <c r="D292" i="17"/>
  <c r="A292" i="17"/>
  <c r="E291" i="17"/>
  <c r="D291" i="17"/>
  <c r="A291" i="17"/>
  <c r="E290" i="17"/>
  <c r="D290" i="17"/>
  <c r="A290" i="17"/>
  <c r="E289" i="17"/>
  <c r="D289" i="17"/>
  <c r="A289" i="17"/>
  <c r="E288" i="17"/>
  <c r="D288" i="17"/>
  <c r="A288" i="17"/>
  <c r="E287" i="17"/>
  <c r="D287" i="17"/>
  <c r="A287" i="17"/>
  <c r="E286" i="17"/>
  <c r="D286" i="17"/>
  <c r="A286" i="17"/>
  <c r="E285" i="17"/>
  <c r="D285" i="17"/>
  <c r="A285" i="17"/>
  <c r="E284" i="17"/>
  <c r="D284" i="17"/>
  <c r="A284" i="17"/>
  <c r="E283" i="17"/>
  <c r="D283" i="17"/>
  <c r="A283" i="17"/>
  <c r="E282" i="17"/>
  <c r="D282" i="17"/>
  <c r="A282" i="17"/>
  <c r="E281" i="17"/>
  <c r="D281" i="17"/>
  <c r="A281" i="17"/>
  <c r="E280" i="17"/>
  <c r="D280" i="17"/>
  <c r="A280" i="17"/>
  <c r="E279" i="17"/>
  <c r="D279" i="17"/>
  <c r="A279" i="17"/>
  <c r="E278" i="17"/>
  <c r="D278" i="17"/>
  <c r="A278" i="17"/>
  <c r="E277" i="17"/>
  <c r="D277" i="17"/>
  <c r="A277" i="17"/>
  <c r="E276" i="17"/>
  <c r="D276" i="17"/>
  <c r="A276" i="17"/>
  <c r="E275" i="17"/>
  <c r="D275" i="17"/>
  <c r="A275" i="17"/>
  <c r="E274" i="17"/>
  <c r="D274" i="17"/>
  <c r="A274" i="17"/>
  <c r="E273" i="17"/>
  <c r="D273" i="17"/>
  <c r="A273" i="17"/>
  <c r="E272" i="17"/>
  <c r="D272" i="17"/>
  <c r="A272" i="17"/>
  <c r="E271" i="17"/>
  <c r="D271" i="17"/>
  <c r="A271" i="17"/>
  <c r="E270" i="17"/>
  <c r="D270" i="17"/>
  <c r="A270" i="17"/>
  <c r="E269" i="17"/>
  <c r="D269" i="17"/>
  <c r="A269" i="17"/>
  <c r="E376" i="17"/>
  <c r="D376" i="17"/>
  <c r="A376" i="17"/>
  <c r="E375" i="17"/>
  <c r="D375" i="17"/>
  <c r="A375" i="17"/>
  <c r="E374" i="17"/>
  <c r="D374" i="17"/>
  <c r="A374" i="17"/>
  <c r="E373" i="17"/>
  <c r="D373" i="17"/>
  <c r="A373" i="17"/>
  <c r="E372" i="17"/>
  <c r="D372" i="17"/>
  <c r="A372" i="17"/>
  <c r="E371" i="17"/>
  <c r="D371" i="17"/>
  <c r="A371" i="17"/>
  <c r="E370" i="17"/>
  <c r="D370" i="17"/>
  <c r="A370" i="17"/>
  <c r="E369" i="17"/>
  <c r="D369" i="17"/>
  <c r="A369" i="17"/>
  <c r="E368" i="17"/>
  <c r="D368" i="17"/>
  <c r="A368" i="17"/>
  <c r="E367" i="17"/>
  <c r="D367" i="17"/>
  <c r="A367" i="17"/>
  <c r="E366" i="17"/>
  <c r="D366" i="17"/>
  <c r="A366" i="17"/>
  <c r="E365" i="17"/>
  <c r="D365" i="17"/>
  <c r="A365" i="17"/>
  <c r="E364" i="17"/>
  <c r="D364" i="17"/>
  <c r="A364" i="17"/>
  <c r="E363" i="17"/>
  <c r="D363" i="17"/>
  <c r="A363" i="17"/>
  <c r="E362" i="17"/>
  <c r="D362" i="17"/>
  <c r="A362" i="17"/>
  <c r="E361" i="17"/>
  <c r="D361" i="17"/>
  <c r="A361" i="17"/>
  <c r="E360" i="17"/>
  <c r="D360" i="17"/>
  <c r="A360" i="17"/>
  <c r="E359" i="17"/>
  <c r="D359" i="17"/>
  <c r="A359" i="17"/>
  <c r="E358" i="17"/>
  <c r="D358" i="17"/>
  <c r="A358" i="17"/>
  <c r="E357" i="17"/>
  <c r="D357" i="17"/>
  <c r="A357" i="17"/>
  <c r="E356" i="17"/>
  <c r="D356" i="17"/>
  <c r="A356" i="17"/>
  <c r="E355" i="17"/>
  <c r="D355" i="17"/>
  <c r="A355" i="17"/>
  <c r="E354" i="17"/>
  <c r="D354" i="17"/>
  <c r="A354" i="17"/>
  <c r="E353" i="17"/>
  <c r="D353" i="17"/>
  <c r="A353" i="17"/>
  <c r="E352" i="17"/>
  <c r="D352" i="17"/>
  <c r="A352" i="17"/>
  <c r="E351" i="17"/>
  <c r="D351" i="17"/>
  <c r="A351" i="17"/>
  <c r="E350" i="17"/>
  <c r="D350" i="17"/>
  <c r="A350" i="17"/>
  <c r="E349" i="17"/>
  <c r="D349" i="17"/>
  <c r="A349" i="17"/>
  <c r="E348" i="17"/>
  <c r="D348" i="17"/>
  <c r="A348" i="17"/>
  <c r="E347" i="17"/>
  <c r="D347" i="17"/>
  <c r="A347" i="17"/>
  <c r="E346" i="17"/>
  <c r="D346" i="17"/>
  <c r="A346" i="17"/>
  <c r="E453" i="17"/>
  <c r="D453" i="17"/>
  <c r="A453" i="17"/>
  <c r="E452" i="17"/>
  <c r="D452" i="17"/>
  <c r="A452" i="17"/>
  <c r="E451" i="17"/>
  <c r="D451" i="17"/>
  <c r="A451" i="17"/>
  <c r="E450" i="17"/>
  <c r="D450" i="17"/>
  <c r="A450" i="17"/>
  <c r="E449" i="17"/>
  <c r="D449" i="17"/>
  <c r="A449" i="17"/>
  <c r="E448" i="17"/>
  <c r="D448" i="17"/>
  <c r="A448" i="17"/>
  <c r="E447" i="17"/>
  <c r="D447" i="17"/>
  <c r="A447" i="17"/>
  <c r="E446" i="17"/>
  <c r="D446" i="17"/>
  <c r="A446" i="17"/>
  <c r="E445" i="17"/>
  <c r="D445" i="17"/>
  <c r="A445" i="17"/>
  <c r="E444" i="17"/>
  <c r="D444" i="17"/>
  <c r="A444" i="17"/>
  <c r="E443" i="17"/>
  <c r="D443" i="17"/>
  <c r="A443" i="17"/>
  <c r="E442" i="17"/>
  <c r="D442" i="17"/>
  <c r="A442" i="17"/>
  <c r="E441" i="17"/>
  <c r="D441" i="17"/>
  <c r="A441" i="17"/>
  <c r="E440" i="17"/>
  <c r="D440" i="17"/>
  <c r="A440" i="17"/>
  <c r="E439" i="17"/>
  <c r="D439" i="17"/>
  <c r="A439" i="17"/>
  <c r="E438" i="17"/>
  <c r="D438" i="17"/>
  <c r="A438" i="17"/>
  <c r="E437" i="17"/>
  <c r="D437" i="17"/>
  <c r="A437" i="17"/>
  <c r="E436" i="17"/>
  <c r="D436" i="17"/>
  <c r="A436" i="17"/>
  <c r="E435" i="17"/>
  <c r="D435" i="17"/>
  <c r="A435" i="17"/>
  <c r="E434" i="17"/>
  <c r="D434" i="17"/>
  <c r="A434" i="17"/>
  <c r="E433" i="17"/>
  <c r="D433" i="17"/>
  <c r="A433" i="17"/>
  <c r="E432" i="17"/>
  <c r="D432" i="17"/>
  <c r="A432" i="17"/>
  <c r="E431" i="17"/>
  <c r="D431" i="17"/>
  <c r="A431" i="17"/>
  <c r="E430" i="17"/>
  <c r="D430" i="17"/>
  <c r="A430" i="17"/>
  <c r="E429" i="17"/>
  <c r="D429" i="17"/>
  <c r="A429" i="17"/>
  <c r="E428" i="17"/>
  <c r="D428" i="17"/>
  <c r="A428" i="17"/>
  <c r="E427" i="17"/>
  <c r="D427" i="17"/>
  <c r="A427" i="17"/>
  <c r="E426" i="17"/>
  <c r="D426" i="17"/>
  <c r="A426" i="17"/>
  <c r="E425" i="17"/>
  <c r="D425" i="17"/>
  <c r="A425" i="17"/>
  <c r="E424" i="17"/>
  <c r="D424" i="17"/>
  <c r="A424" i="17"/>
  <c r="E423" i="17"/>
  <c r="D423" i="17"/>
  <c r="A423" i="17"/>
  <c r="E530" i="17"/>
  <c r="D530" i="17"/>
  <c r="A530" i="17"/>
  <c r="E529" i="17"/>
  <c r="D529" i="17"/>
  <c r="A529" i="17"/>
  <c r="E528" i="17"/>
  <c r="D528" i="17"/>
  <c r="A528" i="17"/>
  <c r="E527" i="17"/>
  <c r="D527" i="17"/>
  <c r="A527" i="17"/>
  <c r="E526" i="17"/>
  <c r="D526" i="17"/>
  <c r="A526" i="17"/>
  <c r="E525" i="17"/>
  <c r="D525" i="17"/>
  <c r="A525" i="17"/>
  <c r="E524" i="17"/>
  <c r="D524" i="17"/>
  <c r="A524" i="17"/>
  <c r="E523" i="17"/>
  <c r="D523" i="17"/>
  <c r="A523" i="17"/>
  <c r="E522" i="17"/>
  <c r="D522" i="17"/>
  <c r="A522" i="17"/>
  <c r="E521" i="17"/>
  <c r="D521" i="17"/>
  <c r="A521" i="17"/>
  <c r="E520" i="17"/>
  <c r="D520" i="17"/>
  <c r="A520" i="17"/>
  <c r="E519" i="17"/>
  <c r="D519" i="17"/>
  <c r="A519" i="17"/>
  <c r="E518" i="17"/>
  <c r="D518" i="17"/>
  <c r="A518" i="17"/>
  <c r="E517" i="17"/>
  <c r="D517" i="17"/>
  <c r="A517" i="17"/>
  <c r="E516" i="17"/>
  <c r="D516" i="17"/>
  <c r="A516" i="17"/>
  <c r="E515" i="17"/>
  <c r="D515" i="17"/>
  <c r="A515" i="17"/>
  <c r="E514" i="17"/>
  <c r="D514" i="17"/>
  <c r="A514" i="17"/>
  <c r="E513" i="17"/>
  <c r="D513" i="17"/>
  <c r="A513" i="17"/>
  <c r="E512" i="17"/>
  <c r="D512" i="17"/>
  <c r="A512" i="17"/>
  <c r="E511" i="17"/>
  <c r="D511" i="17"/>
  <c r="A511" i="17"/>
  <c r="E510" i="17"/>
  <c r="D510" i="17"/>
  <c r="A510" i="17"/>
  <c r="E509" i="17"/>
  <c r="D509" i="17"/>
  <c r="A509" i="17"/>
  <c r="E508" i="17"/>
  <c r="D508" i="17"/>
  <c r="A508" i="17"/>
  <c r="E507" i="17"/>
  <c r="D507" i="17"/>
  <c r="A507" i="17"/>
  <c r="E506" i="17"/>
  <c r="D506" i="17"/>
  <c r="A506" i="17"/>
  <c r="E505" i="17"/>
  <c r="D505" i="17"/>
  <c r="A505" i="17"/>
  <c r="E504" i="17"/>
  <c r="D504" i="17"/>
  <c r="A504" i="17"/>
  <c r="E503" i="17"/>
  <c r="D503" i="17"/>
  <c r="A503" i="17"/>
  <c r="E502" i="17"/>
  <c r="D502" i="17"/>
  <c r="A502" i="17"/>
  <c r="E501" i="17"/>
  <c r="D501" i="17"/>
  <c r="A501" i="17"/>
  <c r="E500" i="17"/>
  <c r="D500" i="17"/>
  <c r="A500" i="17"/>
  <c r="E607" i="17"/>
  <c r="D607" i="17"/>
  <c r="A607" i="17"/>
  <c r="E606" i="17"/>
  <c r="D606" i="17"/>
  <c r="A606" i="17"/>
  <c r="E605" i="17"/>
  <c r="D605" i="17"/>
  <c r="A605" i="17"/>
  <c r="E604" i="17"/>
  <c r="D604" i="17"/>
  <c r="A604" i="17"/>
  <c r="E603" i="17"/>
  <c r="D603" i="17"/>
  <c r="A603" i="17"/>
  <c r="E602" i="17"/>
  <c r="D602" i="17"/>
  <c r="A602" i="17"/>
  <c r="E601" i="17"/>
  <c r="D601" i="17"/>
  <c r="A601" i="17"/>
  <c r="E600" i="17"/>
  <c r="D600" i="17"/>
  <c r="A600" i="17"/>
  <c r="E599" i="17"/>
  <c r="D599" i="17"/>
  <c r="A599" i="17"/>
  <c r="E598" i="17"/>
  <c r="D598" i="17"/>
  <c r="A598" i="17"/>
  <c r="E597" i="17"/>
  <c r="D597" i="17"/>
  <c r="A597" i="17"/>
  <c r="E596" i="17"/>
  <c r="D596" i="17"/>
  <c r="A596" i="17"/>
  <c r="E595" i="17"/>
  <c r="D595" i="17"/>
  <c r="A595" i="17"/>
  <c r="E594" i="17"/>
  <c r="D594" i="17"/>
  <c r="A594" i="17"/>
  <c r="E593" i="17"/>
  <c r="D593" i="17"/>
  <c r="A593" i="17"/>
  <c r="E592" i="17"/>
  <c r="D592" i="17"/>
  <c r="A592" i="17"/>
  <c r="E591" i="17"/>
  <c r="D591" i="17"/>
  <c r="A591" i="17"/>
  <c r="E590" i="17"/>
  <c r="D590" i="17"/>
  <c r="A590" i="17"/>
  <c r="E589" i="17"/>
  <c r="D589" i="17"/>
  <c r="A589" i="17"/>
  <c r="E588" i="17"/>
  <c r="D588" i="17"/>
  <c r="A588" i="17"/>
  <c r="E587" i="17"/>
  <c r="D587" i="17"/>
  <c r="A587" i="17"/>
  <c r="E586" i="17"/>
  <c r="D586" i="17"/>
  <c r="A586" i="17"/>
  <c r="E585" i="17"/>
  <c r="D585" i="17"/>
  <c r="A585" i="17"/>
  <c r="E584" i="17"/>
  <c r="D584" i="17"/>
  <c r="A584" i="17"/>
  <c r="E583" i="17"/>
  <c r="D583" i="17"/>
  <c r="A583" i="17"/>
  <c r="E582" i="17"/>
  <c r="D582" i="17"/>
  <c r="A582" i="17"/>
  <c r="E581" i="17"/>
  <c r="D581" i="17"/>
  <c r="A581" i="17"/>
  <c r="E580" i="17"/>
  <c r="D580" i="17"/>
  <c r="A580" i="17"/>
  <c r="E579" i="17"/>
  <c r="D579" i="17"/>
  <c r="A579" i="17"/>
  <c r="E578" i="17"/>
  <c r="D578" i="17"/>
  <c r="A578" i="17"/>
  <c r="E577" i="17"/>
  <c r="D577" i="17"/>
  <c r="A577" i="17"/>
  <c r="E684" i="17"/>
  <c r="D684" i="17"/>
  <c r="A684" i="17"/>
  <c r="E683" i="17"/>
  <c r="D683" i="17"/>
  <c r="A683" i="17"/>
  <c r="E682" i="17"/>
  <c r="D682" i="17"/>
  <c r="A682" i="17"/>
  <c r="E681" i="17"/>
  <c r="D681" i="17"/>
  <c r="A681" i="17"/>
  <c r="E680" i="17"/>
  <c r="D680" i="17"/>
  <c r="A680" i="17"/>
  <c r="E679" i="17"/>
  <c r="D679" i="17"/>
  <c r="A679" i="17"/>
  <c r="E678" i="17"/>
  <c r="D678" i="17"/>
  <c r="A678" i="17"/>
  <c r="E677" i="17"/>
  <c r="D677" i="17"/>
  <c r="A677" i="17"/>
  <c r="E676" i="17"/>
  <c r="D676" i="17"/>
  <c r="A676" i="17"/>
  <c r="E675" i="17"/>
  <c r="D675" i="17"/>
  <c r="A675" i="17"/>
  <c r="E674" i="17"/>
  <c r="D674" i="17"/>
  <c r="A674" i="17"/>
  <c r="E673" i="17"/>
  <c r="D673" i="17"/>
  <c r="A673" i="17"/>
  <c r="E672" i="17"/>
  <c r="D672" i="17"/>
  <c r="A672" i="17"/>
  <c r="E671" i="17"/>
  <c r="D671" i="17"/>
  <c r="A671" i="17"/>
  <c r="E670" i="17"/>
  <c r="D670" i="17"/>
  <c r="A670" i="17"/>
  <c r="E669" i="17"/>
  <c r="D669" i="17"/>
  <c r="A669" i="17"/>
  <c r="E668" i="17"/>
  <c r="D668" i="17"/>
  <c r="A668" i="17"/>
  <c r="E667" i="17"/>
  <c r="D667" i="17"/>
  <c r="A667" i="17"/>
  <c r="E666" i="17"/>
  <c r="D666" i="17"/>
  <c r="A666" i="17"/>
  <c r="E665" i="17"/>
  <c r="D665" i="17"/>
  <c r="A665" i="17"/>
  <c r="E664" i="17"/>
  <c r="D664" i="17"/>
  <c r="A664" i="17"/>
  <c r="E663" i="17"/>
  <c r="D663" i="17"/>
  <c r="A663" i="17"/>
  <c r="E662" i="17"/>
  <c r="D662" i="17"/>
  <c r="A662" i="17"/>
  <c r="E661" i="17"/>
  <c r="D661" i="17"/>
  <c r="A661" i="17"/>
  <c r="E660" i="17"/>
  <c r="D660" i="17"/>
  <c r="A660" i="17"/>
  <c r="E659" i="17"/>
  <c r="D659" i="17"/>
  <c r="A659" i="17"/>
  <c r="E658" i="17"/>
  <c r="D658" i="17"/>
  <c r="A658" i="17"/>
  <c r="E657" i="17"/>
  <c r="D657" i="17"/>
  <c r="A657" i="17"/>
  <c r="E656" i="17"/>
  <c r="D656" i="17"/>
  <c r="A656" i="17"/>
  <c r="E655" i="17"/>
  <c r="D655" i="17"/>
  <c r="A655" i="17"/>
  <c r="E654" i="17"/>
  <c r="D654" i="17"/>
  <c r="A654" i="17"/>
  <c r="E684" i="16"/>
  <c r="D684" i="16"/>
  <c r="A684" i="16"/>
  <c r="E683" i="16"/>
  <c r="D683" i="16"/>
  <c r="A683" i="16"/>
  <c r="E682" i="16"/>
  <c r="D682" i="16"/>
  <c r="A682" i="16"/>
  <c r="E681" i="16"/>
  <c r="D681" i="16"/>
  <c r="A681" i="16"/>
  <c r="E680" i="16"/>
  <c r="D680" i="16"/>
  <c r="A680" i="16"/>
  <c r="E679" i="16"/>
  <c r="D679" i="16"/>
  <c r="A679" i="16"/>
  <c r="E678" i="16"/>
  <c r="D678" i="16"/>
  <c r="A678" i="16"/>
  <c r="E677" i="16"/>
  <c r="D677" i="16"/>
  <c r="A677" i="16"/>
  <c r="E676" i="16"/>
  <c r="D676" i="16"/>
  <c r="A676" i="16"/>
  <c r="E675" i="16"/>
  <c r="D675" i="16"/>
  <c r="A675" i="16"/>
  <c r="E674" i="16"/>
  <c r="D674" i="16"/>
  <c r="A674" i="16"/>
  <c r="E673" i="16"/>
  <c r="D673" i="16"/>
  <c r="A673" i="16"/>
  <c r="E672" i="16"/>
  <c r="D672" i="16"/>
  <c r="A672" i="16"/>
  <c r="E671" i="16"/>
  <c r="D671" i="16"/>
  <c r="A671" i="16"/>
  <c r="E670" i="16"/>
  <c r="D670" i="16"/>
  <c r="A670" i="16"/>
  <c r="E669" i="16"/>
  <c r="D669" i="16"/>
  <c r="A669" i="16"/>
  <c r="E668" i="16"/>
  <c r="D668" i="16"/>
  <c r="A668" i="16"/>
  <c r="E667" i="16"/>
  <c r="D667" i="16"/>
  <c r="A667" i="16"/>
  <c r="E666" i="16"/>
  <c r="D666" i="16"/>
  <c r="A666" i="16"/>
  <c r="E665" i="16"/>
  <c r="D665" i="16"/>
  <c r="A665" i="16"/>
  <c r="E664" i="16"/>
  <c r="D664" i="16"/>
  <c r="A664" i="16"/>
  <c r="E663" i="16"/>
  <c r="D663" i="16"/>
  <c r="A663" i="16"/>
  <c r="E662" i="16"/>
  <c r="D662" i="16"/>
  <c r="A662" i="16"/>
  <c r="E661" i="16"/>
  <c r="D661" i="16"/>
  <c r="A661" i="16"/>
  <c r="E660" i="16"/>
  <c r="D660" i="16"/>
  <c r="A660" i="16"/>
  <c r="E659" i="16"/>
  <c r="D659" i="16"/>
  <c r="A659" i="16"/>
  <c r="E658" i="16"/>
  <c r="D658" i="16"/>
  <c r="A658" i="16"/>
  <c r="E657" i="16"/>
  <c r="D657" i="16"/>
  <c r="A657" i="16"/>
  <c r="E656" i="16"/>
  <c r="D656" i="16"/>
  <c r="A656" i="16"/>
  <c r="E655" i="16"/>
  <c r="D655" i="16"/>
  <c r="A655" i="16"/>
  <c r="E654" i="16"/>
  <c r="D654" i="16"/>
  <c r="A654" i="16"/>
  <c r="E607" i="16"/>
  <c r="D607" i="16"/>
  <c r="A607" i="16"/>
  <c r="E606" i="16"/>
  <c r="D606" i="16"/>
  <c r="A606" i="16"/>
  <c r="E605" i="16"/>
  <c r="D605" i="16"/>
  <c r="A605" i="16"/>
  <c r="E604" i="16"/>
  <c r="D604" i="16"/>
  <c r="A604" i="16"/>
  <c r="E603" i="16"/>
  <c r="D603" i="16"/>
  <c r="A603" i="16"/>
  <c r="E602" i="16"/>
  <c r="D602" i="16"/>
  <c r="A602" i="16"/>
  <c r="E601" i="16"/>
  <c r="D601" i="16"/>
  <c r="A601" i="16"/>
  <c r="E600" i="16"/>
  <c r="D600" i="16"/>
  <c r="A600" i="16"/>
  <c r="E599" i="16"/>
  <c r="D599" i="16"/>
  <c r="A599" i="16"/>
  <c r="E598" i="16"/>
  <c r="D598" i="16"/>
  <c r="A598" i="16"/>
  <c r="E597" i="16"/>
  <c r="D597" i="16"/>
  <c r="A597" i="16"/>
  <c r="E596" i="16"/>
  <c r="D596" i="16"/>
  <c r="A596" i="16"/>
  <c r="E595" i="16"/>
  <c r="D595" i="16"/>
  <c r="A595" i="16"/>
  <c r="E594" i="16"/>
  <c r="D594" i="16"/>
  <c r="A594" i="16"/>
  <c r="E593" i="16"/>
  <c r="D593" i="16"/>
  <c r="A593" i="16"/>
  <c r="E592" i="16"/>
  <c r="D592" i="16"/>
  <c r="A592" i="16"/>
  <c r="E591" i="16"/>
  <c r="D591" i="16"/>
  <c r="A591" i="16"/>
  <c r="E590" i="16"/>
  <c r="D590" i="16"/>
  <c r="A590" i="16"/>
  <c r="E589" i="16"/>
  <c r="D589" i="16"/>
  <c r="A589" i="16"/>
  <c r="E588" i="16"/>
  <c r="D588" i="16"/>
  <c r="A588" i="16"/>
  <c r="E587" i="16"/>
  <c r="D587" i="16"/>
  <c r="A587" i="16"/>
  <c r="E586" i="16"/>
  <c r="D586" i="16"/>
  <c r="A586" i="16"/>
  <c r="E585" i="16"/>
  <c r="D585" i="16"/>
  <c r="A585" i="16"/>
  <c r="E584" i="16"/>
  <c r="D584" i="16"/>
  <c r="A584" i="16"/>
  <c r="E583" i="16"/>
  <c r="D583" i="16"/>
  <c r="A583" i="16"/>
  <c r="E582" i="16"/>
  <c r="D582" i="16"/>
  <c r="A582" i="16"/>
  <c r="E581" i="16"/>
  <c r="D581" i="16"/>
  <c r="A581" i="16"/>
  <c r="E580" i="16"/>
  <c r="D580" i="16"/>
  <c r="A580" i="16"/>
  <c r="E579" i="16"/>
  <c r="D579" i="16"/>
  <c r="A579" i="16"/>
  <c r="E578" i="16"/>
  <c r="D578" i="16"/>
  <c r="A578" i="16"/>
  <c r="E577" i="16"/>
  <c r="D577" i="16"/>
  <c r="A577" i="16"/>
  <c r="E530" i="16"/>
  <c r="D530" i="16"/>
  <c r="A530" i="16"/>
  <c r="E529" i="16"/>
  <c r="D529" i="16"/>
  <c r="A529" i="16"/>
  <c r="E528" i="16"/>
  <c r="D528" i="16"/>
  <c r="A528" i="16"/>
  <c r="E527" i="16"/>
  <c r="D527" i="16"/>
  <c r="A527" i="16"/>
  <c r="E526" i="16"/>
  <c r="D526" i="16"/>
  <c r="A526" i="16"/>
  <c r="E525" i="16"/>
  <c r="D525" i="16"/>
  <c r="A525" i="16"/>
  <c r="E524" i="16"/>
  <c r="D524" i="16"/>
  <c r="A524" i="16"/>
  <c r="E523" i="16"/>
  <c r="D523" i="16"/>
  <c r="A523" i="16"/>
  <c r="E522" i="16"/>
  <c r="D522" i="16"/>
  <c r="A522" i="16"/>
  <c r="E521" i="16"/>
  <c r="D521" i="16"/>
  <c r="A521" i="16"/>
  <c r="E520" i="16"/>
  <c r="D520" i="16"/>
  <c r="A520" i="16"/>
  <c r="E519" i="16"/>
  <c r="D519" i="16"/>
  <c r="A519" i="16"/>
  <c r="E518" i="16"/>
  <c r="D518" i="16"/>
  <c r="A518" i="16"/>
  <c r="E517" i="16"/>
  <c r="D517" i="16"/>
  <c r="A517" i="16"/>
  <c r="E516" i="16"/>
  <c r="D516" i="16"/>
  <c r="A516" i="16"/>
  <c r="E515" i="16"/>
  <c r="D515" i="16"/>
  <c r="A515" i="16"/>
  <c r="E514" i="16"/>
  <c r="D514" i="16"/>
  <c r="A514" i="16"/>
  <c r="E513" i="16"/>
  <c r="D513" i="16"/>
  <c r="A513" i="16"/>
  <c r="E512" i="16"/>
  <c r="D512" i="16"/>
  <c r="A512" i="16"/>
  <c r="E511" i="16"/>
  <c r="D511" i="16"/>
  <c r="A511" i="16"/>
  <c r="E510" i="16"/>
  <c r="D510" i="16"/>
  <c r="A510" i="16"/>
  <c r="E509" i="16"/>
  <c r="D509" i="16"/>
  <c r="A509" i="16"/>
  <c r="E508" i="16"/>
  <c r="D508" i="16"/>
  <c r="A508" i="16"/>
  <c r="E507" i="16"/>
  <c r="D507" i="16"/>
  <c r="A507" i="16"/>
  <c r="E506" i="16"/>
  <c r="D506" i="16"/>
  <c r="A506" i="16"/>
  <c r="E505" i="16"/>
  <c r="D505" i="16"/>
  <c r="A505" i="16"/>
  <c r="E504" i="16"/>
  <c r="D504" i="16"/>
  <c r="A504" i="16"/>
  <c r="E503" i="16"/>
  <c r="D503" i="16"/>
  <c r="A503" i="16"/>
  <c r="E502" i="16"/>
  <c r="D502" i="16"/>
  <c r="A502" i="16"/>
  <c r="E501" i="16"/>
  <c r="D501" i="16"/>
  <c r="A501" i="16"/>
  <c r="E500" i="16"/>
  <c r="D500" i="16"/>
  <c r="A500" i="16"/>
  <c r="E453" i="16"/>
  <c r="D453" i="16"/>
  <c r="A453" i="16"/>
  <c r="E452" i="16"/>
  <c r="D452" i="16"/>
  <c r="A452" i="16"/>
  <c r="E451" i="16"/>
  <c r="D451" i="16"/>
  <c r="A451" i="16"/>
  <c r="E450" i="16"/>
  <c r="D450" i="16"/>
  <c r="A450" i="16"/>
  <c r="E449" i="16"/>
  <c r="D449" i="16"/>
  <c r="A449" i="16"/>
  <c r="E448" i="16"/>
  <c r="D448" i="16"/>
  <c r="A448" i="16"/>
  <c r="E447" i="16"/>
  <c r="D447" i="16"/>
  <c r="A447" i="16"/>
  <c r="E446" i="16"/>
  <c r="D446" i="16"/>
  <c r="A446" i="16"/>
  <c r="E445" i="16"/>
  <c r="D445" i="16"/>
  <c r="A445" i="16"/>
  <c r="E444" i="16"/>
  <c r="D444" i="16"/>
  <c r="A444" i="16"/>
  <c r="E443" i="16"/>
  <c r="D443" i="16"/>
  <c r="A443" i="16"/>
  <c r="E442" i="16"/>
  <c r="D442" i="16"/>
  <c r="A442" i="16"/>
  <c r="E441" i="16"/>
  <c r="D441" i="16"/>
  <c r="A441" i="16"/>
  <c r="E440" i="16"/>
  <c r="D440" i="16"/>
  <c r="A440" i="16"/>
  <c r="E439" i="16"/>
  <c r="D439" i="16"/>
  <c r="A439" i="16"/>
  <c r="E438" i="16"/>
  <c r="D438" i="16"/>
  <c r="A438" i="16"/>
  <c r="E437" i="16"/>
  <c r="D437" i="16"/>
  <c r="A437" i="16"/>
  <c r="E436" i="16"/>
  <c r="D436" i="16"/>
  <c r="A436" i="16"/>
  <c r="E435" i="16"/>
  <c r="D435" i="16"/>
  <c r="A435" i="16"/>
  <c r="E434" i="16"/>
  <c r="D434" i="16"/>
  <c r="A434" i="16"/>
  <c r="E433" i="16"/>
  <c r="D433" i="16"/>
  <c r="A433" i="16"/>
  <c r="E432" i="16"/>
  <c r="D432" i="16"/>
  <c r="A432" i="16"/>
  <c r="E431" i="16"/>
  <c r="D431" i="16"/>
  <c r="A431" i="16"/>
  <c r="E430" i="16"/>
  <c r="D430" i="16"/>
  <c r="A430" i="16"/>
  <c r="E429" i="16"/>
  <c r="D429" i="16"/>
  <c r="A429" i="16"/>
  <c r="E428" i="16"/>
  <c r="D428" i="16"/>
  <c r="A428" i="16"/>
  <c r="E427" i="16"/>
  <c r="D427" i="16"/>
  <c r="A427" i="16"/>
  <c r="E426" i="16"/>
  <c r="D426" i="16"/>
  <c r="A426" i="16"/>
  <c r="E425" i="16"/>
  <c r="D425" i="16"/>
  <c r="A425" i="16"/>
  <c r="E424" i="16"/>
  <c r="D424" i="16"/>
  <c r="A424" i="16"/>
  <c r="E423" i="16"/>
  <c r="D423" i="16"/>
  <c r="A423" i="16"/>
  <c r="E376" i="16"/>
  <c r="D376" i="16"/>
  <c r="A376" i="16"/>
  <c r="E375" i="16"/>
  <c r="D375" i="16"/>
  <c r="A375" i="16"/>
  <c r="E374" i="16"/>
  <c r="D374" i="16"/>
  <c r="A374" i="16"/>
  <c r="E373" i="16"/>
  <c r="D373" i="16"/>
  <c r="A373" i="16"/>
  <c r="E372" i="16"/>
  <c r="D372" i="16"/>
  <c r="A372" i="16"/>
  <c r="E371" i="16"/>
  <c r="D371" i="16"/>
  <c r="A371" i="16"/>
  <c r="E370" i="16"/>
  <c r="D370" i="16"/>
  <c r="A370" i="16"/>
  <c r="E369" i="16"/>
  <c r="D369" i="16"/>
  <c r="A369" i="16"/>
  <c r="E368" i="16"/>
  <c r="D368" i="16"/>
  <c r="A368" i="16"/>
  <c r="E367" i="16"/>
  <c r="D367" i="16"/>
  <c r="A367" i="16"/>
  <c r="E366" i="16"/>
  <c r="D366" i="16"/>
  <c r="A366" i="16"/>
  <c r="E365" i="16"/>
  <c r="D365" i="16"/>
  <c r="A365" i="16"/>
  <c r="E364" i="16"/>
  <c r="D364" i="16"/>
  <c r="A364" i="16"/>
  <c r="E363" i="16"/>
  <c r="D363" i="16"/>
  <c r="A363" i="16"/>
  <c r="E362" i="16"/>
  <c r="D362" i="16"/>
  <c r="A362" i="16"/>
  <c r="E361" i="16"/>
  <c r="D361" i="16"/>
  <c r="A361" i="16"/>
  <c r="E360" i="16"/>
  <c r="D360" i="16"/>
  <c r="A360" i="16"/>
  <c r="E359" i="16"/>
  <c r="D359" i="16"/>
  <c r="A359" i="16"/>
  <c r="E358" i="16"/>
  <c r="D358" i="16"/>
  <c r="A358" i="16"/>
  <c r="E357" i="16"/>
  <c r="D357" i="16"/>
  <c r="A357" i="16"/>
  <c r="E356" i="16"/>
  <c r="D356" i="16"/>
  <c r="A356" i="16"/>
  <c r="E355" i="16"/>
  <c r="D355" i="16"/>
  <c r="A355" i="16"/>
  <c r="E354" i="16"/>
  <c r="D354" i="16"/>
  <c r="A354" i="16"/>
  <c r="E353" i="16"/>
  <c r="D353" i="16"/>
  <c r="A353" i="16"/>
  <c r="E352" i="16"/>
  <c r="D352" i="16"/>
  <c r="A352" i="16"/>
  <c r="E351" i="16"/>
  <c r="D351" i="16"/>
  <c r="A351" i="16"/>
  <c r="E350" i="16"/>
  <c r="D350" i="16"/>
  <c r="A350" i="16"/>
  <c r="E349" i="16"/>
  <c r="D349" i="16"/>
  <c r="A349" i="16"/>
  <c r="E348" i="16"/>
  <c r="D348" i="16"/>
  <c r="A348" i="16"/>
  <c r="E347" i="16"/>
  <c r="D347" i="16"/>
  <c r="A347" i="16"/>
  <c r="E346" i="16"/>
  <c r="D346" i="16"/>
  <c r="A346"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268" i="16"/>
  <c r="D269" i="16"/>
  <c r="D270" i="16"/>
  <c r="D271" i="16"/>
  <c r="D272" i="16"/>
  <c r="D273" i="16"/>
  <c r="D274" i="16"/>
  <c r="D275" i="16"/>
  <c r="D276" i="16"/>
  <c r="D277" i="16"/>
  <c r="D278" i="16"/>
  <c r="D279" i="16"/>
  <c r="D280" i="16"/>
  <c r="D281" i="16"/>
  <c r="D282" i="16"/>
  <c r="D283" i="16"/>
  <c r="D284" i="16"/>
  <c r="D285" i="16"/>
  <c r="D286" i="16"/>
  <c r="D287" i="16"/>
  <c r="D288" i="16"/>
  <c r="D289" i="16"/>
  <c r="D290" i="16"/>
  <c r="D291" i="16"/>
  <c r="D292" i="16"/>
  <c r="D293" i="16"/>
  <c r="D294" i="16"/>
  <c r="D295" i="16"/>
  <c r="D296" i="16"/>
  <c r="D297" i="16"/>
  <c r="D298" i="16"/>
  <c r="D299" i="16"/>
  <c r="D268" i="16"/>
  <c r="E269" i="16"/>
  <c r="E270" i="16"/>
  <c r="E271" i="16"/>
  <c r="E272" i="16"/>
  <c r="E273" i="16"/>
  <c r="E274" i="16"/>
  <c r="E275" i="16"/>
  <c r="E276" i="16"/>
  <c r="E277" i="16"/>
  <c r="E278" i="16"/>
  <c r="E279" i="16"/>
  <c r="E280" i="16"/>
  <c r="E281" i="16"/>
  <c r="E282" i="16"/>
  <c r="E283" i="16"/>
  <c r="E284" i="16"/>
  <c r="E285" i="16"/>
  <c r="E286" i="16"/>
  <c r="E287" i="16"/>
  <c r="E288" i="16"/>
  <c r="E289" i="16"/>
  <c r="E290" i="16"/>
  <c r="E291" i="16"/>
  <c r="E292" i="16"/>
  <c r="E293" i="16"/>
  <c r="E294" i="16"/>
  <c r="E295" i="16"/>
  <c r="E296" i="16"/>
  <c r="E297" i="16"/>
  <c r="E298" i="16"/>
  <c r="E299" i="16"/>
  <c r="E268" i="16"/>
  <c r="BH160" i="7"/>
  <c r="BG160" i="7"/>
  <c r="BF160" i="7"/>
  <c r="BE160" i="7"/>
  <c r="BD160" i="7"/>
  <c r="BC160" i="7"/>
  <c r="BB160" i="7"/>
  <c r="BA160" i="7"/>
  <c r="AZ160" i="7"/>
  <c r="AY160" i="7"/>
  <c r="AX160" i="7"/>
  <c r="AW160" i="7"/>
  <c r="AV160" i="7"/>
  <c r="AU160" i="7"/>
  <c r="AT160" i="7"/>
  <c r="AS160" i="7"/>
  <c r="AR160" i="7"/>
  <c r="AQ160" i="7"/>
  <c r="AP160" i="7"/>
  <c r="AO160" i="7"/>
  <c r="AN160" i="7"/>
  <c r="AM160" i="7"/>
  <c r="AL160" i="7"/>
  <c r="AK160" i="7"/>
  <c r="AJ160" i="7"/>
  <c r="AI160" i="7"/>
  <c r="AH160" i="7"/>
  <c r="AG160" i="7"/>
  <c r="AF160" i="7"/>
  <c r="AE160" i="7"/>
  <c r="AD160" i="7"/>
  <c r="AC160" i="7"/>
  <c r="BH159" i="7"/>
  <c r="BG159" i="7"/>
  <c r="BF159" i="7"/>
  <c r="BE159" i="7"/>
  <c r="BD159" i="7"/>
  <c r="BC159" i="7"/>
  <c r="BB159" i="7"/>
  <c r="BA159" i="7"/>
  <c r="AZ159" i="7"/>
  <c r="AY159" i="7"/>
  <c r="AX159" i="7"/>
  <c r="AW159" i="7"/>
  <c r="AV159" i="7"/>
  <c r="AU159" i="7"/>
  <c r="AT159" i="7"/>
  <c r="AS159" i="7"/>
  <c r="AR159" i="7"/>
  <c r="AQ159" i="7"/>
  <c r="AP159" i="7"/>
  <c r="AO159" i="7"/>
  <c r="AN159" i="7"/>
  <c r="AM159" i="7"/>
  <c r="AL159" i="7"/>
  <c r="AK159" i="7"/>
  <c r="AJ159" i="7"/>
  <c r="AI159" i="7"/>
  <c r="AH159" i="7"/>
  <c r="AG159" i="7"/>
  <c r="AF159" i="7"/>
  <c r="AE159" i="7"/>
  <c r="AD159" i="7"/>
  <c r="AC159" i="7"/>
  <c r="BH158" i="7"/>
  <c r="BG158" i="7"/>
  <c r="BF158" i="7"/>
  <c r="BE158" i="7"/>
  <c r="BD158" i="7"/>
  <c r="BC158" i="7"/>
  <c r="BB158" i="7"/>
  <c r="BA158" i="7"/>
  <c r="AZ158" i="7"/>
  <c r="AY158" i="7"/>
  <c r="AX158" i="7"/>
  <c r="AW158" i="7"/>
  <c r="AV158" i="7"/>
  <c r="AU158" i="7"/>
  <c r="AT158" i="7"/>
  <c r="AS158" i="7"/>
  <c r="AR158" i="7"/>
  <c r="AQ158" i="7"/>
  <c r="AP158" i="7"/>
  <c r="AO158" i="7"/>
  <c r="AN158" i="7"/>
  <c r="AM158" i="7"/>
  <c r="AL158" i="7"/>
  <c r="AK158" i="7"/>
  <c r="AJ158" i="7"/>
  <c r="AI158" i="7"/>
  <c r="AH158" i="7"/>
  <c r="AG158" i="7"/>
  <c r="AF158" i="7"/>
  <c r="AE158" i="7"/>
  <c r="AD158" i="7"/>
  <c r="AC158" i="7"/>
  <c r="BH157" i="7"/>
  <c r="BG157" i="7"/>
  <c r="BF157" i="7"/>
  <c r="BE157" i="7"/>
  <c r="BD157" i="7"/>
  <c r="BC157" i="7"/>
  <c r="BB157" i="7"/>
  <c r="BA157" i="7"/>
  <c r="AZ157" i="7"/>
  <c r="AY157" i="7"/>
  <c r="AX157" i="7"/>
  <c r="AW157" i="7"/>
  <c r="AV157" i="7"/>
  <c r="AU157" i="7"/>
  <c r="AT157" i="7"/>
  <c r="AS157" i="7"/>
  <c r="AR157" i="7"/>
  <c r="AQ157" i="7"/>
  <c r="AP157" i="7"/>
  <c r="AO157" i="7"/>
  <c r="AN157" i="7"/>
  <c r="AM157" i="7"/>
  <c r="AL157" i="7"/>
  <c r="AK157" i="7"/>
  <c r="AJ157" i="7"/>
  <c r="AI157" i="7"/>
  <c r="AH157" i="7"/>
  <c r="AG157" i="7"/>
  <c r="AF157" i="7"/>
  <c r="AE157" i="7"/>
  <c r="AD157" i="7"/>
  <c r="AC157" i="7"/>
  <c r="Q138" i="7"/>
  <c r="B84" i="6" s="1"/>
  <c r="Q139" i="7"/>
  <c r="Q140" i="7"/>
  <c r="B170" i="6" s="1"/>
  <c r="Q137" i="7"/>
  <c r="P139" i="7"/>
  <c r="P140" i="7"/>
  <c r="P141" i="7"/>
  <c r="P142" i="7"/>
  <c r="P143" i="7"/>
  <c r="P144" i="7"/>
  <c r="A84" i="6"/>
  <c r="C84" i="6"/>
  <c r="D84" i="6"/>
  <c r="H84" i="6"/>
  <c r="P138" i="7"/>
  <c r="P137" i="7"/>
  <c r="Q160" i="7"/>
  <c r="P160" i="7"/>
  <c r="Q159" i="7"/>
  <c r="P159" i="7"/>
  <c r="Q158" i="7"/>
  <c r="P158" i="7"/>
  <c r="Q157" i="7"/>
  <c r="P157" i="7"/>
  <c r="P146" i="7"/>
  <c r="B83" i="9" s="1"/>
  <c r="Q146" i="7"/>
  <c r="P147" i="7"/>
  <c r="Q147" i="7"/>
  <c r="P148" i="7"/>
  <c r="B171" i="9" s="1"/>
  <c r="Q148" i="7"/>
  <c r="P149" i="7"/>
  <c r="Q149" i="7"/>
  <c r="B40" i="10" s="1"/>
  <c r="P150" i="7"/>
  <c r="Q150" i="7"/>
  <c r="P151" i="7"/>
  <c r="Q151" i="7"/>
  <c r="P152" i="7"/>
  <c r="B171" i="10" s="1"/>
  <c r="Q152" i="7"/>
  <c r="B172" i="10" s="1"/>
  <c r="P153" i="7"/>
  <c r="Q153" i="7"/>
  <c r="B40" i="11" s="1"/>
  <c r="P154" i="7"/>
  <c r="Q154" i="7"/>
  <c r="P155" i="7"/>
  <c r="Q155" i="7"/>
  <c r="P156" i="7"/>
  <c r="Q156" i="7"/>
  <c r="B172" i="11" s="1"/>
  <c r="Q145" i="7"/>
  <c r="B40" i="9" s="1"/>
  <c r="P145" i="7"/>
  <c r="D223" i="13"/>
  <c r="D222" i="13"/>
  <c r="D221" i="13"/>
  <c r="D220" i="13"/>
  <c r="D185" i="13"/>
  <c r="D184" i="13"/>
  <c r="D183" i="13"/>
  <c r="D182" i="13"/>
  <c r="D147" i="13"/>
  <c r="D146" i="13"/>
  <c r="D145" i="13"/>
  <c r="D144" i="13"/>
  <c r="D109" i="13"/>
  <c r="D108" i="13"/>
  <c r="D153" i="12"/>
  <c r="D152" i="12"/>
  <c r="D151" i="12"/>
  <c r="D150" i="12"/>
  <c r="D149" i="12"/>
  <c r="D114" i="12"/>
  <c r="D113" i="12"/>
  <c r="D112" i="12"/>
  <c r="D111" i="12"/>
  <c r="D110" i="12"/>
  <c r="D75" i="12"/>
  <c r="D74" i="12"/>
  <c r="D73" i="12"/>
  <c r="D72" i="12"/>
  <c r="D71" i="12"/>
  <c r="D36" i="12"/>
  <c r="D35" i="12"/>
  <c r="D34" i="12"/>
  <c r="D33" i="12"/>
  <c r="D32" i="12"/>
  <c r="D173" i="11"/>
  <c r="D172" i="11"/>
  <c r="D171" i="11"/>
  <c r="D170" i="11"/>
  <c r="D169" i="11"/>
  <c r="D168" i="11"/>
  <c r="D167" i="11"/>
  <c r="D166" i="11"/>
  <c r="D165" i="11"/>
  <c r="D129" i="11"/>
  <c r="D128" i="11"/>
  <c r="D127" i="11"/>
  <c r="D126" i="11"/>
  <c r="D125" i="11"/>
  <c r="D124" i="11"/>
  <c r="D123" i="11"/>
  <c r="D122" i="11"/>
  <c r="D121" i="11"/>
  <c r="D85" i="11"/>
  <c r="D84" i="11"/>
  <c r="D83" i="11"/>
  <c r="D82" i="11"/>
  <c r="D81" i="11"/>
  <c r="D80" i="11"/>
  <c r="D79" i="11"/>
  <c r="D78" i="11"/>
  <c r="D77" i="11"/>
  <c r="D41" i="11"/>
  <c r="D40" i="11"/>
  <c r="D39" i="11"/>
  <c r="D38" i="11"/>
  <c r="D37" i="11"/>
  <c r="D36" i="11"/>
  <c r="D35" i="11"/>
  <c r="D34" i="11"/>
  <c r="D33" i="11"/>
  <c r="D173" i="10"/>
  <c r="D172" i="10"/>
  <c r="D171" i="10"/>
  <c r="D170" i="10"/>
  <c r="D169" i="10"/>
  <c r="D168" i="10"/>
  <c r="D167" i="10"/>
  <c r="D166" i="10"/>
  <c r="D165" i="10"/>
  <c r="D129" i="10"/>
  <c r="D128" i="10"/>
  <c r="D127" i="10"/>
  <c r="D126" i="10"/>
  <c r="D125" i="10"/>
  <c r="D124" i="10"/>
  <c r="D123" i="10"/>
  <c r="D122" i="10"/>
  <c r="D121" i="10"/>
  <c r="D85" i="10"/>
  <c r="D84" i="10"/>
  <c r="D83" i="10"/>
  <c r="D82" i="10"/>
  <c r="D81" i="10"/>
  <c r="D80" i="10"/>
  <c r="D79" i="10"/>
  <c r="D78" i="10"/>
  <c r="D77" i="10"/>
  <c r="D33" i="10"/>
  <c r="D41" i="10"/>
  <c r="D40" i="10"/>
  <c r="D39" i="10"/>
  <c r="D38" i="10"/>
  <c r="D37" i="10"/>
  <c r="D36" i="10"/>
  <c r="D35" i="10"/>
  <c r="D34" i="10"/>
  <c r="D173" i="9"/>
  <c r="D172" i="9"/>
  <c r="D171" i="9"/>
  <c r="D170" i="9"/>
  <c r="D169" i="9"/>
  <c r="D168" i="9"/>
  <c r="D167" i="9"/>
  <c r="D166" i="9"/>
  <c r="D165" i="9"/>
  <c r="D129" i="9"/>
  <c r="D128" i="9"/>
  <c r="D127" i="9"/>
  <c r="D126" i="9"/>
  <c r="D125" i="9"/>
  <c r="D124" i="9"/>
  <c r="D123" i="9"/>
  <c r="D122" i="9"/>
  <c r="D121" i="9"/>
  <c r="D85" i="9"/>
  <c r="D84" i="9"/>
  <c r="D83" i="9"/>
  <c r="D82" i="9"/>
  <c r="D81" i="9"/>
  <c r="D80" i="9"/>
  <c r="D79" i="9"/>
  <c r="D78" i="9"/>
  <c r="D77" i="9"/>
  <c r="D41" i="9"/>
  <c r="D40" i="9"/>
  <c r="D39" i="9"/>
  <c r="D38" i="9"/>
  <c r="D37" i="9"/>
  <c r="D36" i="9"/>
  <c r="D35" i="9"/>
  <c r="D34" i="9"/>
  <c r="D33" i="9"/>
  <c r="D141" i="8"/>
  <c r="D140" i="8"/>
  <c r="D105" i="8"/>
  <c r="D104" i="8"/>
  <c r="D69" i="8"/>
  <c r="D68" i="8"/>
  <c r="D33" i="8"/>
  <c r="D32" i="8"/>
  <c r="D223" i="18"/>
  <c r="D222" i="18"/>
  <c r="D221" i="18"/>
  <c r="D220" i="18"/>
  <c r="D185" i="18"/>
  <c r="D184" i="18"/>
  <c r="D183" i="18"/>
  <c r="D182" i="18"/>
  <c r="D147" i="18"/>
  <c r="D146" i="18"/>
  <c r="D145" i="18"/>
  <c r="D144" i="18"/>
  <c r="D109" i="18"/>
  <c r="D108" i="18"/>
  <c r="D107" i="18"/>
  <c r="D106" i="18"/>
  <c r="D71" i="18"/>
  <c r="D70" i="18"/>
  <c r="D69" i="18"/>
  <c r="D34" i="18"/>
  <c r="D33" i="18"/>
  <c r="D32" i="18"/>
  <c r="D223" i="17"/>
  <c r="D222" i="17"/>
  <c r="D221" i="17"/>
  <c r="D220" i="17"/>
  <c r="D185" i="17"/>
  <c r="D184" i="17"/>
  <c r="D183" i="17"/>
  <c r="D182" i="17"/>
  <c r="D147" i="17"/>
  <c r="D146" i="17"/>
  <c r="D145" i="17"/>
  <c r="D144" i="17"/>
  <c r="D109" i="17"/>
  <c r="D108" i="17"/>
  <c r="D107" i="17"/>
  <c r="D106" i="17"/>
  <c r="D71" i="17"/>
  <c r="D70" i="17"/>
  <c r="D69" i="17"/>
  <c r="D34" i="17"/>
  <c r="D33" i="17"/>
  <c r="D32" i="17"/>
  <c r="D223" i="16"/>
  <c r="D222" i="16"/>
  <c r="D221" i="16"/>
  <c r="D220" i="16"/>
  <c r="D185" i="16"/>
  <c r="D184" i="16"/>
  <c r="D183" i="16"/>
  <c r="D182" i="16"/>
  <c r="D147" i="16"/>
  <c r="D146" i="16"/>
  <c r="D145" i="16"/>
  <c r="D144" i="16"/>
  <c r="D109" i="16"/>
  <c r="D108" i="16"/>
  <c r="D107" i="16"/>
  <c r="D106" i="16"/>
  <c r="D71" i="16"/>
  <c r="D70" i="16"/>
  <c r="D69" i="16"/>
  <c r="D34" i="16"/>
  <c r="D33" i="16"/>
  <c r="D32" i="16"/>
  <c r="D177" i="21"/>
  <c r="D176" i="21"/>
  <c r="D175" i="21"/>
  <c r="D174" i="21"/>
  <c r="D173" i="21"/>
  <c r="D172" i="21"/>
  <c r="D171" i="21"/>
  <c r="D170" i="21"/>
  <c r="D169" i="21"/>
  <c r="D168" i="21"/>
  <c r="D132" i="21"/>
  <c r="D131" i="21"/>
  <c r="D130" i="21"/>
  <c r="D129" i="21"/>
  <c r="D128" i="21"/>
  <c r="D127" i="21"/>
  <c r="D126" i="21"/>
  <c r="D125" i="21"/>
  <c r="D124" i="21"/>
  <c r="D123" i="21"/>
  <c r="D87" i="21"/>
  <c r="D86" i="21"/>
  <c r="D85" i="21"/>
  <c r="D84" i="21"/>
  <c r="D83" i="21"/>
  <c r="D82" i="21"/>
  <c r="D81" i="21"/>
  <c r="D80" i="21"/>
  <c r="D79" i="21"/>
  <c r="D78" i="21"/>
  <c r="D42" i="21"/>
  <c r="D41" i="21"/>
  <c r="D40" i="21"/>
  <c r="D39" i="21"/>
  <c r="D38" i="21"/>
  <c r="D37" i="21"/>
  <c r="D36" i="21"/>
  <c r="D35" i="21"/>
  <c r="D34" i="21"/>
  <c r="D33" i="21"/>
  <c r="D177" i="22"/>
  <c r="D176" i="22"/>
  <c r="D175" i="22"/>
  <c r="D174" i="22"/>
  <c r="D173" i="22"/>
  <c r="D172" i="22"/>
  <c r="D171" i="22"/>
  <c r="D170" i="22"/>
  <c r="D169" i="22"/>
  <c r="D168" i="22"/>
  <c r="D132" i="22"/>
  <c r="D131" i="22"/>
  <c r="D130" i="22"/>
  <c r="D129" i="22"/>
  <c r="D128" i="22"/>
  <c r="D127" i="22"/>
  <c r="D126" i="22"/>
  <c r="D125" i="22"/>
  <c r="D124" i="22"/>
  <c r="D123" i="22"/>
  <c r="D87" i="22"/>
  <c r="D86" i="22"/>
  <c r="D85" i="22"/>
  <c r="D84" i="22"/>
  <c r="D83" i="22"/>
  <c r="D82" i="22"/>
  <c r="D81" i="22"/>
  <c r="D80" i="22"/>
  <c r="D79" i="22"/>
  <c r="D78" i="22"/>
  <c r="D42" i="22"/>
  <c r="D41" i="22"/>
  <c r="D40" i="22"/>
  <c r="D39" i="22"/>
  <c r="D38" i="22"/>
  <c r="D37" i="22"/>
  <c r="D36" i="22"/>
  <c r="D35" i="22"/>
  <c r="D34" i="22"/>
  <c r="D33" i="22"/>
  <c r="D177" i="20"/>
  <c r="D176" i="20"/>
  <c r="D175" i="20"/>
  <c r="D174" i="20"/>
  <c r="D173" i="20"/>
  <c r="D172" i="20"/>
  <c r="D171" i="20"/>
  <c r="D170" i="20"/>
  <c r="D169" i="20"/>
  <c r="D168" i="20"/>
  <c r="D132" i="20"/>
  <c r="D131" i="20"/>
  <c r="D130" i="20"/>
  <c r="D129" i="20"/>
  <c r="D128" i="20"/>
  <c r="D127" i="20"/>
  <c r="D126" i="20"/>
  <c r="D125" i="20"/>
  <c r="D124" i="20"/>
  <c r="D123" i="20"/>
  <c r="D87" i="20"/>
  <c r="D86" i="20"/>
  <c r="D85" i="20"/>
  <c r="D84" i="20"/>
  <c r="D83" i="20"/>
  <c r="D82" i="20"/>
  <c r="D81" i="20"/>
  <c r="D80" i="20"/>
  <c r="D79" i="20"/>
  <c r="D78" i="20"/>
  <c r="D42" i="20"/>
  <c r="D41" i="20"/>
  <c r="D40" i="20"/>
  <c r="D39" i="20"/>
  <c r="D38" i="20"/>
  <c r="D37" i="20"/>
  <c r="D36" i="20"/>
  <c r="D35" i="20"/>
  <c r="D34" i="20"/>
  <c r="D33" i="20"/>
  <c r="D176" i="19"/>
  <c r="D175" i="19"/>
  <c r="D174" i="19"/>
  <c r="D173" i="19"/>
  <c r="D172" i="19"/>
  <c r="D171" i="19"/>
  <c r="D170" i="19"/>
  <c r="D169" i="19"/>
  <c r="D168" i="19"/>
  <c r="D131" i="19"/>
  <c r="D130" i="19"/>
  <c r="D129" i="19"/>
  <c r="D128" i="19"/>
  <c r="D127" i="19"/>
  <c r="D126" i="19"/>
  <c r="D125" i="19"/>
  <c r="D124" i="19"/>
  <c r="D123" i="19"/>
  <c r="D86" i="19"/>
  <c r="D85" i="19"/>
  <c r="D84" i="19"/>
  <c r="D83" i="19"/>
  <c r="D82" i="19"/>
  <c r="D81" i="19"/>
  <c r="D80" i="19"/>
  <c r="D79" i="19"/>
  <c r="D78" i="19"/>
  <c r="D41" i="19"/>
  <c r="D40" i="19"/>
  <c r="D35" i="19"/>
  <c r="D34" i="19"/>
  <c r="D33" i="19"/>
  <c r="D32" i="14"/>
  <c r="D257" i="13"/>
  <c r="A486" i="12"/>
  <c r="A443" i="12"/>
  <c r="A400" i="12"/>
  <c r="A357" i="12"/>
  <c r="B329" i="12"/>
  <c r="B372" i="12"/>
  <c r="A399" i="12"/>
  <c r="B415" i="12"/>
  <c r="A442" i="12"/>
  <c r="B458" i="12"/>
  <c r="A354" i="11"/>
  <c r="A391" i="11"/>
  <c r="A428" i="11"/>
  <c r="A465" i="11"/>
  <c r="B436" i="11"/>
  <c r="B399" i="11"/>
  <c r="A427" i="11"/>
  <c r="B362" i="11"/>
  <c r="B325" i="11"/>
  <c r="A354" i="10"/>
  <c r="A391" i="10"/>
  <c r="A428" i="10"/>
  <c r="A465" i="10"/>
  <c r="B436" i="10"/>
  <c r="B399" i="10"/>
  <c r="B362" i="10"/>
  <c r="B325" i="10"/>
  <c r="A353" i="10"/>
  <c r="A355" i="9"/>
  <c r="A392" i="9"/>
  <c r="A429" i="9"/>
  <c r="A466" i="9"/>
  <c r="B437" i="9"/>
  <c r="B400" i="9"/>
  <c r="B363" i="9"/>
  <c r="A391" i="9"/>
  <c r="B326" i="9"/>
  <c r="A354" i="9"/>
  <c r="D107" i="13"/>
  <c r="D106" i="13"/>
  <c r="D71" i="13"/>
  <c r="D70" i="13"/>
  <c r="D69" i="13"/>
  <c r="D68" i="13"/>
  <c r="D34" i="13"/>
  <c r="D33" i="13"/>
  <c r="D32" i="13"/>
  <c r="A362" i="15"/>
  <c r="A400" i="15"/>
  <c r="A438" i="15"/>
  <c r="A476" i="15"/>
  <c r="B447" i="15"/>
  <c r="B409" i="15"/>
  <c r="A437" i="15"/>
  <c r="B371" i="15"/>
  <c r="B333" i="15"/>
  <c r="D177" i="15"/>
  <c r="D176" i="15"/>
  <c r="D175" i="15"/>
  <c r="D174" i="15"/>
  <c r="D173" i="15"/>
  <c r="D172" i="15"/>
  <c r="D171" i="15"/>
  <c r="D170" i="15"/>
  <c r="D169" i="15"/>
  <c r="D168" i="15"/>
  <c r="D132" i="15"/>
  <c r="D131" i="15"/>
  <c r="D130" i="15"/>
  <c r="D129" i="15"/>
  <c r="D128" i="15"/>
  <c r="D127" i="15"/>
  <c r="D126" i="15"/>
  <c r="D125" i="15"/>
  <c r="D124" i="15"/>
  <c r="D123" i="15"/>
  <c r="D87" i="15"/>
  <c r="D86" i="15"/>
  <c r="D85" i="15"/>
  <c r="D84" i="15"/>
  <c r="D83" i="15"/>
  <c r="D82" i="15"/>
  <c r="D81" i="15"/>
  <c r="D80" i="15"/>
  <c r="D79" i="15"/>
  <c r="D78" i="15"/>
  <c r="D42" i="15"/>
  <c r="D41" i="15"/>
  <c r="D40" i="15"/>
  <c r="D39" i="15"/>
  <c r="D38" i="15"/>
  <c r="D37" i="15"/>
  <c r="D36" i="15"/>
  <c r="D35" i="15"/>
  <c r="D34" i="15"/>
  <c r="D33" i="15"/>
  <c r="D39" i="19"/>
  <c r="D38" i="19"/>
  <c r="D37" i="19"/>
  <c r="D36" i="19"/>
  <c r="A476" i="21"/>
  <c r="A438" i="21"/>
  <c r="A400" i="21"/>
  <c r="A362" i="21"/>
  <c r="B447" i="21"/>
  <c r="B409" i="21"/>
  <c r="B371" i="21"/>
  <c r="A399" i="21"/>
  <c r="B333" i="21"/>
  <c r="A361" i="21"/>
  <c r="A477" i="22"/>
  <c r="A439" i="22"/>
  <c r="A401" i="22"/>
  <c r="A363" i="22"/>
  <c r="B448" i="22"/>
  <c r="B410" i="22"/>
  <c r="B372" i="22"/>
  <c r="A400" i="22"/>
  <c r="B334" i="22"/>
  <c r="A476" i="20"/>
  <c r="A438" i="20"/>
  <c r="A400" i="20"/>
  <c r="A362" i="20"/>
  <c r="A476" i="19"/>
  <c r="A438" i="19"/>
  <c r="A400" i="19"/>
  <c r="A362" i="19"/>
  <c r="B447" i="20"/>
  <c r="B409" i="20"/>
  <c r="A437" i="20"/>
  <c r="B371" i="20"/>
  <c r="A399" i="20"/>
  <c r="B333" i="20"/>
  <c r="A361" i="20"/>
  <c r="B447" i="19"/>
  <c r="A475" i="19"/>
  <c r="B409" i="19"/>
  <c r="B371" i="19"/>
  <c r="A399" i="19"/>
  <c r="D364" i="19"/>
  <c r="B333" i="19"/>
  <c r="A361" i="19"/>
  <c r="B43" i="23"/>
  <c r="B42" i="23"/>
  <c r="B28" i="23"/>
  <c r="B27" i="23"/>
  <c r="C177" i="8"/>
  <c r="D177" i="8"/>
  <c r="C178" i="8"/>
  <c r="D178" i="8"/>
  <c r="C360" i="9"/>
  <c r="D360" i="9"/>
  <c r="C361" i="9"/>
  <c r="D361" i="9"/>
  <c r="C212" i="9"/>
  <c r="D212" i="9"/>
  <c r="C213" i="9"/>
  <c r="D213" i="9"/>
  <c r="C359" i="10"/>
  <c r="D359" i="10"/>
  <c r="C360" i="10"/>
  <c r="D360" i="10"/>
  <c r="D211" i="10"/>
  <c r="D212" i="10"/>
  <c r="C211" i="10"/>
  <c r="C212" i="10"/>
  <c r="D359" i="11"/>
  <c r="D360" i="11"/>
  <c r="D358" i="11"/>
  <c r="C359" i="11"/>
  <c r="C360" i="11"/>
  <c r="C358" i="11"/>
  <c r="D211" i="11"/>
  <c r="D212" i="11"/>
  <c r="C211" i="11"/>
  <c r="C212" i="11"/>
  <c r="H152" i="12"/>
  <c r="C152" i="12"/>
  <c r="A152" i="12"/>
  <c r="H113" i="12"/>
  <c r="C113" i="12"/>
  <c r="A113" i="12"/>
  <c r="H74" i="12"/>
  <c r="C74" i="12"/>
  <c r="A74" i="12"/>
  <c r="H35" i="12"/>
  <c r="C35" i="12"/>
  <c r="A35" i="12"/>
  <c r="H167" i="11"/>
  <c r="C167" i="11"/>
  <c r="A167" i="11"/>
  <c r="H123" i="11"/>
  <c r="C123" i="11"/>
  <c r="A123" i="11"/>
  <c r="H79" i="11"/>
  <c r="C79" i="11"/>
  <c r="A79" i="11"/>
  <c r="H35" i="11"/>
  <c r="C35" i="11"/>
  <c r="A35" i="11"/>
  <c r="H167" i="10"/>
  <c r="C167" i="10"/>
  <c r="A167" i="10"/>
  <c r="H123" i="10"/>
  <c r="C123" i="10"/>
  <c r="A123" i="10"/>
  <c r="H79" i="10"/>
  <c r="C79" i="10"/>
  <c r="A79" i="10"/>
  <c r="H35" i="10"/>
  <c r="C35" i="10"/>
  <c r="A35" i="10"/>
  <c r="H167" i="9"/>
  <c r="C167" i="9"/>
  <c r="A167" i="9"/>
  <c r="H123" i="9"/>
  <c r="C123" i="9"/>
  <c r="A123" i="9"/>
  <c r="H79" i="9"/>
  <c r="C79" i="9"/>
  <c r="A79" i="9"/>
  <c r="H35" i="9"/>
  <c r="C35" i="9"/>
  <c r="A35" i="9"/>
  <c r="H141" i="8"/>
  <c r="C141" i="8"/>
  <c r="A141" i="8"/>
  <c r="H105" i="8"/>
  <c r="C105" i="8"/>
  <c r="A105" i="8"/>
  <c r="H69" i="8"/>
  <c r="C69" i="8"/>
  <c r="A69" i="8"/>
  <c r="H33" i="8"/>
  <c r="C33" i="8"/>
  <c r="A33" i="8"/>
  <c r="H166" i="6"/>
  <c r="D166" i="6"/>
  <c r="C166" i="6"/>
  <c r="A166" i="6"/>
  <c r="H123" i="6"/>
  <c r="D123" i="6"/>
  <c r="C123" i="6"/>
  <c r="A123" i="6"/>
  <c r="H80" i="6"/>
  <c r="D80" i="6"/>
  <c r="C80" i="6"/>
  <c r="A80" i="6"/>
  <c r="H37" i="6"/>
  <c r="D37" i="6"/>
  <c r="C37" i="6"/>
  <c r="A37" i="6"/>
  <c r="H222" i="13"/>
  <c r="C222" i="13"/>
  <c r="A222" i="13"/>
  <c r="H184" i="13"/>
  <c r="C184" i="13"/>
  <c r="A184" i="13"/>
  <c r="H146" i="13"/>
  <c r="C146" i="13"/>
  <c r="A146" i="13"/>
  <c r="H108" i="13"/>
  <c r="C108" i="13"/>
  <c r="A108" i="13"/>
  <c r="H169" i="15"/>
  <c r="C169" i="15"/>
  <c r="A169" i="15"/>
  <c r="H124" i="15"/>
  <c r="C124" i="15"/>
  <c r="A124" i="15"/>
  <c r="H79" i="15"/>
  <c r="C79" i="15"/>
  <c r="A79" i="15"/>
  <c r="H34" i="15"/>
  <c r="C34" i="15"/>
  <c r="A34" i="15"/>
  <c r="H222" i="14"/>
  <c r="D222" i="14"/>
  <c r="C222" i="14"/>
  <c r="A222" i="14"/>
  <c r="H184" i="14"/>
  <c r="D184" i="14"/>
  <c r="C184" i="14"/>
  <c r="A184" i="14"/>
  <c r="H146" i="14"/>
  <c r="D146" i="14"/>
  <c r="C146" i="14"/>
  <c r="A146" i="14"/>
  <c r="H108" i="14"/>
  <c r="D108" i="14"/>
  <c r="C108" i="14"/>
  <c r="A108" i="14"/>
  <c r="H222" i="18"/>
  <c r="C222" i="18"/>
  <c r="A222" i="18"/>
  <c r="H184" i="18"/>
  <c r="C184" i="18"/>
  <c r="A184" i="18"/>
  <c r="H146" i="18"/>
  <c r="C146" i="18"/>
  <c r="A146" i="18"/>
  <c r="H108" i="18"/>
  <c r="C108" i="18"/>
  <c r="A108" i="18"/>
  <c r="H222" i="17"/>
  <c r="C222" i="17"/>
  <c r="A222" i="17"/>
  <c r="H184" i="17"/>
  <c r="C184" i="17"/>
  <c r="A184" i="17"/>
  <c r="H146" i="17"/>
  <c r="C146" i="17"/>
  <c r="A146" i="17"/>
  <c r="H108" i="17"/>
  <c r="C108" i="17"/>
  <c r="A108" i="17"/>
  <c r="H222" i="16"/>
  <c r="C222" i="16"/>
  <c r="A222" i="16"/>
  <c r="H184" i="16"/>
  <c r="C184" i="16"/>
  <c r="A184" i="16"/>
  <c r="H146" i="16"/>
  <c r="C146" i="16"/>
  <c r="A146" i="16"/>
  <c r="H108" i="16"/>
  <c r="C108" i="16"/>
  <c r="A108" i="16"/>
  <c r="H169" i="21"/>
  <c r="C169" i="21"/>
  <c r="A169" i="21"/>
  <c r="H124" i="21"/>
  <c r="C124" i="21"/>
  <c r="A124" i="21"/>
  <c r="H79" i="21"/>
  <c r="C79" i="21"/>
  <c r="A79" i="21"/>
  <c r="H34" i="21"/>
  <c r="C34" i="21"/>
  <c r="A34" i="21"/>
  <c r="H169" i="22"/>
  <c r="C169" i="22"/>
  <c r="A169" i="22"/>
  <c r="H124" i="22"/>
  <c r="C124" i="22"/>
  <c r="A124" i="22"/>
  <c r="H79" i="22"/>
  <c r="C79" i="22"/>
  <c r="A79" i="22"/>
  <c r="H34" i="22"/>
  <c r="C34" i="22"/>
  <c r="A34" i="22"/>
  <c r="H169" i="20"/>
  <c r="C169" i="20"/>
  <c r="A169" i="20"/>
  <c r="H124" i="20"/>
  <c r="C124" i="20"/>
  <c r="A124" i="20"/>
  <c r="H79" i="20"/>
  <c r="C79" i="20"/>
  <c r="A79" i="20"/>
  <c r="H34" i="20"/>
  <c r="C34" i="20"/>
  <c r="A34" i="20"/>
  <c r="H169" i="19"/>
  <c r="C169" i="19"/>
  <c r="A169" i="19"/>
  <c r="H124" i="19"/>
  <c r="C124" i="19"/>
  <c r="A124" i="19"/>
  <c r="H79" i="19"/>
  <c r="C79" i="19"/>
  <c r="A79" i="19"/>
  <c r="H34" i="19"/>
  <c r="A34" i="19"/>
  <c r="C34" i="19"/>
  <c r="C138" i="7"/>
  <c r="C139" i="7"/>
  <c r="B123" i="6" s="1"/>
  <c r="C140" i="7"/>
  <c r="B166" i="6" s="1"/>
  <c r="C141" i="7"/>
  <c r="C142" i="7"/>
  <c r="B69" i="8" s="1"/>
  <c r="C143" i="7"/>
  <c r="C144" i="7"/>
  <c r="C145" i="7"/>
  <c r="C146" i="7"/>
  <c r="C147" i="7"/>
  <c r="B123" i="9" s="1"/>
  <c r="C148" i="7"/>
  <c r="B167" i="9" s="1"/>
  <c r="C149" i="7"/>
  <c r="B35" i="10" s="1"/>
  <c r="C150" i="7"/>
  <c r="C151" i="7"/>
  <c r="B123" i="10" s="1"/>
  <c r="C152" i="7"/>
  <c r="C153" i="7"/>
  <c r="C154" i="7"/>
  <c r="C155" i="7"/>
  <c r="C156" i="7"/>
  <c r="B167" i="11" s="1"/>
  <c r="C157" i="7"/>
  <c r="B35" i="12" s="1"/>
  <c r="C158" i="7"/>
  <c r="B74" i="12" s="1"/>
  <c r="C159" i="7"/>
  <c r="B113" i="12" s="1"/>
  <c r="C160" i="7"/>
  <c r="B152" i="12" s="1"/>
  <c r="C161" i="7"/>
  <c r="C162" i="7"/>
  <c r="C163" i="7"/>
  <c r="B108" i="13" s="1"/>
  <c r="C164" i="7"/>
  <c r="B146" i="13" s="1"/>
  <c r="C165" i="7"/>
  <c r="B184" i="13" s="1"/>
  <c r="C166" i="7"/>
  <c r="B222" i="13" s="1"/>
  <c r="C173" i="7"/>
  <c r="C174" i="7"/>
  <c r="C175" i="7"/>
  <c r="C176" i="7"/>
  <c r="C177" i="7"/>
  <c r="C178" i="7"/>
  <c r="C183" i="7"/>
  <c r="B34" i="15" s="1"/>
  <c r="C184" i="7"/>
  <c r="B79" i="15" s="1"/>
  <c r="C185" i="7"/>
  <c r="B124" i="15" s="1"/>
  <c r="C186" i="7"/>
  <c r="C187" i="7"/>
  <c r="C188" i="7"/>
  <c r="C190" i="7"/>
  <c r="B146" i="16" s="1"/>
  <c r="C191" i="7"/>
  <c r="C192" i="7"/>
  <c r="C193" i="7"/>
  <c r="C194" i="7"/>
  <c r="C195" i="7"/>
  <c r="C196" i="7"/>
  <c r="C197" i="7"/>
  <c r="C198" i="7"/>
  <c r="C199" i="7"/>
  <c r="C200" i="7"/>
  <c r="C201" i="7"/>
  <c r="C202" i="7"/>
  <c r="C203" i="7"/>
  <c r="C204" i="7"/>
  <c r="C205" i="7"/>
  <c r="C206" i="7"/>
  <c r="C207" i="7"/>
  <c r="C208" i="7"/>
  <c r="B169" i="19" s="1"/>
  <c r="C209" i="7"/>
  <c r="C210" i="7"/>
  <c r="C211" i="7"/>
  <c r="B124" i="20" s="1"/>
  <c r="C212" i="7"/>
  <c r="C213" i="7"/>
  <c r="C214" i="7"/>
  <c r="C215" i="7"/>
  <c r="C216" i="7"/>
  <c r="C217" i="7"/>
  <c r="C218" i="7"/>
  <c r="C219" i="7"/>
  <c r="C220" i="7"/>
  <c r="C137" i="7"/>
  <c r="B44" i="23"/>
  <c r="D40" i="23"/>
  <c r="C40" i="23"/>
  <c r="A40" i="23"/>
  <c r="B33" i="23"/>
  <c r="H40" i="23"/>
  <c r="B29" i="23"/>
  <c r="B18" i="23"/>
  <c r="H25" i="23"/>
  <c r="D25" i="23"/>
  <c r="C25" i="23"/>
  <c r="A25" i="23"/>
  <c r="H484" i="22"/>
  <c r="D484" i="22"/>
  <c r="C484" i="22"/>
  <c r="A484" i="22"/>
  <c r="H483" i="22"/>
  <c r="D483" i="22"/>
  <c r="C483" i="22"/>
  <c r="A483" i="22"/>
  <c r="H482" i="22"/>
  <c r="D482" i="22"/>
  <c r="C482" i="22"/>
  <c r="A482" i="22"/>
  <c r="H480" i="22"/>
  <c r="D480" i="22"/>
  <c r="C480" i="22"/>
  <c r="A480" i="22"/>
  <c r="D479" i="22"/>
  <c r="C479" i="22"/>
  <c r="H478" i="22"/>
  <c r="D478" i="22"/>
  <c r="C478" i="22"/>
  <c r="A478" i="22"/>
  <c r="C477" i="22"/>
  <c r="C476" i="22"/>
  <c r="B454" i="22"/>
  <c r="H476" i="22"/>
  <c r="H477" i="22"/>
  <c r="B453" i="22"/>
  <c r="A476" i="22"/>
  <c r="H446" i="22"/>
  <c r="D446" i="22"/>
  <c r="C446" i="22"/>
  <c r="A446" i="22"/>
  <c r="H445" i="22"/>
  <c r="D445" i="22"/>
  <c r="C445" i="22"/>
  <c r="A445" i="22"/>
  <c r="H444" i="22"/>
  <c r="D444" i="22"/>
  <c r="C444" i="22"/>
  <c r="A444" i="22"/>
  <c r="H442" i="22"/>
  <c r="D442" i="22"/>
  <c r="C442" i="22"/>
  <c r="A442" i="22"/>
  <c r="D441" i="22"/>
  <c r="C441" i="22"/>
  <c r="H440" i="22"/>
  <c r="D440" i="22"/>
  <c r="C440" i="22"/>
  <c r="A440" i="22"/>
  <c r="C439" i="22"/>
  <c r="C438" i="22"/>
  <c r="B416" i="22"/>
  <c r="H438" i="22"/>
  <c r="H439" i="22"/>
  <c r="B415" i="22"/>
  <c r="A438" i="22"/>
  <c r="H408" i="22"/>
  <c r="D408" i="22"/>
  <c r="C408" i="22"/>
  <c r="A408" i="22"/>
  <c r="H407" i="22"/>
  <c r="D407" i="22"/>
  <c r="C407" i="22"/>
  <c r="A407" i="22"/>
  <c r="H406" i="22"/>
  <c r="D406" i="22"/>
  <c r="C406" i="22"/>
  <c r="A406" i="22"/>
  <c r="H404" i="22"/>
  <c r="D404" i="22"/>
  <c r="C404" i="22"/>
  <c r="A404" i="22"/>
  <c r="D403" i="22"/>
  <c r="C403" i="22"/>
  <c r="H402" i="22"/>
  <c r="D402" i="22"/>
  <c r="C402" i="22"/>
  <c r="A402" i="22"/>
  <c r="C401" i="22"/>
  <c r="C400" i="22"/>
  <c r="B378" i="22"/>
  <c r="H400" i="22"/>
  <c r="H401" i="22"/>
  <c r="B377" i="22"/>
  <c r="H370" i="22"/>
  <c r="D370" i="22"/>
  <c r="C370" i="22"/>
  <c r="A370" i="22"/>
  <c r="H369" i="22"/>
  <c r="D369" i="22"/>
  <c r="C369" i="22"/>
  <c r="A369" i="22"/>
  <c r="H368" i="22"/>
  <c r="D368" i="22"/>
  <c r="C368" i="22"/>
  <c r="A368" i="22"/>
  <c r="H366" i="22"/>
  <c r="D366" i="22"/>
  <c r="C366" i="22"/>
  <c r="A366" i="22"/>
  <c r="D365" i="22"/>
  <c r="C365" i="22"/>
  <c r="H364" i="22"/>
  <c r="D364" i="22"/>
  <c r="C364" i="22"/>
  <c r="A364" i="22"/>
  <c r="C363" i="22"/>
  <c r="C362" i="22"/>
  <c r="B340" i="22"/>
  <c r="H362" i="22"/>
  <c r="H363" i="22"/>
  <c r="B339" i="22"/>
  <c r="A362" i="22"/>
  <c r="H331" i="22"/>
  <c r="D331" i="22"/>
  <c r="C331" i="22"/>
  <c r="A331" i="22"/>
  <c r="H330" i="22"/>
  <c r="D330" i="22"/>
  <c r="C330" i="22"/>
  <c r="A330" i="22"/>
  <c r="H329" i="22"/>
  <c r="D329" i="22"/>
  <c r="C329" i="22"/>
  <c r="A329" i="22"/>
  <c r="H327" i="22"/>
  <c r="D327" i="22"/>
  <c r="C327" i="22"/>
  <c r="A327" i="22"/>
  <c r="H326" i="22"/>
  <c r="D326" i="22"/>
  <c r="C326" i="22"/>
  <c r="A326" i="22"/>
  <c r="H325" i="22"/>
  <c r="D325" i="22"/>
  <c r="C325" i="22"/>
  <c r="A325" i="22"/>
  <c r="C324" i="22"/>
  <c r="C323" i="22"/>
  <c r="B301" i="22"/>
  <c r="H323" i="22"/>
  <c r="H324" i="22"/>
  <c r="B300" i="22"/>
  <c r="B295" i="22"/>
  <c r="A323" i="22"/>
  <c r="A324" i="22"/>
  <c r="H293" i="22"/>
  <c r="D293" i="22"/>
  <c r="C293" i="22"/>
  <c r="A293" i="22"/>
  <c r="H292" i="22"/>
  <c r="D292" i="22"/>
  <c r="C292" i="22"/>
  <c r="A292" i="22"/>
  <c r="H291" i="22"/>
  <c r="D291" i="22"/>
  <c r="C291" i="22"/>
  <c r="A291" i="22"/>
  <c r="H289" i="22"/>
  <c r="D289" i="22"/>
  <c r="C289" i="22"/>
  <c r="A289" i="22"/>
  <c r="H288" i="22"/>
  <c r="D288" i="22"/>
  <c r="C288" i="22"/>
  <c r="A288" i="22"/>
  <c r="H287" i="22"/>
  <c r="D287" i="22"/>
  <c r="C287" i="22"/>
  <c r="A287" i="22"/>
  <c r="C286" i="22"/>
  <c r="C285" i="22"/>
  <c r="B263" i="22"/>
  <c r="H285" i="22"/>
  <c r="H286" i="22"/>
  <c r="B262" i="22"/>
  <c r="B257" i="22"/>
  <c r="A285" i="22"/>
  <c r="A286" i="22"/>
  <c r="H255" i="22"/>
  <c r="D255" i="22"/>
  <c r="C255" i="22"/>
  <c r="A255" i="22"/>
  <c r="H254" i="22"/>
  <c r="D254" i="22"/>
  <c r="C254" i="22"/>
  <c r="A254" i="22"/>
  <c r="H253" i="22"/>
  <c r="D253" i="22"/>
  <c r="C253" i="22"/>
  <c r="A253" i="22"/>
  <c r="H251" i="22"/>
  <c r="D251" i="22"/>
  <c r="C251" i="22"/>
  <c r="A251" i="22"/>
  <c r="H250" i="22"/>
  <c r="D250" i="22"/>
  <c r="C250" i="22"/>
  <c r="A250" i="22"/>
  <c r="H249" i="22"/>
  <c r="D249" i="22"/>
  <c r="C249" i="22"/>
  <c r="A249" i="22"/>
  <c r="C248" i="22"/>
  <c r="C247" i="22"/>
  <c r="B225" i="22"/>
  <c r="H247" i="22"/>
  <c r="H248" i="22"/>
  <c r="B224" i="22"/>
  <c r="B219" i="22"/>
  <c r="A247" i="22"/>
  <c r="A248" i="22"/>
  <c r="H217" i="22"/>
  <c r="D217" i="22"/>
  <c r="C217" i="22"/>
  <c r="A217" i="22"/>
  <c r="H216" i="22"/>
  <c r="D216" i="22"/>
  <c r="C216" i="22"/>
  <c r="A216" i="22"/>
  <c r="H215" i="22"/>
  <c r="D215" i="22"/>
  <c r="C215" i="22"/>
  <c r="A215" i="22"/>
  <c r="H213" i="22"/>
  <c r="D213" i="22"/>
  <c r="C213" i="22"/>
  <c r="A213" i="22"/>
  <c r="H212" i="22"/>
  <c r="D212" i="22"/>
  <c r="C212" i="22"/>
  <c r="A212" i="22"/>
  <c r="H211" i="22"/>
  <c r="D211" i="22"/>
  <c r="C211" i="22"/>
  <c r="A211" i="22"/>
  <c r="C210" i="22"/>
  <c r="C209" i="22"/>
  <c r="B187" i="22"/>
  <c r="H209" i="22"/>
  <c r="H210" i="22"/>
  <c r="B186" i="22"/>
  <c r="B181" i="22"/>
  <c r="A209" i="22"/>
  <c r="A210" i="22"/>
  <c r="H177" i="22"/>
  <c r="C177" i="22"/>
  <c r="A177" i="22"/>
  <c r="H176" i="22"/>
  <c r="C176" i="22"/>
  <c r="A176" i="22"/>
  <c r="H175" i="22"/>
  <c r="C175" i="22"/>
  <c r="A175" i="22"/>
  <c r="H174" i="22"/>
  <c r="C174" i="22"/>
  <c r="A174" i="22"/>
  <c r="H173" i="22"/>
  <c r="C173" i="22"/>
  <c r="A173" i="22"/>
  <c r="H172" i="22"/>
  <c r="C172" i="22"/>
  <c r="A172" i="22"/>
  <c r="H171" i="22"/>
  <c r="C171" i="22"/>
  <c r="A171" i="22"/>
  <c r="H170" i="22"/>
  <c r="C170" i="22"/>
  <c r="A170" i="22"/>
  <c r="H168" i="22"/>
  <c r="C168" i="22"/>
  <c r="A168" i="22"/>
  <c r="H167" i="22"/>
  <c r="D167" i="22"/>
  <c r="C167" i="22"/>
  <c r="B142" i="22"/>
  <c r="B141" i="22"/>
  <c r="B136" i="22"/>
  <c r="A167" i="22"/>
  <c r="H132" i="22"/>
  <c r="C132" i="22"/>
  <c r="A132" i="22"/>
  <c r="H131" i="22"/>
  <c r="C131" i="22"/>
  <c r="A131" i="22"/>
  <c r="H130" i="22"/>
  <c r="C130" i="22"/>
  <c r="A130" i="22"/>
  <c r="H129" i="22"/>
  <c r="C129" i="22"/>
  <c r="A129" i="22"/>
  <c r="H128" i="22"/>
  <c r="C128" i="22"/>
  <c r="A128" i="22"/>
  <c r="H127" i="22"/>
  <c r="C127" i="22"/>
  <c r="A127" i="22"/>
  <c r="H126" i="22"/>
  <c r="C126" i="22"/>
  <c r="A126" i="22"/>
  <c r="H125" i="22"/>
  <c r="C125" i="22"/>
  <c r="A125" i="22"/>
  <c r="H123" i="22"/>
  <c r="C123" i="22"/>
  <c r="A123" i="22"/>
  <c r="H122" i="22"/>
  <c r="D122" i="22"/>
  <c r="C122" i="22"/>
  <c r="B97" i="22"/>
  <c r="B96" i="22"/>
  <c r="B91" i="22"/>
  <c r="A122" i="22"/>
  <c r="H87" i="22"/>
  <c r="C87" i="22"/>
  <c r="A87" i="22"/>
  <c r="H86" i="22"/>
  <c r="C86" i="22"/>
  <c r="A86" i="22"/>
  <c r="H85" i="22"/>
  <c r="C85" i="22"/>
  <c r="A85" i="22"/>
  <c r="H84" i="22"/>
  <c r="C84" i="22"/>
  <c r="A84" i="22"/>
  <c r="H83" i="22"/>
  <c r="C83" i="22"/>
  <c r="A83" i="22"/>
  <c r="H82" i="22"/>
  <c r="C82" i="22"/>
  <c r="A82" i="22"/>
  <c r="H81" i="22"/>
  <c r="C81" i="22"/>
  <c r="A81" i="22"/>
  <c r="H80" i="22"/>
  <c r="C80" i="22"/>
  <c r="A80" i="22"/>
  <c r="H78" i="22"/>
  <c r="C78" i="22"/>
  <c r="A78" i="22"/>
  <c r="H77" i="22"/>
  <c r="D77" i="22"/>
  <c r="C77" i="22"/>
  <c r="B52" i="22"/>
  <c r="B51" i="22"/>
  <c r="B46" i="22"/>
  <c r="A77" i="22"/>
  <c r="H42" i="22"/>
  <c r="C42" i="22"/>
  <c r="A42" i="22"/>
  <c r="H41" i="22"/>
  <c r="C41" i="22"/>
  <c r="A41" i="22"/>
  <c r="H40" i="22"/>
  <c r="C40" i="22"/>
  <c r="A40" i="22"/>
  <c r="H39" i="22"/>
  <c r="C39" i="22"/>
  <c r="A39" i="22"/>
  <c r="H38" i="22"/>
  <c r="C38" i="22"/>
  <c r="A38" i="22"/>
  <c r="H37" i="22"/>
  <c r="C37" i="22"/>
  <c r="A37" i="22"/>
  <c r="H36" i="22"/>
  <c r="C36" i="22"/>
  <c r="A36" i="22"/>
  <c r="H35" i="22"/>
  <c r="C35" i="22"/>
  <c r="A35" i="22"/>
  <c r="H33" i="22"/>
  <c r="C33" i="22"/>
  <c r="A33" i="22"/>
  <c r="H32" i="22"/>
  <c r="D32" i="22"/>
  <c r="C32" i="22"/>
  <c r="B7" i="22"/>
  <c r="B6" i="22"/>
  <c r="B1" i="22"/>
  <c r="A32" i="22"/>
  <c r="H483" i="21"/>
  <c r="D483" i="21"/>
  <c r="C483" i="21"/>
  <c r="A483" i="21"/>
  <c r="H482" i="21"/>
  <c r="D482" i="21"/>
  <c r="C482" i="21"/>
  <c r="A482" i="21"/>
  <c r="H481" i="21"/>
  <c r="D481" i="21"/>
  <c r="C481" i="21"/>
  <c r="A481" i="21"/>
  <c r="H479" i="21"/>
  <c r="D479" i="21"/>
  <c r="C479" i="21"/>
  <c r="A479" i="21"/>
  <c r="D478" i="21"/>
  <c r="C478" i="21"/>
  <c r="H477" i="21"/>
  <c r="D477" i="21"/>
  <c r="C477" i="21"/>
  <c r="A477" i="21"/>
  <c r="C476" i="21"/>
  <c r="C475" i="21"/>
  <c r="B453" i="21"/>
  <c r="H475" i="21"/>
  <c r="H476" i="21"/>
  <c r="B452" i="21"/>
  <c r="A475" i="21"/>
  <c r="H445" i="21"/>
  <c r="D445" i="21"/>
  <c r="C445" i="21"/>
  <c r="A445" i="21"/>
  <c r="H444" i="21"/>
  <c r="D444" i="21"/>
  <c r="C444" i="21"/>
  <c r="A444" i="21"/>
  <c r="H443" i="21"/>
  <c r="D443" i="21"/>
  <c r="C443" i="21"/>
  <c r="A443" i="21"/>
  <c r="H441" i="21"/>
  <c r="D441" i="21"/>
  <c r="C441" i="21"/>
  <c r="A441" i="21"/>
  <c r="D440" i="21"/>
  <c r="C440" i="21"/>
  <c r="H439" i="21"/>
  <c r="D439" i="21"/>
  <c r="C439" i="21"/>
  <c r="A439" i="21"/>
  <c r="C438" i="21"/>
  <c r="C437" i="21"/>
  <c r="B415" i="21"/>
  <c r="H437" i="21"/>
  <c r="H438" i="21"/>
  <c r="B414" i="21"/>
  <c r="A437" i="21"/>
  <c r="H407" i="21"/>
  <c r="D407" i="21"/>
  <c r="C407" i="21"/>
  <c r="A407" i="21"/>
  <c r="H406" i="21"/>
  <c r="D406" i="21"/>
  <c r="C406" i="21"/>
  <c r="A406" i="21"/>
  <c r="H405" i="21"/>
  <c r="D405" i="21"/>
  <c r="C405" i="21"/>
  <c r="A405" i="21"/>
  <c r="H403" i="21"/>
  <c r="D403" i="21"/>
  <c r="C403" i="21"/>
  <c r="A403" i="21"/>
  <c r="D402" i="21"/>
  <c r="C402" i="21"/>
  <c r="H401" i="21"/>
  <c r="D401" i="21"/>
  <c r="C401" i="21"/>
  <c r="A401" i="21"/>
  <c r="C400" i="21"/>
  <c r="C399" i="21"/>
  <c r="B377" i="21"/>
  <c r="H399" i="21"/>
  <c r="H400" i="21"/>
  <c r="B376" i="21"/>
  <c r="H369" i="21"/>
  <c r="D369" i="21"/>
  <c r="C369" i="21"/>
  <c r="A369" i="21"/>
  <c r="H368" i="21"/>
  <c r="D368" i="21"/>
  <c r="C368" i="21"/>
  <c r="A368" i="21"/>
  <c r="H367" i="21"/>
  <c r="D367" i="21"/>
  <c r="C367" i="21"/>
  <c r="A367" i="21"/>
  <c r="H365" i="21"/>
  <c r="D365" i="21"/>
  <c r="C365" i="21"/>
  <c r="A365" i="21"/>
  <c r="D364" i="21"/>
  <c r="C364" i="21"/>
  <c r="H363" i="21"/>
  <c r="D363" i="21"/>
  <c r="C363" i="21"/>
  <c r="A363" i="21"/>
  <c r="C362" i="21"/>
  <c r="C361" i="21"/>
  <c r="B339" i="21"/>
  <c r="H361" i="21"/>
  <c r="H362" i="21"/>
  <c r="B338" i="21"/>
  <c r="H331" i="21"/>
  <c r="D331" i="21"/>
  <c r="C331" i="21"/>
  <c r="A331" i="21"/>
  <c r="H330" i="21"/>
  <c r="D330" i="21"/>
  <c r="C330" i="21"/>
  <c r="A330" i="21"/>
  <c r="H329" i="21"/>
  <c r="D329" i="21"/>
  <c r="C329" i="21"/>
  <c r="A329" i="21"/>
  <c r="H327" i="21"/>
  <c r="D327" i="21"/>
  <c r="C327" i="21"/>
  <c r="A327" i="21"/>
  <c r="H326" i="21"/>
  <c r="D326" i="21"/>
  <c r="C326" i="21"/>
  <c r="A326" i="21"/>
  <c r="H325" i="21"/>
  <c r="D325" i="21"/>
  <c r="C325" i="21"/>
  <c r="A325" i="21"/>
  <c r="C324" i="21"/>
  <c r="C323" i="21"/>
  <c r="B301" i="21"/>
  <c r="H323" i="21"/>
  <c r="H324" i="21"/>
  <c r="B300" i="21"/>
  <c r="B295" i="21"/>
  <c r="A323" i="21"/>
  <c r="A324" i="21"/>
  <c r="H293" i="21"/>
  <c r="D293" i="21"/>
  <c r="C293" i="21"/>
  <c r="A293" i="21"/>
  <c r="H292" i="21"/>
  <c r="D292" i="21"/>
  <c r="C292" i="21"/>
  <c r="A292" i="21"/>
  <c r="H291" i="21"/>
  <c r="D291" i="21"/>
  <c r="C291" i="21"/>
  <c r="A291" i="21"/>
  <c r="H289" i="21"/>
  <c r="D289" i="21"/>
  <c r="C289" i="21"/>
  <c r="A289" i="21"/>
  <c r="H288" i="21"/>
  <c r="D288" i="21"/>
  <c r="C288" i="21"/>
  <c r="A288" i="21"/>
  <c r="H287" i="21"/>
  <c r="D287" i="21"/>
  <c r="C287" i="21"/>
  <c r="A287" i="21"/>
  <c r="C286" i="21"/>
  <c r="C285" i="21"/>
  <c r="B263" i="21"/>
  <c r="H285" i="21"/>
  <c r="H286" i="21"/>
  <c r="B262" i="21"/>
  <c r="B257" i="21"/>
  <c r="A285" i="21"/>
  <c r="A286" i="21"/>
  <c r="H255" i="21"/>
  <c r="D255" i="21"/>
  <c r="C255" i="21"/>
  <c r="A255" i="21"/>
  <c r="H254" i="21"/>
  <c r="D254" i="21"/>
  <c r="C254" i="21"/>
  <c r="A254" i="21"/>
  <c r="H253" i="21"/>
  <c r="D253" i="21"/>
  <c r="C253" i="21"/>
  <c r="A253" i="21"/>
  <c r="H251" i="21"/>
  <c r="D251" i="21"/>
  <c r="C251" i="21"/>
  <c r="A251" i="21"/>
  <c r="H250" i="21"/>
  <c r="D250" i="21"/>
  <c r="C250" i="21"/>
  <c r="A250" i="21"/>
  <c r="H249" i="21"/>
  <c r="D249" i="21"/>
  <c r="C249" i="21"/>
  <c r="A249" i="21"/>
  <c r="C248" i="21"/>
  <c r="C247" i="21"/>
  <c r="B225" i="21"/>
  <c r="H247" i="21"/>
  <c r="H248" i="21"/>
  <c r="B224" i="21"/>
  <c r="B219" i="21"/>
  <c r="A247" i="21"/>
  <c r="A248" i="21"/>
  <c r="H217" i="21"/>
  <c r="D217" i="21"/>
  <c r="C217" i="21"/>
  <c r="A217" i="21"/>
  <c r="H216" i="21"/>
  <c r="D216" i="21"/>
  <c r="C216" i="21"/>
  <c r="A216" i="21"/>
  <c r="H215" i="21"/>
  <c r="D215" i="21"/>
  <c r="C215" i="21"/>
  <c r="A215" i="21"/>
  <c r="H213" i="21"/>
  <c r="D213" i="21"/>
  <c r="C213" i="21"/>
  <c r="A213" i="21"/>
  <c r="H212" i="21"/>
  <c r="D212" i="21"/>
  <c r="C212" i="21"/>
  <c r="A212" i="21"/>
  <c r="H211" i="21"/>
  <c r="D211" i="21"/>
  <c r="C211" i="21"/>
  <c r="A211" i="21"/>
  <c r="C210" i="21"/>
  <c r="C209" i="21"/>
  <c r="B187" i="21"/>
  <c r="H209" i="21"/>
  <c r="H210" i="21"/>
  <c r="B186" i="21"/>
  <c r="B181" i="21"/>
  <c r="A209" i="21"/>
  <c r="A210" i="21"/>
  <c r="H177" i="21"/>
  <c r="C177" i="21"/>
  <c r="A177" i="21"/>
  <c r="H176" i="21"/>
  <c r="C176" i="21"/>
  <c r="A176" i="21"/>
  <c r="H175" i="21"/>
  <c r="C175" i="21"/>
  <c r="A175" i="21"/>
  <c r="H174" i="21"/>
  <c r="C174" i="21"/>
  <c r="A174" i="21"/>
  <c r="H173" i="21"/>
  <c r="C173" i="21"/>
  <c r="A173" i="21"/>
  <c r="H172" i="21"/>
  <c r="C172" i="21"/>
  <c r="A172" i="21"/>
  <c r="H171" i="21"/>
  <c r="C171" i="21"/>
  <c r="A171" i="21"/>
  <c r="H170" i="21"/>
  <c r="C170" i="21"/>
  <c r="A170" i="21"/>
  <c r="H168" i="21"/>
  <c r="C168" i="21"/>
  <c r="A168" i="21"/>
  <c r="H167" i="21"/>
  <c r="D167" i="21"/>
  <c r="C167" i="21"/>
  <c r="B142" i="21"/>
  <c r="B141" i="21"/>
  <c r="B136" i="21"/>
  <c r="A167" i="21"/>
  <c r="H132" i="21"/>
  <c r="C132" i="21"/>
  <c r="A132" i="21"/>
  <c r="H131" i="21"/>
  <c r="C131" i="21"/>
  <c r="A131" i="21"/>
  <c r="H130" i="21"/>
  <c r="C130" i="21"/>
  <c r="A130" i="21"/>
  <c r="H129" i="21"/>
  <c r="C129" i="21"/>
  <c r="A129" i="21"/>
  <c r="H128" i="21"/>
  <c r="C128" i="21"/>
  <c r="A128" i="21"/>
  <c r="H127" i="21"/>
  <c r="C127" i="21"/>
  <c r="A127" i="21"/>
  <c r="H126" i="21"/>
  <c r="C126" i="21"/>
  <c r="A126" i="21"/>
  <c r="H125" i="21"/>
  <c r="C125" i="21"/>
  <c r="A125" i="21"/>
  <c r="H123" i="21"/>
  <c r="C123" i="21"/>
  <c r="A123" i="21"/>
  <c r="H122" i="21"/>
  <c r="D122" i="21"/>
  <c r="C122" i="21"/>
  <c r="B97" i="21"/>
  <c r="B96" i="21"/>
  <c r="B91" i="21"/>
  <c r="A122" i="21"/>
  <c r="H87" i="21"/>
  <c r="C87" i="21"/>
  <c r="A87" i="21"/>
  <c r="H86" i="21"/>
  <c r="C86" i="21"/>
  <c r="A86" i="21"/>
  <c r="H85" i="21"/>
  <c r="C85" i="21"/>
  <c r="A85" i="21"/>
  <c r="H84" i="21"/>
  <c r="C84" i="21"/>
  <c r="A84" i="21"/>
  <c r="H83" i="21"/>
  <c r="C83" i="21"/>
  <c r="A83" i="21"/>
  <c r="H82" i="21"/>
  <c r="C82" i="21"/>
  <c r="A82" i="21"/>
  <c r="H81" i="21"/>
  <c r="C81" i="21"/>
  <c r="A81" i="21"/>
  <c r="H80" i="21"/>
  <c r="C80" i="21"/>
  <c r="A80" i="21"/>
  <c r="H78" i="21"/>
  <c r="C78" i="21"/>
  <c r="A78" i="21"/>
  <c r="H77" i="21"/>
  <c r="D77" i="21"/>
  <c r="C77" i="21"/>
  <c r="B52" i="21"/>
  <c r="B51" i="21"/>
  <c r="B46" i="21"/>
  <c r="A77" i="21"/>
  <c r="H42" i="21"/>
  <c r="C42" i="21"/>
  <c r="A42" i="21"/>
  <c r="H41" i="21"/>
  <c r="C41" i="21"/>
  <c r="A41" i="21"/>
  <c r="H40" i="21"/>
  <c r="C40" i="21"/>
  <c r="A40" i="21"/>
  <c r="H39" i="21"/>
  <c r="C39" i="21"/>
  <c r="A39" i="21"/>
  <c r="H38" i="21"/>
  <c r="C38" i="21"/>
  <c r="A38" i="21"/>
  <c r="H37" i="21"/>
  <c r="C37" i="21"/>
  <c r="A37" i="21"/>
  <c r="H36" i="21"/>
  <c r="C36" i="21"/>
  <c r="A36" i="21"/>
  <c r="H35" i="21"/>
  <c r="C35" i="21"/>
  <c r="A35" i="21"/>
  <c r="H33" i="21"/>
  <c r="C33" i="21"/>
  <c r="A33" i="21"/>
  <c r="H32" i="21"/>
  <c r="D32" i="21"/>
  <c r="C32" i="21"/>
  <c r="B7" i="21"/>
  <c r="B6" i="21"/>
  <c r="B1" i="21"/>
  <c r="A32" i="21"/>
  <c r="H483" i="20"/>
  <c r="D483" i="20"/>
  <c r="C483" i="20"/>
  <c r="A483" i="20"/>
  <c r="H482" i="20"/>
  <c r="D482" i="20"/>
  <c r="C482" i="20"/>
  <c r="A482" i="20"/>
  <c r="H481" i="20"/>
  <c r="D481" i="20"/>
  <c r="C481" i="20"/>
  <c r="A481" i="20"/>
  <c r="H479" i="20"/>
  <c r="D479" i="20"/>
  <c r="C479" i="20"/>
  <c r="A479" i="20"/>
  <c r="D478" i="20"/>
  <c r="C478" i="20"/>
  <c r="H477" i="20"/>
  <c r="D477" i="20"/>
  <c r="C477" i="20"/>
  <c r="A477" i="20"/>
  <c r="C476" i="20"/>
  <c r="C475" i="20"/>
  <c r="B453" i="20"/>
  <c r="H475" i="20"/>
  <c r="H476" i="20"/>
  <c r="B452" i="20"/>
  <c r="A475" i="20"/>
  <c r="H445" i="20"/>
  <c r="D445" i="20"/>
  <c r="C445" i="20"/>
  <c r="A445" i="20"/>
  <c r="H444" i="20"/>
  <c r="D444" i="20"/>
  <c r="C444" i="20"/>
  <c r="A444" i="20"/>
  <c r="H443" i="20"/>
  <c r="D443" i="20"/>
  <c r="C443" i="20"/>
  <c r="A443" i="20"/>
  <c r="H441" i="20"/>
  <c r="D441" i="20"/>
  <c r="C441" i="20"/>
  <c r="A441" i="20"/>
  <c r="D440" i="20"/>
  <c r="C440" i="20"/>
  <c r="H439" i="20"/>
  <c r="D439" i="20"/>
  <c r="C439" i="20"/>
  <c r="A439" i="20"/>
  <c r="C438" i="20"/>
  <c r="C437" i="20"/>
  <c r="B415" i="20"/>
  <c r="H437" i="20"/>
  <c r="H438" i="20"/>
  <c r="B414" i="20"/>
  <c r="H407" i="20"/>
  <c r="D407" i="20"/>
  <c r="C407" i="20"/>
  <c r="A407" i="20"/>
  <c r="H406" i="20"/>
  <c r="D406" i="20"/>
  <c r="C406" i="20"/>
  <c r="A406" i="20"/>
  <c r="H405" i="20"/>
  <c r="D405" i="20"/>
  <c r="C405" i="20"/>
  <c r="A405" i="20"/>
  <c r="H403" i="20"/>
  <c r="D403" i="20"/>
  <c r="C403" i="20"/>
  <c r="A403" i="20"/>
  <c r="D402" i="20"/>
  <c r="C402" i="20"/>
  <c r="H401" i="20"/>
  <c r="D401" i="20"/>
  <c r="C401" i="20"/>
  <c r="A401" i="20"/>
  <c r="C400" i="20"/>
  <c r="C399" i="20"/>
  <c r="B377" i="20"/>
  <c r="H399" i="20"/>
  <c r="H400" i="20"/>
  <c r="B376" i="20"/>
  <c r="H369" i="20"/>
  <c r="D369" i="20"/>
  <c r="C369" i="20"/>
  <c r="A369" i="20"/>
  <c r="H368" i="20"/>
  <c r="D368" i="20"/>
  <c r="C368" i="20"/>
  <c r="A368" i="20"/>
  <c r="H367" i="20"/>
  <c r="D367" i="20"/>
  <c r="C367" i="20"/>
  <c r="A367" i="20"/>
  <c r="H365" i="20"/>
  <c r="D365" i="20"/>
  <c r="C365" i="20"/>
  <c r="A365" i="20"/>
  <c r="D364" i="20"/>
  <c r="C364" i="20"/>
  <c r="H363" i="20"/>
  <c r="D363" i="20"/>
  <c r="C363" i="20"/>
  <c r="A363" i="20"/>
  <c r="C362" i="20"/>
  <c r="C361" i="20"/>
  <c r="B339" i="20"/>
  <c r="H361" i="20"/>
  <c r="H362" i="20"/>
  <c r="B338" i="20"/>
  <c r="H331" i="20"/>
  <c r="D331" i="20"/>
  <c r="C331" i="20"/>
  <c r="A331" i="20"/>
  <c r="H330" i="20"/>
  <c r="D330" i="20"/>
  <c r="C330" i="20"/>
  <c r="A330" i="20"/>
  <c r="H329" i="20"/>
  <c r="D329" i="20"/>
  <c r="C329" i="20"/>
  <c r="A329" i="20"/>
  <c r="H327" i="20"/>
  <c r="D327" i="20"/>
  <c r="C327" i="20"/>
  <c r="A327" i="20"/>
  <c r="H326" i="20"/>
  <c r="D326" i="20"/>
  <c r="C326" i="20"/>
  <c r="A326" i="20"/>
  <c r="H325" i="20"/>
  <c r="D325" i="20"/>
  <c r="C325" i="20"/>
  <c r="A325" i="20"/>
  <c r="C324" i="20"/>
  <c r="C323" i="20"/>
  <c r="B301" i="20"/>
  <c r="H323" i="20"/>
  <c r="H324" i="20"/>
  <c r="B300" i="20"/>
  <c r="B295" i="20"/>
  <c r="A323" i="20"/>
  <c r="A324" i="20"/>
  <c r="H293" i="20"/>
  <c r="D293" i="20"/>
  <c r="C293" i="20"/>
  <c r="A293" i="20"/>
  <c r="H292" i="20"/>
  <c r="D292" i="20"/>
  <c r="C292" i="20"/>
  <c r="A292" i="20"/>
  <c r="H291" i="20"/>
  <c r="D291" i="20"/>
  <c r="C291" i="20"/>
  <c r="A291" i="20"/>
  <c r="H289" i="20"/>
  <c r="D289" i="20"/>
  <c r="C289" i="20"/>
  <c r="A289" i="20"/>
  <c r="H288" i="20"/>
  <c r="D288" i="20"/>
  <c r="C288" i="20"/>
  <c r="A288" i="20"/>
  <c r="H287" i="20"/>
  <c r="D287" i="20"/>
  <c r="C287" i="20"/>
  <c r="A287" i="20"/>
  <c r="C286" i="20"/>
  <c r="C285" i="20"/>
  <c r="B263" i="20"/>
  <c r="H285" i="20"/>
  <c r="H286" i="20"/>
  <c r="B262" i="20"/>
  <c r="B257" i="20"/>
  <c r="A285" i="20"/>
  <c r="A286" i="20"/>
  <c r="H255" i="20"/>
  <c r="D255" i="20"/>
  <c r="C255" i="20"/>
  <c r="A255" i="20"/>
  <c r="H254" i="20"/>
  <c r="D254" i="20"/>
  <c r="C254" i="20"/>
  <c r="A254" i="20"/>
  <c r="H253" i="20"/>
  <c r="D253" i="20"/>
  <c r="C253" i="20"/>
  <c r="A253" i="20"/>
  <c r="H251" i="20"/>
  <c r="D251" i="20"/>
  <c r="C251" i="20"/>
  <c r="A251" i="20"/>
  <c r="H250" i="20"/>
  <c r="D250" i="20"/>
  <c r="C250" i="20"/>
  <c r="A250" i="20"/>
  <c r="H249" i="20"/>
  <c r="D249" i="20"/>
  <c r="C249" i="20"/>
  <c r="A249" i="20"/>
  <c r="C248" i="20"/>
  <c r="C247" i="20"/>
  <c r="B225" i="20"/>
  <c r="H247" i="20"/>
  <c r="H248" i="20"/>
  <c r="B224" i="20"/>
  <c r="B219" i="20"/>
  <c r="A247" i="20"/>
  <c r="A248" i="20"/>
  <c r="H217" i="20"/>
  <c r="D217" i="20"/>
  <c r="C217" i="20"/>
  <c r="A217" i="20"/>
  <c r="H216" i="20"/>
  <c r="D216" i="20"/>
  <c r="C216" i="20"/>
  <c r="A216" i="20"/>
  <c r="H215" i="20"/>
  <c r="D215" i="20"/>
  <c r="C215" i="20"/>
  <c r="A215" i="20"/>
  <c r="H213" i="20"/>
  <c r="D213" i="20"/>
  <c r="C213" i="20"/>
  <c r="A213" i="20"/>
  <c r="H212" i="20"/>
  <c r="D212" i="20"/>
  <c r="C212" i="20"/>
  <c r="A212" i="20"/>
  <c r="H211" i="20"/>
  <c r="D211" i="20"/>
  <c r="C211" i="20"/>
  <c r="A211" i="20"/>
  <c r="C210" i="20"/>
  <c r="C209" i="20"/>
  <c r="B187" i="20"/>
  <c r="H209" i="20"/>
  <c r="H210" i="20"/>
  <c r="B186" i="20"/>
  <c r="B181" i="20"/>
  <c r="A209" i="20"/>
  <c r="A210" i="20"/>
  <c r="H177" i="20"/>
  <c r="C177" i="20"/>
  <c r="A177" i="20"/>
  <c r="H176" i="20"/>
  <c r="C176" i="20"/>
  <c r="A176" i="20"/>
  <c r="H175" i="20"/>
  <c r="C175" i="20"/>
  <c r="A175" i="20"/>
  <c r="H174" i="20"/>
  <c r="C174" i="20"/>
  <c r="A174" i="20"/>
  <c r="H173" i="20"/>
  <c r="C173" i="20"/>
  <c r="A173" i="20"/>
  <c r="H172" i="20"/>
  <c r="C172" i="20"/>
  <c r="A172" i="20"/>
  <c r="H171" i="20"/>
  <c r="C171" i="20"/>
  <c r="A171" i="20"/>
  <c r="H170" i="20"/>
  <c r="C170" i="20"/>
  <c r="A170" i="20"/>
  <c r="H168" i="20"/>
  <c r="C168" i="20"/>
  <c r="A168" i="20"/>
  <c r="H167" i="20"/>
  <c r="D167" i="20"/>
  <c r="C167" i="20"/>
  <c r="B142" i="20"/>
  <c r="B141" i="20"/>
  <c r="B136" i="20"/>
  <c r="A167" i="20"/>
  <c r="H132" i="20"/>
  <c r="C132" i="20"/>
  <c r="A132" i="20"/>
  <c r="H131" i="20"/>
  <c r="C131" i="20"/>
  <c r="A131" i="20"/>
  <c r="H130" i="20"/>
  <c r="C130" i="20"/>
  <c r="A130" i="20"/>
  <c r="H129" i="20"/>
  <c r="C129" i="20"/>
  <c r="A129" i="20"/>
  <c r="H128" i="20"/>
  <c r="C128" i="20"/>
  <c r="A128" i="20"/>
  <c r="H127" i="20"/>
  <c r="C127" i="20"/>
  <c r="A127" i="20"/>
  <c r="H126" i="20"/>
  <c r="C126" i="20"/>
  <c r="A126" i="20"/>
  <c r="H125" i="20"/>
  <c r="C125" i="20"/>
  <c r="A125" i="20"/>
  <c r="H123" i="20"/>
  <c r="C123" i="20"/>
  <c r="A123" i="20"/>
  <c r="H122" i="20"/>
  <c r="D122" i="20"/>
  <c r="C122" i="20"/>
  <c r="B97" i="20"/>
  <c r="B96" i="20"/>
  <c r="B91" i="20"/>
  <c r="A122" i="20"/>
  <c r="H87" i="20"/>
  <c r="C87" i="20"/>
  <c r="A87" i="20"/>
  <c r="H86" i="20"/>
  <c r="C86" i="20"/>
  <c r="A86" i="20"/>
  <c r="H85" i="20"/>
  <c r="C85" i="20"/>
  <c r="A85" i="20"/>
  <c r="H84" i="20"/>
  <c r="C84" i="20"/>
  <c r="A84" i="20"/>
  <c r="H83" i="20"/>
  <c r="C83" i="20"/>
  <c r="A83" i="20"/>
  <c r="H82" i="20"/>
  <c r="C82" i="20"/>
  <c r="A82" i="20"/>
  <c r="H81" i="20"/>
  <c r="C81" i="20"/>
  <c r="A81" i="20"/>
  <c r="H80" i="20"/>
  <c r="C80" i="20"/>
  <c r="A80" i="20"/>
  <c r="H78" i="20"/>
  <c r="C78" i="20"/>
  <c r="A78" i="20"/>
  <c r="H77" i="20"/>
  <c r="D77" i="20"/>
  <c r="C77" i="20"/>
  <c r="B52" i="20"/>
  <c r="B51" i="20"/>
  <c r="B46" i="20"/>
  <c r="A77" i="20"/>
  <c r="H42" i="20"/>
  <c r="C42" i="20"/>
  <c r="A42" i="20"/>
  <c r="H41" i="20"/>
  <c r="C41" i="20"/>
  <c r="A41" i="20"/>
  <c r="H40" i="20"/>
  <c r="C40" i="20"/>
  <c r="A40" i="20"/>
  <c r="H39" i="20"/>
  <c r="C39" i="20"/>
  <c r="A39" i="20"/>
  <c r="H38" i="20"/>
  <c r="C38" i="20"/>
  <c r="A38" i="20"/>
  <c r="H37" i="20"/>
  <c r="C37" i="20"/>
  <c r="A37" i="20"/>
  <c r="H36" i="20"/>
  <c r="C36" i="20"/>
  <c r="A36" i="20"/>
  <c r="H35" i="20"/>
  <c r="C35" i="20"/>
  <c r="A35" i="20"/>
  <c r="H33" i="20"/>
  <c r="C33" i="20"/>
  <c r="A33" i="20"/>
  <c r="H32" i="20"/>
  <c r="D32" i="20"/>
  <c r="C32" i="20"/>
  <c r="B7" i="20"/>
  <c r="B6" i="20"/>
  <c r="B1" i="20"/>
  <c r="A32" i="20"/>
  <c r="H483" i="19"/>
  <c r="D483" i="19"/>
  <c r="C483" i="19"/>
  <c r="A483" i="19"/>
  <c r="H482" i="19"/>
  <c r="D482" i="19"/>
  <c r="C482" i="19"/>
  <c r="A482" i="19"/>
  <c r="H481" i="19"/>
  <c r="D481" i="19"/>
  <c r="C481" i="19"/>
  <c r="A481" i="19"/>
  <c r="H479" i="19"/>
  <c r="D479" i="19"/>
  <c r="C479" i="19"/>
  <c r="A479" i="19"/>
  <c r="D478" i="19"/>
  <c r="C478" i="19"/>
  <c r="H477" i="19"/>
  <c r="D477" i="19"/>
  <c r="C477" i="19"/>
  <c r="A477" i="19"/>
  <c r="C476" i="19"/>
  <c r="C475" i="19"/>
  <c r="B453" i="19"/>
  <c r="H475" i="19"/>
  <c r="H476" i="19"/>
  <c r="B452" i="19"/>
  <c r="H445" i="19"/>
  <c r="D445" i="19"/>
  <c r="C445" i="19"/>
  <c r="A445" i="19"/>
  <c r="H444" i="19"/>
  <c r="D444" i="19"/>
  <c r="C444" i="19"/>
  <c r="A444" i="19"/>
  <c r="H443" i="19"/>
  <c r="D443" i="19"/>
  <c r="C443" i="19"/>
  <c r="A443" i="19"/>
  <c r="H441" i="19"/>
  <c r="D441" i="19"/>
  <c r="C441" i="19"/>
  <c r="A441" i="19"/>
  <c r="D440" i="19"/>
  <c r="C440" i="19"/>
  <c r="H439" i="19"/>
  <c r="D439" i="19"/>
  <c r="C439" i="19"/>
  <c r="A439" i="19"/>
  <c r="C438" i="19"/>
  <c r="C437" i="19"/>
  <c r="B415" i="19"/>
  <c r="H437" i="19"/>
  <c r="H438" i="19"/>
  <c r="B414" i="19"/>
  <c r="A437" i="19"/>
  <c r="H407" i="19"/>
  <c r="D407" i="19"/>
  <c r="C407" i="19"/>
  <c r="A407" i="19"/>
  <c r="H406" i="19"/>
  <c r="D406" i="19"/>
  <c r="C406" i="19"/>
  <c r="A406" i="19"/>
  <c r="H405" i="19"/>
  <c r="D405" i="19"/>
  <c r="C405" i="19"/>
  <c r="A405" i="19"/>
  <c r="H403" i="19"/>
  <c r="D403" i="19"/>
  <c r="C403" i="19"/>
  <c r="A403" i="19"/>
  <c r="D402" i="19"/>
  <c r="C402" i="19"/>
  <c r="H401" i="19"/>
  <c r="D401" i="19"/>
  <c r="C401" i="19"/>
  <c r="A401" i="19"/>
  <c r="C400" i="19"/>
  <c r="C399" i="19"/>
  <c r="B377" i="19"/>
  <c r="H399" i="19"/>
  <c r="H400" i="19"/>
  <c r="B376" i="19"/>
  <c r="H369" i="19"/>
  <c r="D369" i="19"/>
  <c r="C369" i="19"/>
  <c r="A369" i="19"/>
  <c r="H368" i="19"/>
  <c r="D368" i="19"/>
  <c r="C368" i="19"/>
  <c r="A368" i="19"/>
  <c r="H367" i="19"/>
  <c r="D367" i="19"/>
  <c r="C367" i="19"/>
  <c r="A367" i="19"/>
  <c r="H365" i="19"/>
  <c r="D365" i="19"/>
  <c r="C365" i="19"/>
  <c r="A365" i="19"/>
  <c r="C364" i="19"/>
  <c r="H363" i="19"/>
  <c r="D363" i="19"/>
  <c r="C363" i="19"/>
  <c r="A363" i="19"/>
  <c r="C362" i="19"/>
  <c r="C361" i="19"/>
  <c r="B339" i="19"/>
  <c r="H361" i="19"/>
  <c r="H362" i="19"/>
  <c r="B338" i="19"/>
  <c r="H331" i="19"/>
  <c r="D331" i="19"/>
  <c r="C331" i="19"/>
  <c r="A331" i="19"/>
  <c r="H330" i="19"/>
  <c r="D330" i="19"/>
  <c r="C330" i="19"/>
  <c r="A330" i="19"/>
  <c r="H329" i="19"/>
  <c r="D329" i="19"/>
  <c r="C329" i="19"/>
  <c r="A329" i="19"/>
  <c r="H327" i="19"/>
  <c r="D327" i="19"/>
  <c r="C327" i="19"/>
  <c r="A327" i="19"/>
  <c r="H326" i="19"/>
  <c r="D326" i="19"/>
  <c r="C326" i="19"/>
  <c r="A326" i="19"/>
  <c r="H325" i="19"/>
  <c r="D325" i="19"/>
  <c r="C325" i="19"/>
  <c r="A325" i="19"/>
  <c r="C324" i="19"/>
  <c r="C323" i="19"/>
  <c r="B301" i="19"/>
  <c r="H323" i="19"/>
  <c r="H324" i="19"/>
  <c r="B300" i="19"/>
  <c r="B295" i="19"/>
  <c r="A323" i="19"/>
  <c r="A324" i="19"/>
  <c r="H293" i="19"/>
  <c r="D293" i="19"/>
  <c r="C293" i="19"/>
  <c r="A293" i="19"/>
  <c r="H292" i="19"/>
  <c r="D292" i="19"/>
  <c r="C292" i="19"/>
  <c r="A292" i="19"/>
  <c r="H291" i="19"/>
  <c r="D291" i="19"/>
  <c r="C291" i="19"/>
  <c r="A291" i="19"/>
  <c r="H289" i="19"/>
  <c r="D289" i="19"/>
  <c r="C289" i="19"/>
  <c r="A289" i="19"/>
  <c r="H288" i="19"/>
  <c r="D288" i="19"/>
  <c r="C288" i="19"/>
  <c r="A288" i="19"/>
  <c r="H287" i="19"/>
  <c r="D287" i="19"/>
  <c r="C287" i="19"/>
  <c r="A287" i="19"/>
  <c r="C286" i="19"/>
  <c r="C285" i="19"/>
  <c r="B263" i="19"/>
  <c r="H285" i="19"/>
  <c r="H286" i="19"/>
  <c r="B262" i="19"/>
  <c r="B257" i="19"/>
  <c r="A285" i="19"/>
  <c r="A286" i="19"/>
  <c r="H255" i="19"/>
  <c r="D255" i="19"/>
  <c r="C255" i="19"/>
  <c r="A255" i="19"/>
  <c r="H254" i="19"/>
  <c r="D254" i="19"/>
  <c r="C254" i="19"/>
  <c r="A254" i="19"/>
  <c r="H253" i="19"/>
  <c r="D253" i="19"/>
  <c r="C253" i="19"/>
  <c r="A253" i="19"/>
  <c r="H251" i="19"/>
  <c r="D251" i="19"/>
  <c r="C251" i="19"/>
  <c r="A251" i="19"/>
  <c r="H250" i="19"/>
  <c r="D250" i="19"/>
  <c r="C250" i="19"/>
  <c r="A250" i="19"/>
  <c r="H249" i="19"/>
  <c r="D249" i="19"/>
  <c r="C249" i="19"/>
  <c r="A249" i="19"/>
  <c r="C248" i="19"/>
  <c r="C247" i="19"/>
  <c r="B225" i="19"/>
  <c r="H247" i="19"/>
  <c r="H248" i="19"/>
  <c r="B224" i="19"/>
  <c r="B219" i="19"/>
  <c r="A247" i="19"/>
  <c r="A248" i="19"/>
  <c r="H217" i="19"/>
  <c r="D217" i="19"/>
  <c r="C217" i="19"/>
  <c r="A217" i="19"/>
  <c r="H216" i="19"/>
  <c r="D216" i="19"/>
  <c r="C216" i="19"/>
  <c r="A216" i="19"/>
  <c r="H215" i="19"/>
  <c r="D215" i="19"/>
  <c r="C215" i="19"/>
  <c r="A215" i="19"/>
  <c r="H213" i="19"/>
  <c r="D213" i="19"/>
  <c r="C213" i="19"/>
  <c r="A213" i="19"/>
  <c r="H212" i="19"/>
  <c r="D212" i="19"/>
  <c r="C212" i="19"/>
  <c r="A212" i="19"/>
  <c r="H211" i="19"/>
  <c r="D211" i="19"/>
  <c r="C211" i="19"/>
  <c r="A211" i="19"/>
  <c r="C210" i="19"/>
  <c r="C209" i="19"/>
  <c r="B187" i="19"/>
  <c r="H209" i="19"/>
  <c r="H210" i="19"/>
  <c r="B186" i="19"/>
  <c r="B181" i="19"/>
  <c r="A209" i="19"/>
  <c r="A210" i="19"/>
  <c r="H177" i="19"/>
  <c r="C177" i="19"/>
  <c r="A177" i="19"/>
  <c r="H176" i="19"/>
  <c r="C176" i="19"/>
  <c r="A176" i="19"/>
  <c r="H175" i="19"/>
  <c r="C175" i="19"/>
  <c r="A175" i="19"/>
  <c r="H174" i="19"/>
  <c r="C174" i="19"/>
  <c r="A174" i="19"/>
  <c r="H173" i="19"/>
  <c r="C173" i="19"/>
  <c r="A173" i="19"/>
  <c r="H172" i="19"/>
  <c r="C172" i="19"/>
  <c r="A172" i="19"/>
  <c r="H171" i="19"/>
  <c r="C171" i="19"/>
  <c r="A171" i="19"/>
  <c r="H170" i="19"/>
  <c r="C170" i="19"/>
  <c r="A170" i="19"/>
  <c r="H168" i="19"/>
  <c r="C168" i="19"/>
  <c r="A168" i="19"/>
  <c r="H167" i="19"/>
  <c r="D167" i="19"/>
  <c r="C167" i="19"/>
  <c r="B142" i="19"/>
  <c r="D177" i="19"/>
  <c r="B141" i="19"/>
  <c r="B136" i="19"/>
  <c r="A167" i="19"/>
  <c r="H132" i="19"/>
  <c r="C132" i="19"/>
  <c r="A132" i="19"/>
  <c r="H131" i="19"/>
  <c r="C131" i="19"/>
  <c r="A131" i="19"/>
  <c r="H130" i="19"/>
  <c r="C130" i="19"/>
  <c r="A130" i="19"/>
  <c r="H129" i="19"/>
  <c r="C129" i="19"/>
  <c r="A129" i="19"/>
  <c r="H128" i="19"/>
  <c r="C128" i="19"/>
  <c r="A128" i="19"/>
  <c r="H127" i="19"/>
  <c r="C127" i="19"/>
  <c r="A127" i="19"/>
  <c r="H126" i="19"/>
  <c r="C126" i="19"/>
  <c r="A126" i="19"/>
  <c r="H125" i="19"/>
  <c r="C125" i="19"/>
  <c r="A125" i="19"/>
  <c r="H123" i="19"/>
  <c r="C123" i="19"/>
  <c r="A123" i="19"/>
  <c r="H122" i="19"/>
  <c r="D122" i="19"/>
  <c r="C122" i="19"/>
  <c r="B97" i="19"/>
  <c r="D132" i="19"/>
  <c r="B96" i="19"/>
  <c r="B91" i="19"/>
  <c r="A122" i="19"/>
  <c r="H87" i="19"/>
  <c r="C87" i="19"/>
  <c r="A87" i="19"/>
  <c r="H86" i="19"/>
  <c r="C86" i="19"/>
  <c r="A86" i="19"/>
  <c r="H85" i="19"/>
  <c r="C85" i="19"/>
  <c r="A85" i="19"/>
  <c r="H84" i="19"/>
  <c r="C84" i="19"/>
  <c r="A84" i="19"/>
  <c r="H83" i="19"/>
  <c r="C83" i="19"/>
  <c r="A83" i="19"/>
  <c r="H82" i="19"/>
  <c r="C82" i="19"/>
  <c r="A82" i="19"/>
  <c r="H81" i="19"/>
  <c r="C81" i="19"/>
  <c r="A81" i="19"/>
  <c r="H80" i="19"/>
  <c r="C80" i="19"/>
  <c r="A80" i="19"/>
  <c r="H78" i="19"/>
  <c r="C78" i="19"/>
  <c r="A78" i="19"/>
  <c r="H77" i="19"/>
  <c r="D77" i="19"/>
  <c r="C77" i="19"/>
  <c r="B52" i="19"/>
  <c r="D87" i="19"/>
  <c r="B51" i="19"/>
  <c r="B46" i="19"/>
  <c r="A77" i="19"/>
  <c r="H42" i="19"/>
  <c r="C42" i="19"/>
  <c r="A42" i="19"/>
  <c r="H41" i="19"/>
  <c r="C41" i="19"/>
  <c r="A41" i="19"/>
  <c r="H40" i="19"/>
  <c r="C40" i="19"/>
  <c r="A40" i="19"/>
  <c r="H39" i="19"/>
  <c r="C39" i="19"/>
  <c r="A39" i="19"/>
  <c r="H38" i="19"/>
  <c r="C38" i="19"/>
  <c r="A38" i="19"/>
  <c r="H37" i="19"/>
  <c r="C37" i="19"/>
  <c r="A37" i="19"/>
  <c r="H36" i="19"/>
  <c r="C36" i="19"/>
  <c r="A36" i="19"/>
  <c r="H35" i="19"/>
  <c r="C35" i="19"/>
  <c r="A35" i="19"/>
  <c r="H33" i="19"/>
  <c r="C33" i="19"/>
  <c r="A33" i="19"/>
  <c r="H32" i="19"/>
  <c r="D32" i="19"/>
  <c r="C32" i="19"/>
  <c r="B7" i="19"/>
  <c r="D42" i="19"/>
  <c r="B6" i="19"/>
  <c r="B1" i="19"/>
  <c r="A32" i="19"/>
  <c r="H644" i="13"/>
  <c r="D644" i="13"/>
  <c r="C644" i="13"/>
  <c r="A644" i="13"/>
  <c r="H567" i="13"/>
  <c r="D567" i="13"/>
  <c r="C567" i="13"/>
  <c r="A567" i="13"/>
  <c r="H490" i="13"/>
  <c r="D490" i="13"/>
  <c r="C490" i="13"/>
  <c r="A490" i="13"/>
  <c r="H413" i="13"/>
  <c r="D413" i="13"/>
  <c r="C413" i="13"/>
  <c r="A413" i="13"/>
  <c r="H336" i="13"/>
  <c r="D336" i="13"/>
  <c r="C336" i="13"/>
  <c r="A336" i="13"/>
  <c r="H259" i="13"/>
  <c r="D259" i="13"/>
  <c r="C259" i="13"/>
  <c r="A259" i="13"/>
  <c r="H644" i="14"/>
  <c r="D644" i="14"/>
  <c r="C644" i="14"/>
  <c r="A644" i="14"/>
  <c r="H567" i="14"/>
  <c r="D567" i="14"/>
  <c r="C567" i="14"/>
  <c r="A567" i="14"/>
  <c r="H490" i="14"/>
  <c r="D490" i="14"/>
  <c r="C490" i="14"/>
  <c r="A490" i="14"/>
  <c r="H413" i="14"/>
  <c r="D413" i="14"/>
  <c r="C413" i="14"/>
  <c r="A413" i="14"/>
  <c r="H336" i="14"/>
  <c r="D336" i="14"/>
  <c r="C336" i="14"/>
  <c r="A336" i="14"/>
  <c r="H259" i="14"/>
  <c r="D259" i="14"/>
  <c r="C259" i="14"/>
  <c r="A259" i="14"/>
  <c r="H644" i="18"/>
  <c r="D644" i="18"/>
  <c r="C644" i="18"/>
  <c r="A644" i="18"/>
  <c r="H567" i="18"/>
  <c r="D567" i="18"/>
  <c r="C567" i="18"/>
  <c r="A567" i="18"/>
  <c r="H490" i="18"/>
  <c r="D490" i="18"/>
  <c r="C490" i="18"/>
  <c r="A490" i="18"/>
  <c r="H413" i="18"/>
  <c r="D413" i="18"/>
  <c r="C413" i="18"/>
  <c r="A413" i="18"/>
  <c r="H336" i="18"/>
  <c r="D336" i="18"/>
  <c r="C336" i="18"/>
  <c r="A336" i="18"/>
  <c r="H259" i="18"/>
  <c r="D259" i="18"/>
  <c r="C259" i="18"/>
  <c r="A259" i="18"/>
  <c r="H644" i="17"/>
  <c r="D644" i="17"/>
  <c r="C644" i="17"/>
  <c r="A644" i="17"/>
  <c r="H567" i="17"/>
  <c r="D567" i="17"/>
  <c r="C567" i="17"/>
  <c r="A567" i="17"/>
  <c r="H490" i="17"/>
  <c r="D490" i="17"/>
  <c r="C490" i="17"/>
  <c r="A490" i="17"/>
  <c r="H413" i="17"/>
  <c r="D413" i="17"/>
  <c r="C413" i="17"/>
  <c r="A413" i="17"/>
  <c r="H336" i="17"/>
  <c r="D336" i="17"/>
  <c r="C336" i="17"/>
  <c r="A336" i="17"/>
  <c r="H259" i="17"/>
  <c r="D259" i="17"/>
  <c r="C259" i="17"/>
  <c r="A259" i="17"/>
  <c r="H643" i="16"/>
  <c r="D643" i="16"/>
  <c r="C643" i="16"/>
  <c r="A643" i="16"/>
  <c r="H566" i="16"/>
  <c r="D566" i="16"/>
  <c r="C566" i="16"/>
  <c r="A566" i="16"/>
  <c r="H489" i="16"/>
  <c r="D489" i="16"/>
  <c r="C489" i="16"/>
  <c r="A489" i="16"/>
  <c r="H412" i="16"/>
  <c r="D412" i="16"/>
  <c r="C412" i="16"/>
  <c r="A412" i="16"/>
  <c r="H335" i="16"/>
  <c r="D335" i="16"/>
  <c r="C335" i="16"/>
  <c r="A335" i="16"/>
  <c r="H687" i="18"/>
  <c r="D687" i="18"/>
  <c r="C687" i="18"/>
  <c r="A687" i="18"/>
  <c r="H686" i="18"/>
  <c r="D686" i="18"/>
  <c r="C686" i="18"/>
  <c r="A686" i="18"/>
  <c r="H685" i="18"/>
  <c r="D685" i="18"/>
  <c r="C685" i="18"/>
  <c r="A685" i="18"/>
  <c r="E653" i="18"/>
  <c r="D653" i="18"/>
  <c r="A653" i="18"/>
  <c r="E652" i="18"/>
  <c r="D652" i="18"/>
  <c r="A652" i="18"/>
  <c r="E651" i="18"/>
  <c r="D651" i="18"/>
  <c r="A651" i="18"/>
  <c r="E650" i="18"/>
  <c r="D650" i="18"/>
  <c r="A650" i="18"/>
  <c r="E649" i="18"/>
  <c r="D649" i="18"/>
  <c r="A649" i="18"/>
  <c r="E648" i="18"/>
  <c r="D648" i="18"/>
  <c r="A648" i="18"/>
  <c r="E647" i="18"/>
  <c r="D647" i="18"/>
  <c r="A647" i="18"/>
  <c r="E646" i="18"/>
  <c r="D646" i="18"/>
  <c r="A646" i="18"/>
  <c r="E645" i="18"/>
  <c r="D645" i="18"/>
  <c r="A645" i="18"/>
  <c r="H643" i="18"/>
  <c r="D643" i="18"/>
  <c r="C643" i="18"/>
  <c r="A643" i="18"/>
  <c r="H642" i="18"/>
  <c r="D642" i="18"/>
  <c r="C642" i="18"/>
  <c r="A642" i="18"/>
  <c r="C640" i="18"/>
  <c r="C639" i="18"/>
  <c r="B618" i="18"/>
  <c r="H639" i="18"/>
  <c r="H640" i="18" s="1"/>
  <c r="B617" i="18"/>
  <c r="B612" i="18"/>
  <c r="A639" i="18"/>
  <c r="A640" i="18"/>
  <c r="H610" i="18"/>
  <c r="D610" i="18"/>
  <c r="C610" i="18"/>
  <c r="A610" i="18"/>
  <c r="H609" i="18"/>
  <c r="D609" i="18"/>
  <c r="C609" i="18"/>
  <c r="A609" i="18"/>
  <c r="H608" i="18"/>
  <c r="D608" i="18"/>
  <c r="C608" i="18"/>
  <c r="A608" i="18"/>
  <c r="E576" i="18"/>
  <c r="D576" i="18"/>
  <c r="A576" i="18"/>
  <c r="E575" i="18"/>
  <c r="D575" i="18"/>
  <c r="A575" i="18"/>
  <c r="E574" i="18"/>
  <c r="D574" i="18"/>
  <c r="A574" i="18"/>
  <c r="E573" i="18"/>
  <c r="D573" i="18"/>
  <c r="A573" i="18"/>
  <c r="E572" i="18"/>
  <c r="D572" i="18"/>
  <c r="A572" i="18"/>
  <c r="E571" i="18"/>
  <c r="D571" i="18"/>
  <c r="A571" i="18"/>
  <c r="E570" i="18"/>
  <c r="D570" i="18"/>
  <c r="A570" i="18"/>
  <c r="E569" i="18"/>
  <c r="D569" i="18"/>
  <c r="A569" i="18"/>
  <c r="E568" i="18"/>
  <c r="D568" i="18"/>
  <c r="A568" i="18"/>
  <c r="H566" i="18"/>
  <c r="D566" i="18"/>
  <c r="C566" i="18"/>
  <c r="A566" i="18"/>
  <c r="H565" i="18"/>
  <c r="D565" i="18"/>
  <c r="C565" i="18"/>
  <c r="A565" i="18"/>
  <c r="C563" i="18"/>
  <c r="C562" i="18"/>
  <c r="B541" i="18"/>
  <c r="H562" i="18"/>
  <c r="H563" i="18" s="1"/>
  <c r="B540" i="18"/>
  <c r="B535" i="18"/>
  <c r="A562" i="18"/>
  <c r="A563" i="18"/>
  <c r="H533" i="18"/>
  <c r="D533" i="18"/>
  <c r="C533" i="18"/>
  <c r="A533" i="18"/>
  <c r="H532" i="18"/>
  <c r="D532" i="18"/>
  <c r="C532" i="18"/>
  <c r="A532" i="18"/>
  <c r="H531" i="18"/>
  <c r="D531" i="18"/>
  <c r="C531" i="18"/>
  <c r="A531" i="18"/>
  <c r="E499" i="18"/>
  <c r="D499" i="18"/>
  <c r="A499" i="18"/>
  <c r="E498" i="18"/>
  <c r="D498" i="18"/>
  <c r="A498" i="18"/>
  <c r="E497" i="18"/>
  <c r="D497" i="18"/>
  <c r="A497" i="18"/>
  <c r="E496" i="18"/>
  <c r="D496" i="18"/>
  <c r="A496" i="18"/>
  <c r="E495" i="18"/>
  <c r="D495" i="18"/>
  <c r="A495" i="18"/>
  <c r="E494" i="18"/>
  <c r="D494" i="18"/>
  <c r="A494" i="18"/>
  <c r="E493" i="18"/>
  <c r="D493" i="18"/>
  <c r="A493" i="18"/>
  <c r="E492" i="18"/>
  <c r="D492" i="18"/>
  <c r="A492" i="18"/>
  <c r="E491" i="18"/>
  <c r="D491" i="18"/>
  <c r="A491" i="18"/>
  <c r="H489" i="18"/>
  <c r="D489" i="18"/>
  <c r="C489" i="18"/>
  <c r="A489" i="18"/>
  <c r="H488" i="18"/>
  <c r="D488" i="18"/>
  <c r="C488" i="18"/>
  <c r="A488" i="18"/>
  <c r="C486" i="18"/>
  <c r="C485" i="18"/>
  <c r="B464" i="18"/>
  <c r="H485" i="18"/>
  <c r="H486" i="18" s="1"/>
  <c r="B463" i="18"/>
  <c r="B458" i="18"/>
  <c r="A485" i="18"/>
  <c r="A486" i="18"/>
  <c r="H456" i="18"/>
  <c r="D456" i="18"/>
  <c r="C456" i="18"/>
  <c r="A456" i="18"/>
  <c r="H455" i="18"/>
  <c r="D455" i="18"/>
  <c r="C455" i="18"/>
  <c r="A455" i="18"/>
  <c r="H454" i="18"/>
  <c r="D454" i="18"/>
  <c r="C454" i="18"/>
  <c r="A454" i="18"/>
  <c r="E422" i="18"/>
  <c r="D422" i="18"/>
  <c r="A422" i="18"/>
  <c r="E421" i="18"/>
  <c r="D421" i="18"/>
  <c r="A421" i="18"/>
  <c r="E420" i="18"/>
  <c r="D420" i="18"/>
  <c r="A420" i="18"/>
  <c r="E419" i="18"/>
  <c r="D419" i="18"/>
  <c r="A419" i="18"/>
  <c r="E418" i="18"/>
  <c r="D418" i="18"/>
  <c r="A418" i="18"/>
  <c r="E417" i="18"/>
  <c r="D417" i="18"/>
  <c r="A417" i="18"/>
  <c r="E416" i="18"/>
  <c r="D416" i="18"/>
  <c r="A416" i="18"/>
  <c r="E415" i="18"/>
  <c r="D415" i="18"/>
  <c r="A415" i="18"/>
  <c r="E414" i="18"/>
  <c r="D414" i="18"/>
  <c r="A414" i="18"/>
  <c r="H412" i="18"/>
  <c r="D412" i="18"/>
  <c r="C412" i="18"/>
  <c r="A412" i="18"/>
  <c r="H411" i="18"/>
  <c r="D411" i="18"/>
  <c r="C411" i="18"/>
  <c r="A411" i="18"/>
  <c r="C409" i="18"/>
  <c r="C408" i="18"/>
  <c r="B387" i="18"/>
  <c r="H408" i="18"/>
  <c r="H409" i="18" s="1"/>
  <c r="B386" i="18"/>
  <c r="B381" i="18"/>
  <c r="A408" i="18"/>
  <c r="A409" i="18"/>
  <c r="H379" i="18"/>
  <c r="D379" i="18"/>
  <c r="C379" i="18"/>
  <c r="A379" i="18"/>
  <c r="H378" i="18"/>
  <c r="D378" i="18"/>
  <c r="C378" i="18"/>
  <c r="A378" i="18"/>
  <c r="H377" i="18"/>
  <c r="D377" i="18"/>
  <c r="C377" i="18"/>
  <c r="A377" i="18"/>
  <c r="E345" i="18"/>
  <c r="D345" i="18"/>
  <c r="A345" i="18"/>
  <c r="E344" i="18"/>
  <c r="D344" i="18"/>
  <c r="A344" i="18"/>
  <c r="E343" i="18"/>
  <c r="D343" i="18"/>
  <c r="A343" i="18"/>
  <c r="E342" i="18"/>
  <c r="D342" i="18"/>
  <c r="A342" i="18"/>
  <c r="E341" i="18"/>
  <c r="D341" i="18"/>
  <c r="A341" i="18"/>
  <c r="E340" i="18"/>
  <c r="D340" i="18"/>
  <c r="A340" i="18"/>
  <c r="E339" i="18"/>
  <c r="D339" i="18"/>
  <c r="A339" i="18"/>
  <c r="E338" i="18"/>
  <c r="D338" i="18"/>
  <c r="A338" i="18"/>
  <c r="E337" i="18"/>
  <c r="D337" i="18"/>
  <c r="A337" i="18"/>
  <c r="H335" i="18"/>
  <c r="D335" i="18"/>
  <c r="C335" i="18"/>
  <c r="A335" i="18"/>
  <c r="H334" i="18"/>
  <c r="D334" i="18"/>
  <c r="C334" i="18"/>
  <c r="A334" i="18"/>
  <c r="C332" i="18"/>
  <c r="C331" i="18"/>
  <c r="B310" i="18"/>
  <c r="H331" i="18"/>
  <c r="H332" i="18" s="1"/>
  <c r="B309" i="18"/>
  <c r="B304" i="18"/>
  <c r="A331" i="18"/>
  <c r="A332" i="18"/>
  <c r="H302" i="18"/>
  <c r="D302" i="18"/>
  <c r="C302" i="18"/>
  <c r="A302" i="18"/>
  <c r="H301" i="18"/>
  <c r="D301" i="18"/>
  <c r="C301" i="18"/>
  <c r="A301" i="18"/>
  <c r="H300" i="18"/>
  <c r="D300" i="18"/>
  <c r="C300" i="18"/>
  <c r="A300" i="18"/>
  <c r="E268" i="18"/>
  <c r="D268" i="18"/>
  <c r="A268" i="18"/>
  <c r="E267" i="18"/>
  <c r="D267" i="18"/>
  <c r="A267" i="18"/>
  <c r="E266" i="18"/>
  <c r="D266" i="18"/>
  <c r="A266" i="18"/>
  <c r="E265" i="18"/>
  <c r="D265" i="18"/>
  <c r="A265" i="18"/>
  <c r="E264" i="18"/>
  <c r="D264" i="18"/>
  <c r="A264" i="18"/>
  <c r="E263" i="18"/>
  <c r="D263" i="18"/>
  <c r="A263" i="18"/>
  <c r="E262" i="18"/>
  <c r="D262" i="18"/>
  <c r="A262" i="18"/>
  <c r="E261" i="18"/>
  <c r="D261" i="18"/>
  <c r="A261" i="18"/>
  <c r="E260" i="18"/>
  <c r="D260" i="18"/>
  <c r="A260" i="18"/>
  <c r="H258" i="18"/>
  <c r="D258" i="18"/>
  <c r="C258" i="18"/>
  <c r="A258" i="18"/>
  <c r="H257" i="18"/>
  <c r="D257" i="18"/>
  <c r="C257" i="18"/>
  <c r="A257" i="18"/>
  <c r="C255" i="18"/>
  <c r="C254" i="18"/>
  <c r="B233" i="18"/>
  <c r="H254" i="18"/>
  <c r="H255" i="18" s="1"/>
  <c r="B232" i="18"/>
  <c r="B227" i="18"/>
  <c r="A254" i="18"/>
  <c r="A255" i="18"/>
  <c r="H223" i="18"/>
  <c r="C223" i="18"/>
  <c r="A223" i="18"/>
  <c r="H221" i="18"/>
  <c r="C221" i="18"/>
  <c r="A221" i="18"/>
  <c r="H220" i="18"/>
  <c r="C220" i="18"/>
  <c r="A220" i="18"/>
  <c r="H219" i="18"/>
  <c r="D219" i="18"/>
  <c r="C219" i="18"/>
  <c r="B195" i="18"/>
  <c r="B194" i="18"/>
  <c r="B189" i="18"/>
  <c r="A219" i="18"/>
  <c r="H185" i="18"/>
  <c r="C185" i="18"/>
  <c r="A185" i="18"/>
  <c r="H183" i="18"/>
  <c r="C183" i="18"/>
  <c r="A183" i="18"/>
  <c r="H182" i="18"/>
  <c r="C182" i="18"/>
  <c r="A182" i="18"/>
  <c r="H181" i="18"/>
  <c r="D181" i="18"/>
  <c r="C181" i="18"/>
  <c r="B157" i="18"/>
  <c r="B156" i="18"/>
  <c r="B151" i="18"/>
  <c r="A181" i="18"/>
  <c r="H147" i="18"/>
  <c r="C147" i="18"/>
  <c r="A147" i="18"/>
  <c r="H145" i="18"/>
  <c r="C145" i="18"/>
  <c r="A145" i="18"/>
  <c r="H144" i="18"/>
  <c r="C144" i="18"/>
  <c r="A144" i="18"/>
  <c r="H143" i="18"/>
  <c r="D143" i="18"/>
  <c r="C143" i="18"/>
  <c r="B119" i="18"/>
  <c r="B118" i="18"/>
  <c r="B113" i="18"/>
  <c r="A143" i="18"/>
  <c r="H109" i="18"/>
  <c r="C109" i="18"/>
  <c r="A109" i="18"/>
  <c r="H107" i="18"/>
  <c r="C107" i="18"/>
  <c r="A107" i="18"/>
  <c r="H106" i="18"/>
  <c r="C106" i="18"/>
  <c r="A106" i="18"/>
  <c r="H105" i="18"/>
  <c r="D105" i="18"/>
  <c r="C105" i="18"/>
  <c r="B81" i="18"/>
  <c r="B80" i="18"/>
  <c r="B75" i="18"/>
  <c r="A105" i="18"/>
  <c r="H71" i="18"/>
  <c r="C71" i="18"/>
  <c r="A71" i="18"/>
  <c r="H70" i="18"/>
  <c r="C70" i="18"/>
  <c r="A70" i="18"/>
  <c r="H69" i="18"/>
  <c r="C69" i="18"/>
  <c r="A69" i="18"/>
  <c r="H68" i="18"/>
  <c r="D68" i="18"/>
  <c r="C68" i="18"/>
  <c r="B44" i="18"/>
  <c r="B43" i="18"/>
  <c r="B38" i="18"/>
  <c r="A68" i="18"/>
  <c r="H34" i="18"/>
  <c r="C34" i="18"/>
  <c r="A34" i="18"/>
  <c r="H33" i="18"/>
  <c r="C33" i="18"/>
  <c r="A33" i="18"/>
  <c r="H32" i="18"/>
  <c r="C32" i="18"/>
  <c r="A32" i="18"/>
  <c r="H31" i="18"/>
  <c r="D31" i="18"/>
  <c r="C31" i="18"/>
  <c r="B7" i="18"/>
  <c r="B6" i="18"/>
  <c r="B1" i="18"/>
  <c r="A31" i="18"/>
  <c r="H687" i="17"/>
  <c r="D687" i="17"/>
  <c r="C687" i="17"/>
  <c r="A687" i="17"/>
  <c r="H686" i="17"/>
  <c r="D686" i="17"/>
  <c r="C686" i="17"/>
  <c r="A686" i="17"/>
  <c r="H685" i="17"/>
  <c r="D685" i="17"/>
  <c r="C685" i="17"/>
  <c r="A685" i="17"/>
  <c r="E653" i="17"/>
  <c r="D653" i="17"/>
  <c r="A653" i="17"/>
  <c r="E652" i="17"/>
  <c r="D652" i="17"/>
  <c r="A652" i="17"/>
  <c r="E651" i="17"/>
  <c r="D651" i="17"/>
  <c r="A651" i="17"/>
  <c r="E650" i="17"/>
  <c r="D650" i="17"/>
  <c r="A650" i="17"/>
  <c r="E649" i="17"/>
  <c r="D649" i="17"/>
  <c r="A649" i="17"/>
  <c r="E648" i="17"/>
  <c r="D648" i="17"/>
  <c r="A648" i="17"/>
  <c r="E647" i="17"/>
  <c r="D647" i="17"/>
  <c r="A647" i="17"/>
  <c r="E646" i="17"/>
  <c r="D646" i="17"/>
  <c r="A646" i="17"/>
  <c r="E645" i="17"/>
  <c r="D645" i="17"/>
  <c r="A645" i="17"/>
  <c r="H643" i="17"/>
  <c r="D643" i="17"/>
  <c r="C643" i="17"/>
  <c r="A643" i="17"/>
  <c r="H642" i="17"/>
  <c r="D642" i="17"/>
  <c r="C642" i="17"/>
  <c r="A642" i="17"/>
  <c r="C640" i="17"/>
  <c r="C639" i="17"/>
  <c r="B618" i="17"/>
  <c r="H639" i="17"/>
  <c r="H640" i="17" s="1"/>
  <c r="B617" i="17"/>
  <c r="B612" i="17"/>
  <c r="A639" i="17" s="1"/>
  <c r="A640" i="17" s="1"/>
  <c r="H610" i="17"/>
  <c r="D610" i="17"/>
  <c r="C610" i="17"/>
  <c r="A610" i="17"/>
  <c r="H609" i="17"/>
  <c r="D609" i="17"/>
  <c r="C609" i="17"/>
  <c r="A609" i="17"/>
  <c r="H608" i="17"/>
  <c r="D608" i="17"/>
  <c r="C608" i="17"/>
  <c r="A608" i="17"/>
  <c r="E576" i="17"/>
  <c r="D576" i="17"/>
  <c r="A576" i="17"/>
  <c r="E575" i="17"/>
  <c r="D575" i="17"/>
  <c r="A575" i="17"/>
  <c r="E574" i="17"/>
  <c r="D574" i="17"/>
  <c r="A574" i="17"/>
  <c r="E573" i="17"/>
  <c r="D573" i="17"/>
  <c r="A573" i="17"/>
  <c r="E572" i="17"/>
  <c r="D572" i="17"/>
  <c r="A572" i="17"/>
  <c r="E571" i="17"/>
  <c r="D571" i="17"/>
  <c r="A571" i="17"/>
  <c r="E570" i="17"/>
  <c r="D570" i="17"/>
  <c r="A570" i="17"/>
  <c r="E569" i="17"/>
  <c r="D569" i="17"/>
  <c r="A569" i="17"/>
  <c r="E568" i="17"/>
  <c r="D568" i="17"/>
  <c r="A568" i="17"/>
  <c r="H566" i="17"/>
  <c r="D566" i="17"/>
  <c r="C566" i="17"/>
  <c r="A566" i="17"/>
  <c r="H565" i="17"/>
  <c r="D565" i="17"/>
  <c r="C565" i="17"/>
  <c r="A565" i="17"/>
  <c r="C563" i="17"/>
  <c r="C562" i="17"/>
  <c r="B541" i="17"/>
  <c r="H562" i="17"/>
  <c r="H563" i="17" s="1"/>
  <c r="B540" i="17"/>
  <c r="B535" i="17"/>
  <c r="A562" i="17" s="1"/>
  <c r="A563" i="17" s="1"/>
  <c r="H533" i="17"/>
  <c r="D533" i="17"/>
  <c r="C533" i="17"/>
  <c r="A533" i="17"/>
  <c r="H532" i="17"/>
  <c r="D532" i="17"/>
  <c r="C532" i="17"/>
  <c r="A532" i="17"/>
  <c r="H531" i="17"/>
  <c r="D531" i="17"/>
  <c r="C531" i="17"/>
  <c r="A531" i="17"/>
  <c r="E499" i="17"/>
  <c r="D499" i="17"/>
  <c r="A499" i="17"/>
  <c r="E498" i="17"/>
  <c r="D498" i="17"/>
  <c r="A498" i="17"/>
  <c r="E497" i="17"/>
  <c r="D497" i="17"/>
  <c r="A497" i="17"/>
  <c r="E496" i="17"/>
  <c r="D496" i="17"/>
  <c r="A496" i="17"/>
  <c r="E495" i="17"/>
  <c r="D495" i="17"/>
  <c r="A495" i="17"/>
  <c r="E494" i="17"/>
  <c r="D494" i="17"/>
  <c r="A494" i="17"/>
  <c r="E493" i="17"/>
  <c r="D493" i="17"/>
  <c r="A493" i="17"/>
  <c r="E492" i="17"/>
  <c r="D492" i="17"/>
  <c r="A492" i="17"/>
  <c r="E491" i="17"/>
  <c r="D491" i="17"/>
  <c r="A491" i="17"/>
  <c r="H489" i="17"/>
  <c r="D489" i="17"/>
  <c r="C489" i="17"/>
  <c r="A489" i="17"/>
  <c r="H488" i="17"/>
  <c r="D488" i="17"/>
  <c r="C488" i="17"/>
  <c r="A488" i="17"/>
  <c r="C486" i="17"/>
  <c r="C485" i="17"/>
  <c r="B464" i="17"/>
  <c r="H485" i="17"/>
  <c r="H486" i="17" s="1"/>
  <c r="B463" i="17"/>
  <c r="B458" i="17"/>
  <c r="A485" i="17" s="1"/>
  <c r="A486" i="17" s="1"/>
  <c r="H456" i="17"/>
  <c r="D456" i="17"/>
  <c r="C456" i="17"/>
  <c r="A456" i="17"/>
  <c r="H455" i="17"/>
  <c r="D455" i="17"/>
  <c r="C455" i="17"/>
  <c r="A455" i="17"/>
  <c r="H454" i="17"/>
  <c r="D454" i="17"/>
  <c r="C454" i="17"/>
  <c r="A454" i="17"/>
  <c r="E422" i="17"/>
  <c r="D422" i="17"/>
  <c r="A422" i="17"/>
  <c r="E421" i="17"/>
  <c r="D421" i="17"/>
  <c r="A421" i="17"/>
  <c r="E420" i="17"/>
  <c r="D420" i="17"/>
  <c r="A420" i="17"/>
  <c r="E419" i="17"/>
  <c r="D419" i="17"/>
  <c r="A419" i="17"/>
  <c r="E418" i="17"/>
  <c r="D418" i="17"/>
  <c r="A418" i="17"/>
  <c r="E417" i="17"/>
  <c r="D417" i="17"/>
  <c r="A417" i="17"/>
  <c r="E416" i="17"/>
  <c r="D416" i="17"/>
  <c r="A416" i="17"/>
  <c r="E415" i="17"/>
  <c r="D415" i="17"/>
  <c r="A415" i="17"/>
  <c r="E414" i="17"/>
  <c r="D414" i="17"/>
  <c r="A414" i="17"/>
  <c r="H412" i="17"/>
  <c r="D412" i="17"/>
  <c r="C412" i="17"/>
  <c r="A412" i="17"/>
  <c r="H411" i="17"/>
  <c r="D411" i="17"/>
  <c r="C411" i="17"/>
  <c r="A411" i="17"/>
  <c r="C409" i="17"/>
  <c r="C408" i="17"/>
  <c r="B387" i="17"/>
  <c r="H408" i="17"/>
  <c r="H409" i="17" s="1"/>
  <c r="B386" i="17"/>
  <c r="B381" i="17"/>
  <c r="A408" i="17" s="1"/>
  <c r="A409" i="17" s="1"/>
  <c r="H379" i="17"/>
  <c r="D379" i="17"/>
  <c r="C379" i="17"/>
  <c r="A379" i="17"/>
  <c r="H378" i="17"/>
  <c r="D378" i="17"/>
  <c r="C378" i="17"/>
  <c r="A378" i="17"/>
  <c r="H377" i="17"/>
  <c r="D377" i="17"/>
  <c r="C377" i="17"/>
  <c r="A377" i="17"/>
  <c r="E345" i="17"/>
  <c r="D345" i="17"/>
  <c r="A345" i="17"/>
  <c r="E344" i="17"/>
  <c r="D344" i="17"/>
  <c r="A344" i="17"/>
  <c r="E343" i="17"/>
  <c r="D343" i="17"/>
  <c r="A343" i="17"/>
  <c r="E342" i="17"/>
  <c r="D342" i="17"/>
  <c r="A342" i="17"/>
  <c r="E341" i="17"/>
  <c r="D341" i="17"/>
  <c r="A341" i="17"/>
  <c r="E340" i="17"/>
  <c r="D340" i="17"/>
  <c r="A340" i="17"/>
  <c r="E339" i="17"/>
  <c r="D339" i="17"/>
  <c r="A339" i="17"/>
  <c r="E338" i="17"/>
  <c r="D338" i="17"/>
  <c r="A338" i="17"/>
  <c r="E337" i="17"/>
  <c r="D337" i="17"/>
  <c r="A337" i="17"/>
  <c r="H335" i="17"/>
  <c r="D335" i="17"/>
  <c r="C335" i="17"/>
  <c r="A335" i="17"/>
  <c r="H334" i="17"/>
  <c r="D334" i="17"/>
  <c r="C334" i="17"/>
  <c r="A334" i="17"/>
  <c r="C332" i="17"/>
  <c r="C331" i="17"/>
  <c r="B310" i="17"/>
  <c r="H331" i="17"/>
  <c r="H332" i="17" s="1"/>
  <c r="B309" i="17"/>
  <c r="B304" i="17"/>
  <c r="A331" i="17" s="1"/>
  <c r="A332" i="17" s="1"/>
  <c r="H302" i="17"/>
  <c r="D302" i="17"/>
  <c r="C302" i="17"/>
  <c r="A302" i="17"/>
  <c r="H301" i="17"/>
  <c r="D301" i="17"/>
  <c r="C301" i="17"/>
  <c r="A301" i="17"/>
  <c r="H300" i="17"/>
  <c r="D300" i="17"/>
  <c r="C300" i="17"/>
  <c r="A300" i="17"/>
  <c r="E268" i="17"/>
  <c r="D268" i="17"/>
  <c r="A268" i="17"/>
  <c r="E267" i="17"/>
  <c r="D267" i="17"/>
  <c r="A267" i="17"/>
  <c r="E266" i="17"/>
  <c r="D266" i="17"/>
  <c r="A266" i="17"/>
  <c r="E265" i="17"/>
  <c r="D265" i="17"/>
  <c r="A265" i="17"/>
  <c r="E264" i="17"/>
  <c r="D264" i="17"/>
  <c r="A264" i="17"/>
  <c r="E263" i="17"/>
  <c r="D263" i="17"/>
  <c r="A263" i="17"/>
  <c r="E262" i="17"/>
  <c r="D262" i="17"/>
  <c r="A262" i="17"/>
  <c r="E261" i="17"/>
  <c r="D261" i="17"/>
  <c r="A261" i="17"/>
  <c r="E260" i="17"/>
  <c r="D260" i="17"/>
  <c r="A260" i="17"/>
  <c r="H258" i="17"/>
  <c r="D258" i="17"/>
  <c r="C258" i="17"/>
  <c r="A258" i="17"/>
  <c r="H257" i="17"/>
  <c r="D257" i="17"/>
  <c r="C257" i="17"/>
  <c r="A257" i="17"/>
  <c r="C255" i="17"/>
  <c r="C254" i="17"/>
  <c r="B233" i="17"/>
  <c r="H254" i="17"/>
  <c r="H255" i="17" s="1"/>
  <c r="B232" i="17"/>
  <c r="B227" i="17"/>
  <c r="A254" i="17" s="1"/>
  <c r="A255" i="17" s="1"/>
  <c r="H223" i="17"/>
  <c r="C223" i="17"/>
  <c r="A223" i="17"/>
  <c r="H221" i="17"/>
  <c r="C221" i="17"/>
  <c r="A221" i="17"/>
  <c r="H220" i="17"/>
  <c r="C220" i="17"/>
  <c r="A220" i="17"/>
  <c r="H219" i="17"/>
  <c r="D219" i="17"/>
  <c r="C219" i="17"/>
  <c r="B195" i="17"/>
  <c r="B194" i="17"/>
  <c r="B189" i="17"/>
  <c r="A219" i="17" s="1"/>
  <c r="H185" i="17"/>
  <c r="C185" i="17"/>
  <c r="A185" i="17"/>
  <c r="H183" i="17"/>
  <c r="C183" i="17"/>
  <c r="A183" i="17"/>
  <c r="H182" i="17"/>
  <c r="C182" i="17"/>
  <c r="A182" i="17"/>
  <c r="H181" i="17"/>
  <c r="D181" i="17"/>
  <c r="C181" i="17"/>
  <c r="B157" i="17"/>
  <c r="B156" i="17"/>
  <c r="B151" i="17"/>
  <c r="A181" i="17" s="1"/>
  <c r="H147" i="17"/>
  <c r="C147" i="17"/>
  <c r="A147" i="17"/>
  <c r="H145" i="17"/>
  <c r="C145" i="17"/>
  <c r="A145" i="17"/>
  <c r="H144" i="17"/>
  <c r="C144" i="17"/>
  <c r="A144" i="17"/>
  <c r="H143" i="17"/>
  <c r="D143" i="17"/>
  <c r="C143" i="17"/>
  <c r="B119" i="17"/>
  <c r="B118" i="17"/>
  <c r="B113" i="17"/>
  <c r="A143" i="17" s="1"/>
  <c r="H109" i="17"/>
  <c r="C109" i="17"/>
  <c r="A109" i="17"/>
  <c r="H107" i="17"/>
  <c r="C107" i="17"/>
  <c r="A107" i="17"/>
  <c r="H106" i="17"/>
  <c r="C106" i="17"/>
  <c r="A106" i="17"/>
  <c r="H105" i="17"/>
  <c r="D105" i="17"/>
  <c r="C105" i="17"/>
  <c r="B81" i="17"/>
  <c r="B80" i="17"/>
  <c r="B75" i="17"/>
  <c r="A105" i="17" s="1"/>
  <c r="H71" i="17"/>
  <c r="C71" i="17"/>
  <c r="A71" i="17"/>
  <c r="H70" i="17"/>
  <c r="C70" i="17"/>
  <c r="A70" i="17"/>
  <c r="H69" i="17"/>
  <c r="C69" i="17"/>
  <c r="A69" i="17"/>
  <c r="H68" i="17"/>
  <c r="D68" i="17"/>
  <c r="C68" i="17"/>
  <c r="B44" i="17"/>
  <c r="B43" i="17"/>
  <c r="B38" i="17"/>
  <c r="A68" i="17" s="1"/>
  <c r="H34" i="17"/>
  <c r="C34" i="17"/>
  <c r="A34" i="17"/>
  <c r="H33" i="17"/>
  <c r="C33" i="17"/>
  <c r="A33" i="17"/>
  <c r="H32" i="17"/>
  <c r="C32" i="17"/>
  <c r="A32" i="17"/>
  <c r="H31" i="17"/>
  <c r="D31" i="17"/>
  <c r="C31" i="17"/>
  <c r="B7" i="17"/>
  <c r="B6" i="17"/>
  <c r="B1" i="17"/>
  <c r="A31" i="17" s="1"/>
  <c r="H687" i="16"/>
  <c r="D687" i="16"/>
  <c r="C687" i="16"/>
  <c r="A687" i="16"/>
  <c r="H686" i="16"/>
  <c r="D686" i="16"/>
  <c r="C686" i="16"/>
  <c r="A686" i="16"/>
  <c r="H685" i="16"/>
  <c r="D685" i="16"/>
  <c r="C685" i="16"/>
  <c r="A685" i="16"/>
  <c r="E653" i="16"/>
  <c r="D653" i="16"/>
  <c r="A653" i="16"/>
  <c r="E652" i="16"/>
  <c r="D652" i="16"/>
  <c r="A652" i="16"/>
  <c r="E651" i="16"/>
  <c r="D651" i="16"/>
  <c r="A651" i="16"/>
  <c r="E650" i="16"/>
  <c r="D650" i="16"/>
  <c r="A650" i="16"/>
  <c r="E649" i="16"/>
  <c r="D649" i="16"/>
  <c r="A649" i="16"/>
  <c r="E648" i="16"/>
  <c r="D648" i="16"/>
  <c r="A648" i="16"/>
  <c r="E647" i="16"/>
  <c r="D647" i="16"/>
  <c r="A647" i="16"/>
  <c r="E646" i="16"/>
  <c r="D646" i="16"/>
  <c r="A646" i="16"/>
  <c r="E645" i="16"/>
  <c r="D645" i="16"/>
  <c r="A645" i="16"/>
  <c r="H642" i="16"/>
  <c r="D642" i="16"/>
  <c r="C642" i="16"/>
  <c r="A642" i="16"/>
  <c r="H641" i="16"/>
  <c r="D641" i="16"/>
  <c r="C641" i="16"/>
  <c r="A641" i="16"/>
  <c r="C640" i="16"/>
  <c r="C639" i="16"/>
  <c r="B618" i="16"/>
  <c r="H639" i="16" s="1"/>
  <c r="H640" i="16" s="1"/>
  <c r="B617" i="16"/>
  <c r="B612" i="16"/>
  <c r="A639" i="16" s="1"/>
  <c r="A640" i="16" s="1"/>
  <c r="H610" i="16"/>
  <c r="D610" i="16"/>
  <c r="C610" i="16"/>
  <c r="A610" i="16"/>
  <c r="H609" i="16"/>
  <c r="D609" i="16"/>
  <c r="C609" i="16"/>
  <c r="A609" i="16"/>
  <c r="H608" i="16"/>
  <c r="D608" i="16"/>
  <c r="C608" i="16"/>
  <c r="A608" i="16"/>
  <c r="E576" i="16"/>
  <c r="D576" i="16"/>
  <c r="A576" i="16"/>
  <c r="E575" i="16"/>
  <c r="D575" i="16"/>
  <c r="A575" i="16"/>
  <c r="E574" i="16"/>
  <c r="D574" i="16"/>
  <c r="A574" i="16"/>
  <c r="E573" i="16"/>
  <c r="D573" i="16"/>
  <c r="A573" i="16"/>
  <c r="E572" i="16"/>
  <c r="D572" i="16"/>
  <c r="A572" i="16"/>
  <c r="E571" i="16"/>
  <c r="D571" i="16"/>
  <c r="A571" i="16"/>
  <c r="E570" i="16"/>
  <c r="D570" i="16"/>
  <c r="A570" i="16"/>
  <c r="E569" i="16"/>
  <c r="D569" i="16"/>
  <c r="A569" i="16"/>
  <c r="E568" i="16"/>
  <c r="D568" i="16"/>
  <c r="A568" i="16"/>
  <c r="H565" i="16"/>
  <c r="D565" i="16"/>
  <c r="C565" i="16"/>
  <c r="A565" i="16"/>
  <c r="H564" i="16"/>
  <c r="D564" i="16"/>
  <c r="C564" i="16"/>
  <c r="A564" i="16"/>
  <c r="C563" i="16"/>
  <c r="C562" i="16"/>
  <c r="B541" i="16"/>
  <c r="H562" i="16" s="1"/>
  <c r="H563" i="16" s="1"/>
  <c r="B540" i="16"/>
  <c r="B535" i="16"/>
  <c r="A562" i="16" s="1"/>
  <c r="A563" i="16" s="1"/>
  <c r="H533" i="16"/>
  <c r="D533" i="16"/>
  <c r="C533" i="16"/>
  <c r="A533" i="16"/>
  <c r="H532" i="16"/>
  <c r="D532" i="16"/>
  <c r="C532" i="16"/>
  <c r="A532" i="16"/>
  <c r="H531" i="16"/>
  <c r="D531" i="16"/>
  <c r="C531" i="16"/>
  <c r="A531" i="16"/>
  <c r="E499" i="16"/>
  <c r="D499" i="16"/>
  <c r="A499" i="16"/>
  <c r="E498" i="16"/>
  <c r="D498" i="16"/>
  <c r="A498" i="16"/>
  <c r="E497" i="16"/>
  <c r="D497" i="16"/>
  <c r="A497" i="16"/>
  <c r="E496" i="16"/>
  <c r="D496" i="16"/>
  <c r="A496" i="16"/>
  <c r="E495" i="16"/>
  <c r="D495" i="16"/>
  <c r="A495" i="16"/>
  <c r="E494" i="16"/>
  <c r="D494" i="16"/>
  <c r="A494" i="16"/>
  <c r="E493" i="16"/>
  <c r="D493" i="16"/>
  <c r="A493" i="16"/>
  <c r="E492" i="16"/>
  <c r="D492" i="16"/>
  <c r="A492" i="16"/>
  <c r="E491" i="16"/>
  <c r="D491" i="16"/>
  <c r="A491" i="16"/>
  <c r="H488" i="16"/>
  <c r="D488" i="16"/>
  <c r="C488" i="16"/>
  <c r="A488" i="16"/>
  <c r="H487" i="16"/>
  <c r="D487" i="16"/>
  <c r="C487" i="16"/>
  <c r="A487" i="16"/>
  <c r="C486" i="16"/>
  <c r="C485" i="16"/>
  <c r="B464" i="16"/>
  <c r="H485" i="16" s="1"/>
  <c r="H486" i="16" s="1"/>
  <c r="B463" i="16"/>
  <c r="B458" i="16"/>
  <c r="A485" i="16" s="1"/>
  <c r="A486" i="16" s="1"/>
  <c r="H456" i="16"/>
  <c r="D456" i="16"/>
  <c r="C456" i="16"/>
  <c r="A456" i="16"/>
  <c r="H455" i="16"/>
  <c r="D455" i="16"/>
  <c r="C455" i="16"/>
  <c r="A455" i="16"/>
  <c r="H454" i="16"/>
  <c r="D454" i="16"/>
  <c r="C454" i="16"/>
  <c r="A454" i="16"/>
  <c r="E422" i="16"/>
  <c r="D422" i="16"/>
  <c r="A422" i="16"/>
  <c r="E421" i="16"/>
  <c r="D421" i="16"/>
  <c r="A421" i="16"/>
  <c r="E420" i="16"/>
  <c r="D420" i="16"/>
  <c r="A420" i="16"/>
  <c r="E419" i="16"/>
  <c r="D419" i="16"/>
  <c r="A419" i="16"/>
  <c r="E418" i="16"/>
  <c r="D418" i="16"/>
  <c r="A418" i="16"/>
  <c r="E417" i="16"/>
  <c r="D417" i="16"/>
  <c r="A417" i="16"/>
  <c r="E416" i="16"/>
  <c r="D416" i="16"/>
  <c r="A416" i="16"/>
  <c r="E415" i="16"/>
  <c r="D415" i="16"/>
  <c r="A415" i="16"/>
  <c r="E414" i="16"/>
  <c r="D414" i="16"/>
  <c r="A414" i="16"/>
  <c r="H411" i="16"/>
  <c r="D411" i="16"/>
  <c r="C411" i="16"/>
  <c r="A411" i="16"/>
  <c r="H410" i="16"/>
  <c r="D410" i="16"/>
  <c r="C410" i="16"/>
  <c r="A410" i="16"/>
  <c r="C409" i="16"/>
  <c r="C408" i="16"/>
  <c r="B387" i="16"/>
  <c r="H408" i="16" s="1"/>
  <c r="H409" i="16" s="1"/>
  <c r="B386" i="16"/>
  <c r="B381" i="16"/>
  <c r="A408" i="16" s="1"/>
  <c r="A409" i="16" s="1"/>
  <c r="H379" i="16"/>
  <c r="D379" i="16"/>
  <c r="C379" i="16"/>
  <c r="A379" i="16"/>
  <c r="H378" i="16"/>
  <c r="D378" i="16"/>
  <c r="C378" i="16"/>
  <c r="A378" i="16"/>
  <c r="H377" i="16"/>
  <c r="D377" i="16"/>
  <c r="C377" i="16"/>
  <c r="A377" i="16"/>
  <c r="E345" i="16"/>
  <c r="D345" i="16"/>
  <c r="A345" i="16"/>
  <c r="E344" i="16"/>
  <c r="D344" i="16"/>
  <c r="A344" i="16"/>
  <c r="E343" i="16"/>
  <c r="D343" i="16"/>
  <c r="A343" i="16"/>
  <c r="E342" i="16"/>
  <c r="D342" i="16"/>
  <c r="A342" i="16"/>
  <c r="E341" i="16"/>
  <c r="D341" i="16"/>
  <c r="A341" i="16"/>
  <c r="E340" i="16"/>
  <c r="D340" i="16"/>
  <c r="A340" i="16"/>
  <c r="E339" i="16"/>
  <c r="D339" i="16"/>
  <c r="A339" i="16"/>
  <c r="E338" i="16"/>
  <c r="D338" i="16"/>
  <c r="A338" i="16"/>
  <c r="E337" i="16"/>
  <c r="D337" i="16"/>
  <c r="A337" i="16"/>
  <c r="H334" i="16"/>
  <c r="D334" i="16"/>
  <c r="C334" i="16"/>
  <c r="A334" i="16"/>
  <c r="H333" i="16"/>
  <c r="D333" i="16"/>
  <c r="C333" i="16"/>
  <c r="A333" i="16"/>
  <c r="C332" i="16"/>
  <c r="C331" i="16"/>
  <c r="B310" i="16"/>
  <c r="H331" i="16" s="1"/>
  <c r="H332" i="16" s="1"/>
  <c r="B309" i="16"/>
  <c r="B304" i="16"/>
  <c r="A331" i="16" s="1"/>
  <c r="A332" i="16" s="1"/>
  <c r="H302" i="16"/>
  <c r="D302" i="16"/>
  <c r="C302" i="16"/>
  <c r="A302" i="16"/>
  <c r="H301" i="16"/>
  <c r="D301" i="16"/>
  <c r="C301" i="16"/>
  <c r="A301" i="16"/>
  <c r="H300" i="16"/>
  <c r="D300" i="16"/>
  <c r="C300" i="16"/>
  <c r="A300" i="16"/>
  <c r="E267" i="16"/>
  <c r="D267" i="16"/>
  <c r="A267" i="16"/>
  <c r="E266" i="16"/>
  <c r="D266" i="16"/>
  <c r="A266" i="16"/>
  <c r="E265" i="16"/>
  <c r="D265" i="16"/>
  <c r="A265" i="16"/>
  <c r="E264" i="16"/>
  <c r="D264" i="16"/>
  <c r="A264" i="16"/>
  <c r="E263" i="16"/>
  <c r="D263" i="16"/>
  <c r="A263" i="16"/>
  <c r="E262" i="16"/>
  <c r="D262" i="16"/>
  <c r="A262" i="16"/>
  <c r="E261" i="16"/>
  <c r="D261" i="16"/>
  <c r="A261" i="16"/>
  <c r="E260" i="16"/>
  <c r="D260" i="16"/>
  <c r="A260" i="16"/>
  <c r="H257" i="16"/>
  <c r="D257" i="16"/>
  <c r="C257" i="16"/>
  <c r="A257" i="16"/>
  <c r="H256" i="16"/>
  <c r="D256" i="16"/>
  <c r="C256" i="16"/>
  <c r="A256" i="16"/>
  <c r="C255" i="16"/>
  <c r="C254" i="16"/>
  <c r="B233" i="16"/>
  <c r="H254" i="16" s="1"/>
  <c r="H255" i="16" s="1"/>
  <c r="B232" i="16"/>
  <c r="B227" i="16"/>
  <c r="A254" i="16" s="1"/>
  <c r="A255" i="16" s="1"/>
  <c r="H223" i="16"/>
  <c r="C223" i="16"/>
  <c r="A223" i="16"/>
  <c r="H221" i="16"/>
  <c r="C221" i="16"/>
  <c r="A221" i="16"/>
  <c r="H220" i="16"/>
  <c r="C220" i="16"/>
  <c r="A220" i="16"/>
  <c r="H219" i="16"/>
  <c r="D219" i="16"/>
  <c r="C219" i="16"/>
  <c r="B195" i="16"/>
  <c r="B194" i="16"/>
  <c r="B189" i="16"/>
  <c r="A219" i="16"/>
  <c r="H185" i="16"/>
  <c r="C185" i="16"/>
  <c r="A185" i="16"/>
  <c r="H183" i="16"/>
  <c r="C183" i="16"/>
  <c r="A183" i="16"/>
  <c r="H182" i="16"/>
  <c r="C182" i="16"/>
  <c r="A182" i="16"/>
  <c r="H181" i="16"/>
  <c r="D181" i="16"/>
  <c r="C181" i="16"/>
  <c r="B157" i="16"/>
  <c r="B156" i="16"/>
  <c r="B151" i="16"/>
  <c r="A181" i="16"/>
  <c r="H147" i="16"/>
  <c r="C147" i="16"/>
  <c r="A147" i="16"/>
  <c r="H145" i="16"/>
  <c r="C145" i="16"/>
  <c r="A145" i="16"/>
  <c r="H144" i="16"/>
  <c r="C144" i="16"/>
  <c r="A144" i="16"/>
  <c r="H143" i="16"/>
  <c r="D143" i="16"/>
  <c r="C143" i="16"/>
  <c r="B119" i="16"/>
  <c r="B118" i="16"/>
  <c r="B113" i="16"/>
  <c r="A143" i="16"/>
  <c r="H109" i="16"/>
  <c r="C109" i="16"/>
  <c r="A109" i="16"/>
  <c r="H107" i="16"/>
  <c r="C107" i="16"/>
  <c r="A107" i="16"/>
  <c r="H106" i="16"/>
  <c r="C106" i="16"/>
  <c r="A106" i="16"/>
  <c r="H105" i="16"/>
  <c r="D105" i="16"/>
  <c r="C105" i="16"/>
  <c r="B81" i="16"/>
  <c r="B80" i="16"/>
  <c r="B75" i="16"/>
  <c r="A105" i="16"/>
  <c r="H71" i="16"/>
  <c r="C71" i="16"/>
  <c r="A71" i="16"/>
  <c r="H70" i="16"/>
  <c r="C70" i="16"/>
  <c r="A70" i="16"/>
  <c r="H69" i="16"/>
  <c r="C69" i="16"/>
  <c r="A69" i="16"/>
  <c r="H68" i="16"/>
  <c r="D68" i="16"/>
  <c r="C68" i="16"/>
  <c r="B44" i="16"/>
  <c r="B43" i="16"/>
  <c r="B38" i="16"/>
  <c r="A68" i="16"/>
  <c r="H34" i="16"/>
  <c r="C34" i="16"/>
  <c r="A34" i="16"/>
  <c r="H33" i="16"/>
  <c r="C33" i="16"/>
  <c r="A33" i="16"/>
  <c r="H32" i="16"/>
  <c r="C32" i="16"/>
  <c r="A32" i="16"/>
  <c r="H31" i="16"/>
  <c r="D31" i="16"/>
  <c r="C31" i="16"/>
  <c r="B7" i="16"/>
  <c r="B6" i="16"/>
  <c r="B1" i="16"/>
  <c r="A31" i="16"/>
  <c r="D479" i="15"/>
  <c r="C479" i="15"/>
  <c r="D441" i="15"/>
  <c r="C441" i="15"/>
  <c r="D403" i="15"/>
  <c r="C403" i="15"/>
  <c r="D365" i="15"/>
  <c r="C365" i="15"/>
  <c r="H327" i="15"/>
  <c r="D327" i="15"/>
  <c r="C327" i="15"/>
  <c r="A327" i="15"/>
  <c r="H289" i="15"/>
  <c r="D289" i="15"/>
  <c r="C289" i="15"/>
  <c r="A289" i="15"/>
  <c r="H251" i="15"/>
  <c r="D251" i="15"/>
  <c r="C251" i="15"/>
  <c r="A251" i="15"/>
  <c r="H213" i="15"/>
  <c r="A213" i="15"/>
  <c r="D213" i="15"/>
  <c r="C213" i="15"/>
  <c r="H483" i="15"/>
  <c r="D483" i="15"/>
  <c r="C483" i="15"/>
  <c r="A483" i="15"/>
  <c r="H482" i="15"/>
  <c r="D482" i="15"/>
  <c r="C482" i="15"/>
  <c r="A482" i="15"/>
  <c r="H481" i="15"/>
  <c r="D481" i="15"/>
  <c r="C481" i="15"/>
  <c r="A481" i="15"/>
  <c r="H480" i="15"/>
  <c r="D480" i="15"/>
  <c r="C480" i="15"/>
  <c r="A480" i="15"/>
  <c r="H478" i="15"/>
  <c r="D478" i="15"/>
  <c r="C478" i="15"/>
  <c r="A478" i="15"/>
  <c r="C476" i="15"/>
  <c r="C475" i="15"/>
  <c r="B453" i="15"/>
  <c r="H475" i="15"/>
  <c r="H476" i="15"/>
  <c r="B452" i="15"/>
  <c r="A475" i="15"/>
  <c r="H445" i="15"/>
  <c r="D445" i="15"/>
  <c r="C445" i="15"/>
  <c r="A445" i="15"/>
  <c r="H444" i="15"/>
  <c r="D444" i="15"/>
  <c r="C444" i="15"/>
  <c r="A444" i="15"/>
  <c r="H443" i="15"/>
  <c r="D443" i="15"/>
  <c r="C443" i="15"/>
  <c r="A443" i="15"/>
  <c r="H442" i="15"/>
  <c r="D442" i="15"/>
  <c r="C442" i="15"/>
  <c r="A442" i="15"/>
  <c r="H440" i="15"/>
  <c r="D440" i="15"/>
  <c r="C440" i="15"/>
  <c r="A440" i="15"/>
  <c r="C438" i="15"/>
  <c r="C437" i="15"/>
  <c r="B415" i="15"/>
  <c r="H437" i="15"/>
  <c r="H438" i="15"/>
  <c r="B414" i="15"/>
  <c r="H407" i="15"/>
  <c r="D407" i="15"/>
  <c r="C407" i="15"/>
  <c r="A407" i="15"/>
  <c r="H406" i="15"/>
  <c r="D406" i="15"/>
  <c r="C406" i="15"/>
  <c r="A406" i="15"/>
  <c r="H405" i="15"/>
  <c r="D405" i="15"/>
  <c r="C405" i="15"/>
  <c r="A405" i="15"/>
  <c r="H404" i="15"/>
  <c r="D404" i="15"/>
  <c r="C404" i="15"/>
  <c r="A404" i="15"/>
  <c r="H402" i="15"/>
  <c r="D402" i="15"/>
  <c r="C402" i="15"/>
  <c r="A402" i="15"/>
  <c r="C400" i="15"/>
  <c r="C399" i="15"/>
  <c r="B377" i="15"/>
  <c r="H399" i="15"/>
  <c r="H400" i="15"/>
  <c r="B376" i="15"/>
  <c r="A399" i="15"/>
  <c r="H369" i="15"/>
  <c r="D369" i="15"/>
  <c r="C369" i="15"/>
  <c r="A369" i="15"/>
  <c r="H368" i="15"/>
  <c r="D368" i="15"/>
  <c r="C368" i="15"/>
  <c r="A368" i="15"/>
  <c r="H367" i="15"/>
  <c r="D367" i="15"/>
  <c r="C367" i="15"/>
  <c r="A367" i="15"/>
  <c r="H366" i="15"/>
  <c r="D366" i="15"/>
  <c r="C366" i="15"/>
  <c r="A366" i="15"/>
  <c r="H364" i="15"/>
  <c r="D364" i="15"/>
  <c r="C364" i="15"/>
  <c r="A364" i="15"/>
  <c r="C362" i="15"/>
  <c r="C361" i="15"/>
  <c r="B339" i="15"/>
  <c r="H361" i="15"/>
  <c r="H362" i="15"/>
  <c r="B338" i="15"/>
  <c r="A361" i="15"/>
  <c r="H177" i="15"/>
  <c r="C177" i="15"/>
  <c r="A177" i="15"/>
  <c r="H176" i="15"/>
  <c r="C176" i="15"/>
  <c r="A176" i="15"/>
  <c r="H175" i="15"/>
  <c r="C175" i="15"/>
  <c r="A175" i="15"/>
  <c r="H174" i="15"/>
  <c r="C174" i="15"/>
  <c r="A174" i="15"/>
  <c r="H173" i="15"/>
  <c r="C173" i="15"/>
  <c r="A173" i="15"/>
  <c r="H172" i="15"/>
  <c r="C172" i="15"/>
  <c r="A172" i="15"/>
  <c r="H171" i="15"/>
  <c r="C171" i="15"/>
  <c r="A171" i="15"/>
  <c r="H170" i="15"/>
  <c r="C170" i="15"/>
  <c r="A170" i="15"/>
  <c r="H168" i="15"/>
  <c r="C168" i="15"/>
  <c r="A168" i="15"/>
  <c r="H167" i="15"/>
  <c r="D167" i="15"/>
  <c r="C167" i="15"/>
  <c r="B142" i="15"/>
  <c r="B141" i="15"/>
  <c r="B136" i="15"/>
  <c r="A167" i="15"/>
  <c r="H132" i="15"/>
  <c r="C132" i="15"/>
  <c r="A132" i="15"/>
  <c r="H131" i="15"/>
  <c r="C131" i="15"/>
  <c r="A131" i="15"/>
  <c r="H130" i="15"/>
  <c r="C130" i="15"/>
  <c r="A130" i="15"/>
  <c r="H129" i="15"/>
  <c r="C129" i="15"/>
  <c r="A129" i="15"/>
  <c r="H128" i="15"/>
  <c r="C128" i="15"/>
  <c r="A128" i="15"/>
  <c r="H127" i="15"/>
  <c r="C127" i="15"/>
  <c r="A127" i="15"/>
  <c r="H126" i="15"/>
  <c r="C126" i="15"/>
  <c r="A126" i="15"/>
  <c r="H125" i="15"/>
  <c r="C125" i="15"/>
  <c r="A125" i="15"/>
  <c r="H123" i="15"/>
  <c r="C123" i="15"/>
  <c r="A123" i="15"/>
  <c r="H122" i="15"/>
  <c r="D122" i="15"/>
  <c r="C122" i="15"/>
  <c r="B97" i="15"/>
  <c r="B96" i="15"/>
  <c r="B91" i="15"/>
  <c r="A122" i="15"/>
  <c r="H87" i="15"/>
  <c r="C87" i="15"/>
  <c r="A87" i="15"/>
  <c r="H86" i="15"/>
  <c r="C86" i="15"/>
  <c r="A86" i="15"/>
  <c r="H85" i="15"/>
  <c r="C85" i="15"/>
  <c r="A85" i="15"/>
  <c r="H84" i="15"/>
  <c r="C84" i="15"/>
  <c r="A84" i="15"/>
  <c r="H83" i="15"/>
  <c r="C83" i="15"/>
  <c r="A83" i="15"/>
  <c r="H82" i="15"/>
  <c r="C82" i="15"/>
  <c r="A82" i="15"/>
  <c r="H81" i="15"/>
  <c r="C81" i="15"/>
  <c r="A81" i="15"/>
  <c r="H80" i="15"/>
  <c r="C80" i="15"/>
  <c r="A80" i="15"/>
  <c r="H78" i="15"/>
  <c r="C78" i="15"/>
  <c r="A78" i="15"/>
  <c r="H77" i="15"/>
  <c r="D77" i="15"/>
  <c r="C77" i="15"/>
  <c r="B52" i="15"/>
  <c r="B51" i="15"/>
  <c r="B46" i="15"/>
  <c r="A77" i="15"/>
  <c r="H42" i="15"/>
  <c r="H41" i="15"/>
  <c r="H40" i="15"/>
  <c r="H39" i="15"/>
  <c r="H38" i="15"/>
  <c r="C42" i="15"/>
  <c r="C41" i="15"/>
  <c r="C40" i="15"/>
  <c r="C39" i="15"/>
  <c r="C38" i="15"/>
  <c r="A42" i="15"/>
  <c r="A41" i="15"/>
  <c r="A40" i="15"/>
  <c r="A39" i="15"/>
  <c r="A38" i="15"/>
  <c r="H33" i="15"/>
  <c r="H331" i="15"/>
  <c r="D331" i="15"/>
  <c r="C331" i="15"/>
  <c r="A331" i="15"/>
  <c r="H330" i="15"/>
  <c r="D330" i="15"/>
  <c r="C330" i="15"/>
  <c r="A330" i="15"/>
  <c r="H329" i="15"/>
  <c r="D329" i="15"/>
  <c r="C329" i="15"/>
  <c r="A329" i="15"/>
  <c r="H328" i="15"/>
  <c r="D328" i="15"/>
  <c r="C328" i="15"/>
  <c r="A328" i="15"/>
  <c r="H326" i="15"/>
  <c r="D326" i="15"/>
  <c r="C326" i="15"/>
  <c r="A326" i="15"/>
  <c r="C324" i="15"/>
  <c r="C323" i="15"/>
  <c r="B301" i="15"/>
  <c r="H323" i="15"/>
  <c r="H324" i="15"/>
  <c r="B300" i="15"/>
  <c r="B295" i="15"/>
  <c r="A323" i="15"/>
  <c r="A324" i="15"/>
  <c r="H293" i="15"/>
  <c r="D293" i="15"/>
  <c r="C293" i="15"/>
  <c r="A293" i="15"/>
  <c r="H292" i="15"/>
  <c r="D292" i="15"/>
  <c r="C292" i="15"/>
  <c r="A292" i="15"/>
  <c r="H291" i="15"/>
  <c r="D291" i="15"/>
  <c r="C291" i="15"/>
  <c r="A291" i="15"/>
  <c r="H290" i="15"/>
  <c r="D290" i="15"/>
  <c r="C290" i="15"/>
  <c r="A290" i="15"/>
  <c r="H288" i="15"/>
  <c r="D288" i="15"/>
  <c r="C288" i="15"/>
  <c r="A288" i="15"/>
  <c r="C286" i="15"/>
  <c r="C285" i="15"/>
  <c r="B263" i="15"/>
  <c r="H285" i="15"/>
  <c r="H286" i="15"/>
  <c r="B262" i="15"/>
  <c r="B257" i="15"/>
  <c r="A285" i="15"/>
  <c r="A286" i="15"/>
  <c r="H255" i="15"/>
  <c r="D255" i="15"/>
  <c r="C255" i="15"/>
  <c r="A255" i="15"/>
  <c r="H254" i="15"/>
  <c r="D254" i="15"/>
  <c r="C254" i="15"/>
  <c r="A254" i="15"/>
  <c r="H253" i="15"/>
  <c r="D253" i="15"/>
  <c r="C253" i="15"/>
  <c r="A253" i="15"/>
  <c r="H252" i="15"/>
  <c r="D252" i="15"/>
  <c r="C252" i="15"/>
  <c r="A252" i="15"/>
  <c r="H250" i="15"/>
  <c r="D250" i="15"/>
  <c r="C250" i="15"/>
  <c r="A250" i="15"/>
  <c r="C248" i="15"/>
  <c r="C247" i="15"/>
  <c r="B225" i="15"/>
  <c r="H247" i="15"/>
  <c r="H248" i="15"/>
  <c r="B224" i="15"/>
  <c r="B219" i="15"/>
  <c r="A247" i="15"/>
  <c r="A248" i="15"/>
  <c r="H217" i="15"/>
  <c r="D217" i="15"/>
  <c r="C217" i="15"/>
  <c r="A217" i="15"/>
  <c r="H216" i="15"/>
  <c r="D216" i="15"/>
  <c r="C216" i="15"/>
  <c r="A216" i="15"/>
  <c r="H215" i="15"/>
  <c r="D215" i="15"/>
  <c r="C215" i="15"/>
  <c r="A215" i="15"/>
  <c r="H214" i="15"/>
  <c r="D214" i="15"/>
  <c r="C214" i="15"/>
  <c r="A214" i="15"/>
  <c r="H212" i="15"/>
  <c r="D212" i="15"/>
  <c r="C212" i="15"/>
  <c r="A212" i="15"/>
  <c r="C210" i="15"/>
  <c r="C209" i="15"/>
  <c r="B187" i="15"/>
  <c r="H209" i="15"/>
  <c r="H210" i="15"/>
  <c r="B186" i="15"/>
  <c r="B181" i="15"/>
  <c r="A209" i="15"/>
  <c r="A210" i="15"/>
  <c r="H37" i="15"/>
  <c r="C37" i="15"/>
  <c r="A37" i="15"/>
  <c r="H36" i="15"/>
  <c r="C36" i="15"/>
  <c r="A36" i="15"/>
  <c r="H35" i="15"/>
  <c r="C35" i="15"/>
  <c r="A35" i="15"/>
  <c r="C33" i="15"/>
  <c r="A33" i="15"/>
  <c r="H32" i="15"/>
  <c r="D32" i="15"/>
  <c r="C32" i="15"/>
  <c r="B7" i="15"/>
  <c r="B6" i="15"/>
  <c r="B1" i="15"/>
  <c r="A32" i="15"/>
  <c r="H687" i="14"/>
  <c r="D687" i="14"/>
  <c r="C687" i="14"/>
  <c r="A687" i="14"/>
  <c r="H686" i="14"/>
  <c r="D686" i="14"/>
  <c r="C686" i="14"/>
  <c r="A686" i="14"/>
  <c r="H685" i="14"/>
  <c r="D685" i="14"/>
  <c r="C685" i="14"/>
  <c r="A685" i="14"/>
  <c r="E653" i="14"/>
  <c r="D653" i="14"/>
  <c r="A653" i="14"/>
  <c r="E652" i="14"/>
  <c r="D652" i="14"/>
  <c r="A652" i="14"/>
  <c r="E651" i="14"/>
  <c r="D651" i="14"/>
  <c r="A651" i="14"/>
  <c r="E650" i="14"/>
  <c r="D650" i="14"/>
  <c r="A650" i="14"/>
  <c r="E649" i="14"/>
  <c r="D649" i="14"/>
  <c r="A649" i="14"/>
  <c r="E648" i="14"/>
  <c r="D648" i="14"/>
  <c r="A648" i="14"/>
  <c r="E647" i="14"/>
  <c r="D647" i="14"/>
  <c r="A647" i="14"/>
  <c r="E646" i="14"/>
  <c r="D646" i="14"/>
  <c r="A646" i="14"/>
  <c r="E645" i="14"/>
  <c r="D645" i="14"/>
  <c r="A645" i="14"/>
  <c r="H643" i="14"/>
  <c r="D643" i="14"/>
  <c r="C643" i="14"/>
  <c r="A643" i="14"/>
  <c r="H642" i="14"/>
  <c r="D642" i="14"/>
  <c r="C642" i="14"/>
  <c r="A642" i="14"/>
  <c r="C640" i="14"/>
  <c r="C639" i="14"/>
  <c r="B618" i="14"/>
  <c r="H639" i="14"/>
  <c r="H640" i="14"/>
  <c r="B617" i="14"/>
  <c r="B612" i="14"/>
  <c r="A639" i="14"/>
  <c r="A640" i="14"/>
  <c r="H610" i="14"/>
  <c r="D610" i="14"/>
  <c r="C610" i="14"/>
  <c r="A610" i="14"/>
  <c r="H609" i="14"/>
  <c r="D609" i="14"/>
  <c r="C609" i="14"/>
  <c r="A609" i="14"/>
  <c r="H608" i="14"/>
  <c r="D608" i="14"/>
  <c r="C608" i="14"/>
  <c r="A608" i="14"/>
  <c r="E576" i="14"/>
  <c r="D576" i="14"/>
  <c r="A576" i="14"/>
  <c r="E575" i="14"/>
  <c r="D575" i="14"/>
  <c r="A575" i="14"/>
  <c r="E574" i="14"/>
  <c r="D574" i="14"/>
  <c r="A574" i="14"/>
  <c r="E573" i="14"/>
  <c r="D573" i="14"/>
  <c r="A573" i="14"/>
  <c r="E572" i="14"/>
  <c r="D572" i="14"/>
  <c r="A572" i="14"/>
  <c r="E571" i="14"/>
  <c r="D571" i="14"/>
  <c r="A571" i="14"/>
  <c r="E570" i="14"/>
  <c r="D570" i="14"/>
  <c r="A570" i="14"/>
  <c r="E569" i="14"/>
  <c r="D569" i="14"/>
  <c r="A569" i="14"/>
  <c r="E568" i="14"/>
  <c r="D568" i="14"/>
  <c r="A568" i="14"/>
  <c r="H566" i="14"/>
  <c r="D566" i="14"/>
  <c r="C566" i="14"/>
  <c r="A566" i="14"/>
  <c r="H565" i="14"/>
  <c r="D565" i="14"/>
  <c r="C565" i="14"/>
  <c r="A565" i="14"/>
  <c r="C563" i="14"/>
  <c r="C562" i="14"/>
  <c r="B541" i="14"/>
  <c r="H562" i="14"/>
  <c r="H563" i="14"/>
  <c r="B540" i="14"/>
  <c r="B535" i="14"/>
  <c r="A562" i="14"/>
  <c r="A563" i="14"/>
  <c r="H533" i="14"/>
  <c r="D533" i="14"/>
  <c r="C533" i="14"/>
  <c r="A533" i="14"/>
  <c r="H532" i="14"/>
  <c r="D532" i="14"/>
  <c r="C532" i="14"/>
  <c r="A532" i="14"/>
  <c r="H531" i="14"/>
  <c r="D531" i="14"/>
  <c r="C531" i="14"/>
  <c r="A531" i="14"/>
  <c r="E499" i="14"/>
  <c r="D499" i="14"/>
  <c r="A499" i="14"/>
  <c r="E498" i="14"/>
  <c r="D498" i="14"/>
  <c r="A498" i="14"/>
  <c r="E497" i="14"/>
  <c r="D497" i="14"/>
  <c r="A497" i="14"/>
  <c r="E496" i="14"/>
  <c r="D496" i="14"/>
  <c r="A496" i="14"/>
  <c r="E495" i="14"/>
  <c r="D495" i="14"/>
  <c r="A495" i="14"/>
  <c r="E494" i="14"/>
  <c r="D494" i="14"/>
  <c r="A494" i="14"/>
  <c r="E493" i="14"/>
  <c r="D493" i="14"/>
  <c r="A493" i="14"/>
  <c r="E492" i="14"/>
  <c r="D492" i="14"/>
  <c r="A492" i="14"/>
  <c r="E491" i="14"/>
  <c r="D491" i="14"/>
  <c r="A491" i="14"/>
  <c r="H489" i="14"/>
  <c r="D489" i="14"/>
  <c r="C489" i="14"/>
  <c r="A489" i="14"/>
  <c r="H488" i="14"/>
  <c r="D488" i="14"/>
  <c r="C488" i="14"/>
  <c r="A488" i="14"/>
  <c r="C486" i="14"/>
  <c r="C485" i="14"/>
  <c r="B464" i="14"/>
  <c r="H485" i="14"/>
  <c r="H486" i="14"/>
  <c r="B463" i="14"/>
  <c r="B458" i="14"/>
  <c r="A485" i="14"/>
  <c r="A486" i="14"/>
  <c r="H456" i="14"/>
  <c r="D456" i="14"/>
  <c r="C456" i="14"/>
  <c r="A456" i="14"/>
  <c r="H455" i="14"/>
  <c r="D455" i="14"/>
  <c r="C455" i="14"/>
  <c r="A455" i="14"/>
  <c r="H454" i="14"/>
  <c r="D454" i="14"/>
  <c r="C454" i="14"/>
  <c r="A454" i="14"/>
  <c r="E422" i="14"/>
  <c r="D422" i="14"/>
  <c r="A422" i="14"/>
  <c r="E421" i="14"/>
  <c r="D421" i="14"/>
  <c r="A421" i="14"/>
  <c r="E420" i="14"/>
  <c r="D420" i="14"/>
  <c r="A420" i="14"/>
  <c r="E419" i="14"/>
  <c r="D419" i="14"/>
  <c r="A419" i="14"/>
  <c r="E418" i="14"/>
  <c r="D418" i="14"/>
  <c r="A418" i="14"/>
  <c r="E417" i="14"/>
  <c r="D417" i="14"/>
  <c r="A417" i="14"/>
  <c r="E416" i="14"/>
  <c r="D416" i="14"/>
  <c r="A416" i="14"/>
  <c r="E415" i="14"/>
  <c r="D415" i="14"/>
  <c r="A415" i="14"/>
  <c r="E414" i="14"/>
  <c r="D414" i="14"/>
  <c r="A414" i="14"/>
  <c r="H412" i="14"/>
  <c r="D412" i="14"/>
  <c r="C412" i="14"/>
  <c r="A412" i="14"/>
  <c r="H411" i="14"/>
  <c r="D411" i="14"/>
  <c r="C411" i="14"/>
  <c r="A411" i="14"/>
  <c r="C409" i="14"/>
  <c r="C408" i="14"/>
  <c r="B387" i="14"/>
  <c r="H408" i="14"/>
  <c r="H409" i="14"/>
  <c r="B386" i="14"/>
  <c r="B381" i="14"/>
  <c r="A408" i="14"/>
  <c r="A409" i="14"/>
  <c r="H379" i="14"/>
  <c r="D379" i="14"/>
  <c r="C379" i="14"/>
  <c r="A379" i="14"/>
  <c r="H378" i="14"/>
  <c r="D378" i="14"/>
  <c r="C378" i="14"/>
  <c r="A378" i="14"/>
  <c r="H377" i="14"/>
  <c r="D377" i="14"/>
  <c r="C377" i="14"/>
  <c r="A377" i="14"/>
  <c r="E345" i="14"/>
  <c r="D345" i="14"/>
  <c r="A345" i="14"/>
  <c r="E344" i="14"/>
  <c r="D344" i="14"/>
  <c r="A344" i="14"/>
  <c r="E343" i="14"/>
  <c r="D343" i="14"/>
  <c r="A343" i="14"/>
  <c r="E342" i="14"/>
  <c r="D342" i="14"/>
  <c r="A342" i="14"/>
  <c r="E341" i="14"/>
  <c r="D341" i="14"/>
  <c r="A341" i="14"/>
  <c r="E340" i="14"/>
  <c r="D340" i="14"/>
  <c r="A340" i="14"/>
  <c r="E339" i="14"/>
  <c r="D339" i="14"/>
  <c r="A339" i="14"/>
  <c r="E338" i="14"/>
  <c r="D338" i="14"/>
  <c r="A338" i="14"/>
  <c r="E337" i="14"/>
  <c r="D337" i="14"/>
  <c r="A337" i="14"/>
  <c r="H335" i="14"/>
  <c r="D335" i="14"/>
  <c r="C335" i="14"/>
  <c r="A335" i="14"/>
  <c r="H334" i="14"/>
  <c r="D334" i="14"/>
  <c r="C334" i="14"/>
  <c r="A334" i="14"/>
  <c r="C332" i="14"/>
  <c r="C331" i="14"/>
  <c r="B310" i="14"/>
  <c r="H331" i="14"/>
  <c r="H332" i="14"/>
  <c r="B309" i="14"/>
  <c r="B304" i="14"/>
  <c r="A331" i="14"/>
  <c r="A332" i="14"/>
  <c r="H302" i="14"/>
  <c r="D302" i="14"/>
  <c r="C302" i="14"/>
  <c r="A302" i="14"/>
  <c r="H301" i="14"/>
  <c r="D301" i="14"/>
  <c r="C301" i="14"/>
  <c r="A301" i="14"/>
  <c r="H300" i="14"/>
  <c r="D300" i="14"/>
  <c r="C300" i="14"/>
  <c r="A300" i="14"/>
  <c r="E268" i="14"/>
  <c r="D268" i="14"/>
  <c r="A268" i="14"/>
  <c r="E267" i="14"/>
  <c r="D267" i="14"/>
  <c r="A267" i="14"/>
  <c r="E266" i="14"/>
  <c r="D266" i="14"/>
  <c r="A266" i="14"/>
  <c r="E265" i="14"/>
  <c r="D265" i="14"/>
  <c r="A265" i="14"/>
  <c r="E264" i="14"/>
  <c r="D264" i="14"/>
  <c r="A264" i="14"/>
  <c r="E263" i="14"/>
  <c r="D263" i="14"/>
  <c r="A263" i="14"/>
  <c r="E262" i="14"/>
  <c r="D262" i="14"/>
  <c r="A262" i="14"/>
  <c r="E261" i="14"/>
  <c r="D261" i="14"/>
  <c r="A261" i="14"/>
  <c r="E260" i="14"/>
  <c r="D260" i="14"/>
  <c r="A260" i="14"/>
  <c r="H258" i="14"/>
  <c r="D258" i="14"/>
  <c r="C258" i="14"/>
  <c r="A258" i="14"/>
  <c r="H257" i="14"/>
  <c r="D257" i="14"/>
  <c r="C257" i="14"/>
  <c r="A257" i="14"/>
  <c r="C255" i="14"/>
  <c r="C254" i="14"/>
  <c r="B233" i="14"/>
  <c r="H254" i="14"/>
  <c r="H255" i="14"/>
  <c r="B232" i="14"/>
  <c r="B227" i="14"/>
  <c r="A254" i="14"/>
  <c r="A255" i="14"/>
  <c r="H223" i="14"/>
  <c r="D223" i="14"/>
  <c r="C223" i="14"/>
  <c r="A223" i="14"/>
  <c r="H221" i="14"/>
  <c r="D221" i="14"/>
  <c r="C221" i="14"/>
  <c r="A221" i="14"/>
  <c r="H220" i="14"/>
  <c r="D220" i="14"/>
  <c r="C220" i="14"/>
  <c r="A220" i="14"/>
  <c r="H219" i="14"/>
  <c r="D219" i="14"/>
  <c r="C219" i="14"/>
  <c r="B195" i="14"/>
  <c r="B194" i="14"/>
  <c r="B189" i="14"/>
  <c r="A219" i="14"/>
  <c r="H185" i="14"/>
  <c r="D185" i="14"/>
  <c r="C185" i="14"/>
  <c r="A185" i="14"/>
  <c r="H183" i="14"/>
  <c r="D183" i="14"/>
  <c r="C183" i="14"/>
  <c r="A183" i="14"/>
  <c r="H182" i="14"/>
  <c r="D182" i="14"/>
  <c r="C182" i="14"/>
  <c r="A182" i="14"/>
  <c r="H181" i="14"/>
  <c r="D181" i="14"/>
  <c r="C181" i="14"/>
  <c r="B157" i="14"/>
  <c r="B156" i="14"/>
  <c r="B151" i="14"/>
  <c r="A181" i="14"/>
  <c r="H147" i="14"/>
  <c r="D147" i="14"/>
  <c r="C147" i="14"/>
  <c r="A147" i="14"/>
  <c r="H145" i="14"/>
  <c r="D145" i="14"/>
  <c r="C145" i="14"/>
  <c r="A145" i="14"/>
  <c r="H144" i="14"/>
  <c r="D144" i="14"/>
  <c r="C144" i="14"/>
  <c r="A144" i="14"/>
  <c r="H143" i="14"/>
  <c r="D143" i="14"/>
  <c r="C143" i="14"/>
  <c r="B119" i="14"/>
  <c r="B118" i="14"/>
  <c r="B113" i="14"/>
  <c r="A143" i="14"/>
  <c r="H109" i="14"/>
  <c r="D109" i="14"/>
  <c r="C109" i="14"/>
  <c r="A109" i="14"/>
  <c r="H107" i="14"/>
  <c r="D107" i="14"/>
  <c r="C107" i="14"/>
  <c r="A107" i="14"/>
  <c r="H106" i="14"/>
  <c r="D106" i="14"/>
  <c r="C106" i="14"/>
  <c r="A106" i="14"/>
  <c r="H105" i="14"/>
  <c r="D105" i="14"/>
  <c r="C105" i="14"/>
  <c r="B81" i="14"/>
  <c r="B80" i="14"/>
  <c r="B75" i="14"/>
  <c r="A105" i="14"/>
  <c r="H71" i="14"/>
  <c r="D71" i="14"/>
  <c r="C71" i="14"/>
  <c r="A71" i="14"/>
  <c r="H70" i="14"/>
  <c r="D70" i="14"/>
  <c r="C70" i="14"/>
  <c r="A70" i="14"/>
  <c r="H69" i="14"/>
  <c r="D69" i="14"/>
  <c r="C69" i="14"/>
  <c r="A69" i="14"/>
  <c r="H68" i="14"/>
  <c r="D68" i="14"/>
  <c r="C68" i="14"/>
  <c r="B44" i="14"/>
  <c r="B43" i="14"/>
  <c r="B38" i="14"/>
  <c r="A68" i="14"/>
  <c r="H34" i="14"/>
  <c r="D34" i="14"/>
  <c r="C34" i="14"/>
  <c r="A34" i="14"/>
  <c r="H33" i="14"/>
  <c r="D33" i="14"/>
  <c r="C33" i="14"/>
  <c r="A33" i="14"/>
  <c r="H32" i="14"/>
  <c r="C32" i="14"/>
  <c r="A32" i="14"/>
  <c r="H31" i="14"/>
  <c r="D31" i="14"/>
  <c r="C31" i="14"/>
  <c r="B7" i="14"/>
  <c r="B6" i="14"/>
  <c r="B1" i="14"/>
  <c r="A31" i="14"/>
  <c r="R138" i="7"/>
  <c r="R139" i="7"/>
  <c r="R140" i="7"/>
  <c r="R141" i="7"/>
  <c r="R142" i="7"/>
  <c r="R143" i="7"/>
  <c r="R144" i="7"/>
  <c r="R145" i="7"/>
  <c r="R146" i="7"/>
  <c r="R147" i="7"/>
  <c r="R148" i="7"/>
  <c r="B173" i="9" s="1"/>
  <c r="R149" i="7"/>
  <c r="R150" i="7"/>
  <c r="R151" i="7"/>
  <c r="R152" i="7"/>
  <c r="R153" i="7"/>
  <c r="R154" i="7"/>
  <c r="R155" i="7"/>
  <c r="B129" i="11" s="1"/>
  <c r="R156" i="7"/>
  <c r="R157" i="7"/>
  <c r="R158" i="7"/>
  <c r="R159" i="7"/>
  <c r="R160" i="7"/>
  <c r="R161" i="7"/>
  <c r="R162" i="7"/>
  <c r="R163" i="7"/>
  <c r="R164" i="7"/>
  <c r="R165" i="7"/>
  <c r="R166" i="7"/>
  <c r="R173" i="7"/>
  <c r="R174" i="7"/>
  <c r="R175" i="7"/>
  <c r="R176" i="7"/>
  <c r="R177" i="7"/>
  <c r="R178" i="7"/>
  <c r="R183" i="7"/>
  <c r="B42" i="15" s="1"/>
  <c r="R184" i="7"/>
  <c r="B87" i="15" s="1"/>
  <c r="R185" i="7"/>
  <c r="R186" i="7"/>
  <c r="R187" i="7"/>
  <c r="R188" i="7"/>
  <c r="R189" i="7"/>
  <c r="R190" i="7"/>
  <c r="R191" i="7"/>
  <c r="R192" i="7"/>
  <c r="R193" i="7"/>
  <c r="R194" i="7"/>
  <c r="R195" i="7"/>
  <c r="R196" i="7"/>
  <c r="R197" i="7"/>
  <c r="R198" i="7"/>
  <c r="R199" i="7"/>
  <c r="R200" i="7"/>
  <c r="R201" i="7"/>
  <c r="R202" i="7"/>
  <c r="R203" i="7"/>
  <c r="R204" i="7"/>
  <c r="R205" i="7"/>
  <c r="R206" i="7"/>
  <c r="R207" i="7"/>
  <c r="R208" i="7"/>
  <c r="R209" i="7"/>
  <c r="B42" i="20" s="1"/>
  <c r="R210" i="7"/>
  <c r="R211" i="7"/>
  <c r="R212" i="7"/>
  <c r="R213" i="7"/>
  <c r="R214" i="7"/>
  <c r="R215" i="7"/>
  <c r="R216" i="7"/>
  <c r="R217" i="7"/>
  <c r="R218" i="7"/>
  <c r="R219" i="7"/>
  <c r="R220" i="7"/>
  <c r="R137" i="7"/>
  <c r="F157" i="7"/>
  <c r="G157" i="7"/>
  <c r="F158" i="7"/>
  <c r="G158" i="7"/>
  <c r="F159" i="7"/>
  <c r="G159" i="7"/>
  <c r="F160" i="7"/>
  <c r="G160" i="7"/>
  <c r="F161" i="7"/>
  <c r="G161" i="7"/>
  <c r="F162" i="7"/>
  <c r="G162" i="7"/>
  <c r="F163" i="7"/>
  <c r="G163" i="7"/>
  <c r="F164" i="7"/>
  <c r="G164" i="7"/>
  <c r="F165" i="7"/>
  <c r="G165" i="7"/>
  <c r="F166" i="7"/>
  <c r="G166" i="7"/>
  <c r="F173" i="7"/>
  <c r="G173" i="7"/>
  <c r="F174" i="7"/>
  <c r="G174" i="7"/>
  <c r="F175" i="7"/>
  <c r="G175" i="7"/>
  <c r="F176" i="7"/>
  <c r="G176" i="7"/>
  <c r="F177" i="7"/>
  <c r="G177" i="7"/>
  <c r="F178" i="7"/>
  <c r="G178" i="7"/>
  <c r="F183" i="7"/>
  <c r="B37" i="15" s="1"/>
  <c r="G183" i="7"/>
  <c r="B38" i="15" s="1"/>
  <c r="F184" i="7"/>
  <c r="B82" i="15" s="1"/>
  <c r="G184" i="7"/>
  <c r="B83" i="15" s="1"/>
  <c r="F185" i="7"/>
  <c r="B127" i="15" s="1"/>
  <c r="G185" i="7"/>
  <c r="B128" i="15" s="1"/>
  <c r="F186" i="7"/>
  <c r="B172" i="15" s="1"/>
  <c r="G186" i="7"/>
  <c r="B173" i="15" s="1"/>
  <c r="F187" i="7"/>
  <c r="G187" i="7"/>
  <c r="F188" i="7"/>
  <c r="G188" i="7"/>
  <c r="F189" i="7"/>
  <c r="G189" i="7"/>
  <c r="F190" i="7"/>
  <c r="G190" i="7"/>
  <c r="F191" i="7"/>
  <c r="G191" i="7"/>
  <c r="F192" i="7"/>
  <c r="G192" i="7"/>
  <c r="F193" i="7"/>
  <c r="G193" i="7"/>
  <c r="F194" i="7"/>
  <c r="G194" i="7"/>
  <c r="F195" i="7"/>
  <c r="G195" i="7"/>
  <c r="F196" i="7"/>
  <c r="G196" i="7"/>
  <c r="F197" i="7"/>
  <c r="G197" i="7"/>
  <c r="F198" i="7"/>
  <c r="G198" i="7"/>
  <c r="F199" i="7"/>
  <c r="G199" i="7"/>
  <c r="F200" i="7"/>
  <c r="G200" i="7"/>
  <c r="F201" i="7"/>
  <c r="G201" i="7"/>
  <c r="F202" i="7"/>
  <c r="G202" i="7"/>
  <c r="F203" i="7"/>
  <c r="G203" i="7"/>
  <c r="F204" i="7"/>
  <c r="G204" i="7"/>
  <c r="F205" i="7"/>
  <c r="G205" i="7"/>
  <c r="B38" i="19" s="1"/>
  <c r="F206" i="7"/>
  <c r="G206" i="7"/>
  <c r="F207" i="7"/>
  <c r="B127" i="19" s="1"/>
  <c r="G207" i="7"/>
  <c r="B128" i="19" s="1"/>
  <c r="F208" i="7"/>
  <c r="G208" i="7"/>
  <c r="F209" i="7"/>
  <c r="G209" i="7"/>
  <c r="B38" i="20" s="1"/>
  <c r="F210" i="7"/>
  <c r="G210" i="7"/>
  <c r="F211" i="7"/>
  <c r="G211" i="7"/>
  <c r="B128" i="20" s="1"/>
  <c r="F212" i="7"/>
  <c r="G212" i="7"/>
  <c r="F213" i="7"/>
  <c r="G213" i="7"/>
  <c r="B38" i="21" s="1"/>
  <c r="F214" i="7"/>
  <c r="G214" i="7"/>
  <c r="F215" i="7"/>
  <c r="G215" i="7"/>
  <c r="B128" i="21" s="1"/>
  <c r="F216" i="7"/>
  <c r="B172" i="21" s="1"/>
  <c r="G216" i="7"/>
  <c r="F217" i="7"/>
  <c r="G217" i="7"/>
  <c r="B38" i="22" s="1"/>
  <c r="F218" i="7"/>
  <c r="B82" i="22" s="1"/>
  <c r="G218" i="7"/>
  <c r="F219" i="7"/>
  <c r="G219" i="7"/>
  <c r="F220" i="7"/>
  <c r="G220" i="7"/>
  <c r="F138" i="7"/>
  <c r="B81" i="6" s="1"/>
  <c r="G138" i="7"/>
  <c r="B82" i="6" s="1"/>
  <c r="F139" i="7"/>
  <c r="B124" i="6" s="1"/>
  <c r="G139" i="7"/>
  <c r="F140" i="7"/>
  <c r="B167" i="6" s="1"/>
  <c r="G140" i="7"/>
  <c r="F141" i="7"/>
  <c r="G141" i="7"/>
  <c r="F142" i="7"/>
  <c r="G142" i="7"/>
  <c r="F143" i="7"/>
  <c r="G143" i="7"/>
  <c r="F144" i="7"/>
  <c r="G144" i="7"/>
  <c r="F145" i="7"/>
  <c r="B36" i="9" s="1"/>
  <c r="G145" i="7"/>
  <c r="B37" i="9" s="1"/>
  <c r="F146" i="7"/>
  <c r="G146" i="7"/>
  <c r="F147" i="7"/>
  <c r="B124" i="9" s="1"/>
  <c r="G147" i="7"/>
  <c r="B125" i="9" s="1"/>
  <c r="F148" i="7"/>
  <c r="B168" i="9" s="1"/>
  <c r="G148" i="7"/>
  <c r="F149" i="7"/>
  <c r="B36" i="10" s="1"/>
  <c r="G149" i="7"/>
  <c r="F150" i="7"/>
  <c r="B80" i="10" s="1"/>
  <c r="G150" i="7"/>
  <c r="F151" i="7"/>
  <c r="B124" i="10" s="1"/>
  <c r="G151" i="7"/>
  <c r="F152" i="7"/>
  <c r="B168" i="10" s="1"/>
  <c r="G152" i="7"/>
  <c r="B169" i="10" s="1"/>
  <c r="F153" i="7"/>
  <c r="B36" i="11" s="1"/>
  <c r="G153" i="7"/>
  <c r="B37" i="11" s="1"/>
  <c r="F154" i="7"/>
  <c r="B80" i="11" s="1"/>
  <c r="G154" i="7"/>
  <c r="B81" i="11" s="1"/>
  <c r="F155" i="7"/>
  <c r="B124" i="11" s="1"/>
  <c r="G155" i="7"/>
  <c r="F156" i="7"/>
  <c r="B168" i="11" s="1"/>
  <c r="G156" i="7"/>
  <c r="G137" i="7"/>
  <c r="F137" i="7"/>
  <c r="S158" i="7"/>
  <c r="T158" i="7"/>
  <c r="U158" i="7"/>
  <c r="V158" i="7"/>
  <c r="W158" i="7"/>
  <c r="X158" i="7"/>
  <c r="Y158" i="7"/>
  <c r="Z158" i="7"/>
  <c r="AA158" i="7"/>
  <c r="AB158" i="7"/>
  <c r="BI158" i="7"/>
  <c r="BJ158" i="7"/>
  <c r="BK158" i="7"/>
  <c r="S159" i="7"/>
  <c r="T159" i="7"/>
  <c r="U159" i="7"/>
  <c r="V159" i="7"/>
  <c r="W159" i="7"/>
  <c r="X159" i="7"/>
  <c r="Y159" i="7"/>
  <c r="Z159" i="7"/>
  <c r="AA159" i="7"/>
  <c r="AB159" i="7"/>
  <c r="BI159" i="7"/>
  <c r="BJ159" i="7"/>
  <c r="BK159" i="7"/>
  <c r="S160" i="7"/>
  <c r="T160" i="7"/>
  <c r="U160" i="7"/>
  <c r="V160" i="7"/>
  <c r="W160" i="7"/>
  <c r="X160" i="7"/>
  <c r="Y160" i="7"/>
  <c r="Z160" i="7"/>
  <c r="AA160" i="7"/>
  <c r="AB160" i="7"/>
  <c r="BI160" i="7"/>
  <c r="BJ160" i="7"/>
  <c r="BK160" i="7"/>
  <c r="BJ157" i="7"/>
  <c r="BK157" i="7"/>
  <c r="BI157" i="7"/>
  <c r="T157" i="7"/>
  <c r="U157" i="7"/>
  <c r="V157" i="7"/>
  <c r="W157" i="7"/>
  <c r="X157" i="7"/>
  <c r="Y157" i="7"/>
  <c r="Z157" i="7"/>
  <c r="AA157" i="7"/>
  <c r="AB157" i="7"/>
  <c r="S157" i="7"/>
  <c r="O162" i="7"/>
  <c r="B334" i="13" s="1"/>
  <c r="O163" i="7"/>
  <c r="B411" i="13" s="1"/>
  <c r="O164" i="7"/>
  <c r="B488" i="13" s="1"/>
  <c r="O165" i="7"/>
  <c r="B565" i="13" s="1"/>
  <c r="O166" i="7"/>
  <c r="B642" i="13" s="1"/>
  <c r="O173" i="7"/>
  <c r="B257" i="14" s="1"/>
  <c r="O174" i="7"/>
  <c r="B334" i="14" s="1"/>
  <c r="O175" i="7"/>
  <c r="B411" i="14" s="1"/>
  <c r="O176" i="7"/>
  <c r="B488" i="14" s="1"/>
  <c r="O177" i="7"/>
  <c r="B565" i="14" s="1"/>
  <c r="O178" i="7"/>
  <c r="B642" i="14" s="1"/>
  <c r="O183" i="7"/>
  <c r="B212" i="15" s="1"/>
  <c r="O184" i="7"/>
  <c r="B402" i="15" s="1"/>
  <c r="O185" i="7"/>
  <c r="B288" i="15" s="1"/>
  <c r="O186" i="7"/>
  <c r="B326" i="15" s="1"/>
  <c r="O187" i="7"/>
  <c r="O188" i="7"/>
  <c r="B336" i="16" s="1"/>
  <c r="O189" i="7"/>
  <c r="O190" i="7"/>
  <c r="O191" i="7"/>
  <c r="O192" i="7"/>
  <c r="O193" i="7"/>
  <c r="O194" i="7"/>
  <c r="B334" i="17" s="1"/>
  <c r="O195" i="7"/>
  <c r="O196" i="7"/>
  <c r="B488" i="17" s="1"/>
  <c r="O197" i="7"/>
  <c r="O198" i="7"/>
  <c r="O199" i="7"/>
  <c r="B257" i="18" s="1"/>
  <c r="O200" i="7"/>
  <c r="O201" i="7"/>
  <c r="O202" i="7"/>
  <c r="O203" i="7"/>
  <c r="O204" i="7"/>
  <c r="B642" i="18" s="1"/>
  <c r="O205" i="7"/>
  <c r="O206" i="7"/>
  <c r="B249" i="19" s="1"/>
  <c r="O207" i="7"/>
  <c r="B439" i="19" s="1"/>
  <c r="O208" i="7"/>
  <c r="O209" i="7"/>
  <c r="O210" i="7"/>
  <c r="O211" i="7"/>
  <c r="O212" i="7"/>
  <c r="B477" i="20" s="1"/>
  <c r="O213" i="7"/>
  <c r="O214" i="7"/>
  <c r="B401" i="21" s="1"/>
  <c r="O215" i="7"/>
  <c r="B439" i="21" s="1"/>
  <c r="O216" i="7"/>
  <c r="O217" i="7"/>
  <c r="B364" i="22" s="1"/>
  <c r="O218" i="7"/>
  <c r="O219" i="7"/>
  <c r="O220" i="7"/>
  <c r="B325" i="22" s="1"/>
  <c r="O161" i="7"/>
  <c r="B257" i="13" s="1"/>
  <c r="O138" i="7"/>
  <c r="O139" i="7"/>
  <c r="O140" i="7"/>
  <c r="O141" i="7"/>
  <c r="O142" i="7"/>
  <c r="O143" i="7"/>
  <c r="O144" i="7"/>
  <c r="O145" i="7"/>
  <c r="O146" i="7"/>
  <c r="O147" i="7"/>
  <c r="O148" i="7"/>
  <c r="O149" i="7"/>
  <c r="O150" i="7"/>
  <c r="O151" i="7"/>
  <c r="O152" i="7"/>
  <c r="O153" i="7"/>
  <c r="O154" i="7"/>
  <c r="O155" i="7"/>
  <c r="O156" i="7"/>
  <c r="O137" i="7"/>
  <c r="M162" i="7"/>
  <c r="B335" i="13" s="1"/>
  <c r="M163" i="7"/>
  <c r="B412" i="13" s="1"/>
  <c r="M164" i="7"/>
  <c r="B489" i="13" s="1"/>
  <c r="M165" i="7"/>
  <c r="B566" i="13" s="1"/>
  <c r="M166" i="7"/>
  <c r="B643" i="13" s="1"/>
  <c r="M173" i="7"/>
  <c r="B258" i="14" s="1"/>
  <c r="M174" i="7"/>
  <c r="B335" i="14" s="1"/>
  <c r="M175" i="7"/>
  <c r="B412" i="14" s="1"/>
  <c r="M176" i="7"/>
  <c r="B489" i="14" s="1"/>
  <c r="M177" i="7"/>
  <c r="B566" i="14" s="1"/>
  <c r="M178" i="7"/>
  <c r="B643" i="14" s="1"/>
  <c r="M183" i="7"/>
  <c r="B214" i="15" s="1"/>
  <c r="M184" i="7"/>
  <c r="B252" i="15" s="1"/>
  <c r="M185" i="7"/>
  <c r="B442" i="15" s="1"/>
  <c r="M186" i="7"/>
  <c r="B480" i="15" s="1"/>
  <c r="M187" i="7"/>
  <c r="B257" i="16" s="1"/>
  <c r="M188" i="7"/>
  <c r="M189" i="7"/>
  <c r="M190" i="7"/>
  <c r="M191" i="7"/>
  <c r="B565" i="16" s="1"/>
  <c r="M192" i="7"/>
  <c r="M193" i="7"/>
  <c r="M194" i="7"/>
  <c r="M195" i="7"/>
  <c r="M196" i="7"/>
  <c r="B489" i="17" s="1"/>
  <c r="M197" i="7"/>
  <c r="M198" i="7"/>
  <c r="M199" i="7"/>
  <c r="M200" i="7"/>
  <c r="M201" i="7"/>
  <c r="M202" i="7"/>
  <c r="M203" i="7"/>
  <c r="M204" i="7"/>
  <c r="M205" i="7"/>
  <c r="M206" i="7"/>
  <c r="B403" i="19" s="1"/>
  <c r="M207" i="7"/>
  <c r="B441" i="19" s="1"/>
  <c r="M208" i="7"/>
  <c r="M209" i="7"/>
  <c r="B365" i="20" s="1"/>
  <c r="M210" i="7"/>
  <c r="M211" i="7"/>
  <c r="M212" i="7"/>
  <c r="B479" i="20" s="1"/>
  <c r="M213" i="7"/>
  <c r="M214" i="7"/>
  <c r="B403" i="21" s="1"/>
  <c r="M215" i="7"/>
  <c r="M216" i="7"/>
  <c r="B479" i="21" s="1"/>
  <c r="M217" i="7"/>
  <c r="M218" i="7"/>
  <c r="M219" i="7"/>
  <c r="B442" i="22" s="1"/>
  <c r="M220" i="7"/>
  <c r="B480" i="22" s="1"/>
  <c r="M161" i="7"/>
  <c r="B258" i="13" s="1"/>
  <c r="M138" i="7"/>
  <c r="B243" i="6" s="1"/>
  <c r="M139" i="7"/>
  <c r="B280" i="6" s="1"/>
  <c r="M140" i="7"/>
  <c r="B317" i="6" s="1"/>
  <c r="M141" i="7"/>
  <c r="M142" i="7"/>
  <c r="B210" i="8" s="1"/>
  <c r="M143" i="7"/>
  <c r="B245" i="8" s="1"/>
  <c r="M144" i="7"/>
  <c r="B280" i="8" s="1"/>
  <c r="M145" i="7"/>
  <c r="B210" i="9" s="1"/>
  <c r="M146" i="7"/>
  <c r="B247" i="9" s="1"/>
  <c r="M147" i="7"/>
  <c r="B284" i="9" s="1"/>
  <c r="M148" i="7"/>
  <c r="B469" i="9" s="1"/>
  <c r="M149" i="7"/>
  <c r="B209" i="10" s="1"/>
  <c r="M150" i="7"/>
  <c r="B246" i="10" s="1"/>
  <c r="M151" i="7"/>
  <c r="B431" i="10" s="1"/>
  <c r="M152" i="7"/>
  <c r="B320" i="10" s="1"/>
  <c r="M153" i="7"/>
  <c r="B209" i="11" s="1"/>
  <c r="M154" i="7"/>
  <c r="B394" i="11" s="1"/>
  <c r="M155" i="7"/>
  <c r="B431" i="11" s="1"/>
  <c r="M156" i="7"/>
  <c r="B320" i="11" s="1"/>
  <c r="M137" i="7"/>
  <c r="BI138" i="7"/>
  <c r="B245" i="6" s="1"/>
  <c r="BJ138" i="7"/>
  <c r="B246" i="6" s="1"/>
  <c r="BK138" i="7"/>
  <c r="B247" i="6" s="1"/>
  <c r="BI139" i="7"/>
  <c r="B282" i="6" s="1"/>
  <c r="BJ139" i="7"/>
  <c r="B283" i="6" s="1"/>
  <c r="BK139" i="7"/>
  <c r="B284" i="6" s="1"/>
  <c r="BI140" i="7"/>
  <c r="B319" i="6" s="1"/>
  <c r="BJ140" i="7"/>
  <c r="B320" i="6" s="1"/>
  <c r="BK140" i="7"/>
  <c r="B321" i="6" s="1"/>
  <c r="BI141" i="7"/>
  <c r="B176" i="8" s="1"/>
  <c r="BJ141" i="7"/>
  <c r="B177" i="8" s="1"/>
  <c r="BK141" i="7"/>
  <c r="B178" i="8" s="1"/>
  <c r="BI142" i="7"/>
  <c r="B211" i="8" s="1"/>
  <c r="BJ142" i="7"/>
  <c r="B212" i="8" s="1"/>
  <c r="BK142" i="7"/>
  <c r="B213" i="8" s="1"/>
  <c r="BI143" i="7"/>
  <c r="B246" i="8" s="1"/>
  <c r="BJ143" i="7"/>
  <c r="B247" i="8" s="1"/>
  <c r="BK143" i="7"/>
  <c r="B248" i="8" s="1"/>
  <c r="BI144" i="7"/>
  <c r="B281" i="8" s="1"/>
  <c r="BJ144" i="7"/>
  <c r="B282" i="8" s="1"/>
  <c r="BK144" i="7"/>
  <c r="B283" i="8" s="1"/>
  <c r="BI145" i="7"/>
  <c r="B211" i="9" s="1"/>
  <c r="BJ145" i="7"/>
  <c r="B360" i="9" s="1"/>
  <c r="BK145" i="7"/>
  <c r="B361" i="9" s="1"/>
  <c r="BI146" i="7"/>
  <c r="B248" i="9" s="1"/>
  <c r="BJ146" i="7"/>
  <c r="B249" i="9" s="1"/>
  <c r="BK146" i="7"/>
  <c r="B250" i="9" s="1"/>
  <c r="BI147" i="7"/>
  <c r="B285" i="9" s="1"/>
  <c r="BJ147" i="7"/>
  <c r="B434" i="9" s="1"/>
  <c r="BK147" i="7"/>
  <c r="B287" i="9" s="1"/>
  <c r="BI148" i="7"/>
  <c r="B470" i="9" s="1"/>
  <c r="BJ148" i="7"/>
  <c r="B323" i="9" s="1"/>
  <c r="BK148" i="7"/>
  <c r="B472" i="9" s="1"/>
  <c r="BI149" i="7"/>
  <c r="B358" i="10" s="1"/>
  <c r="BJ149" i="7"/>
  <c r="B359" i="10" s="1"/>
  <c r="BK149" i="7"/>
  <c r="B212" i="10" s="1"/>
  <c r="BI150" i="7"/>
  <c r="B395" i="10" s="1"/>
  <c r="BJ150" i="7"/>
  <c r="B248" i="10" s="1"/>
  <c r="BK150" i="7"/>
  <c r="B397" i="10" s="1"/>
  <c r="BI151" i="7"/>
  <c r="B432" i="10" s="1"/>
  <c r="BJ151" i="7"/>
  <c r="B433" i="10" s="1"/>
  <c r="BK151" i="7"/>
  <c r="B434" i="10" s="1"/>
  <c r="BI152" i="7"/>
  <c r="B469" i="10" s="1"/>
  <c r="BJ152" i="7"/>
  <c r="B322" i="10" s="1"/>
  <c r="BK152" i="7"/>
  <c r="B323" i="10" s="1"/>
  <c r="BI153" i="7"/>
  <c r="B210" i="11" s="1"/>
  <c r="BJ153" i="7"/>
  <c r="B211" i="11" s="1"/>
  <c r="BK153" i="7"/>
  <c r="B212" i="11" s="1"/>
  <c r="BI154" i="7"/>
  <c r="B395" i="11" s="1"/>
  <c r="BJ154" i="7"/>
  <c r="B248" i="11" s="1"/>
  <c r="BK154" i="7"/>
  <c r="B249" i="11" s="1"/>
  <c r="BI155" i="7"/>
  <c r="B432" i="11" s="1"/>
  <c r="BJ155" i="7"/>
  <c r="B433" i="11" s="1"/>
  <c r="BK155" i="7"/>
  <c r="B434" i="11" s="1"/>
  <c r="BI156" i="7"/>
  <c r="B469" i="11" s="1"/>
  <c r="BJ156" i="7"/>
  <c r="B470" i="11" s="1"/>
  <c r="BK156" i="7"/>
  <c r="B471" i="11" s="1"/>
  <c r="BI137" i="7"/>
  <c r="B208" i="6" s="1"/>
  <c r="BJ137" i="7"/>
  <c r="B209" i="6" s="1"/>
  <c r="BK137" i="7"/>
  <c r="B210" i="6" s="1"/>
  <c r="O157" i="7"/>
  <c r="O158" i="7"/>
  <c r="O159" i="7"/>
  <c r="O160" i="7"/>
  <c r="M157" i="7"/>
  <c r="B188" i="12" s="1"/>
  <c r="M158" i="7"/>
  <c r="B403" i="12" s="1"/>
  <c r="M159" i="7"/>
  <c r="B446" i="12" s="1"/>
  <c r="M160" i="7"/>
  <c r="B489" i="12" s="1"/>
  <c r="E160" i="7"/>
  <c r="B151" i="12" s="1"/>
  <c r="E159" i="7"/>
  <c r="B112" i="12" s="1"/>
  <c r="E158" i="7"/>
  <c r="B73" i="12" s="1"/>
  <c r="E157" i="7"/>
  <c r="B34" i="12" s="1"/>
  <c r="D204" i="7"/>
  <c r="D203" i="7"/>
  <c r="D202" i="7"/>
  <c r="D201" i="7"/>
  <c r="D200" i="7"/>
  <c r="B70" i="18" s="1"/>
  <c r="D199" i="7"/>
  <c r="D198" i="7"/>
  <c r="D197" i="7"/>
  <c r="D196" i="7"/>
  <c r="D195" i="7"/>
  <c r="D194" i="7"/>
  <c r="D193" i="7"/>
  <c r="D192" i="7"/>
  <c r="B221" i="16" s="1"/>
  <c r="D191" i="7"/>
  <c r="B183" i="16" s="1"/>
  <c r="D190" i="7"/>
  <c r="D189" i="7"/>
  <c r="B107" i="16" s="1"/>
  <c r="D188" i="7"/>
  <c r="D187" i="7"/>
  <c r="D178" i="7"/>
  <c r="B221" i="14" s="1"/>
  <c r="D177" i="7"/>
  <c r="B183" i="14" s="1"/>
  <c r="D176" i="7"/>
  <c r="B145" i="14" s="1"/>
  <c r="D175" i="7"/>
  <c r="B107" i="14" s="1"/>
  <c r="D174" i="7"/>
  <c r="B70" i="14" s="1"/>
  <c r="D173" i="7"/>
  <c r="B33" i="14" s="1"/>
  <c r="D166" i="7"/>
  <c r="B221" i="13" s="1"/>
  <c r="D165" i="7"/>
  <c r="B183" i="13" s="1"/>
  <c r="D164" i="7"/>
  <c r="B145" i="13" s="1"/>
  <c r="D163" i="7"/>
  <c r="B107" i="13" s="1"/>
  <c r="D162" i="7"/>
  <c r="B70" i="13" s="1"/>
  <c r="D161" i="7"/>
  <c r="B33" i="13" s="1"/>
  <c r="D160" i="7"/>
  <c r="B150" i="12" s="1"/>
  <c r="D159" i="7"/>
  <c r="B111" i="12" s="1"/>
  <c r="D158" i="7"/>
  <c r="B72" i="12" s="1"/>
  <c r="D157" i="7"/>
  <c r="B33" i="12" s="1"/>
  <c r="D156" i="7"/>
  <c r="D155" i="7"/>
  <c r="D154" i="7"/>
  <c r="D153" i="7"/>
  <c r="D152" i="7"/>
  <c r="D151" i="7"/>
  <c r="D150" i="7"/>
  <c r="D149" i="7"/>
  <c r="D148" i="7"/>
  <c r="D147" i="7"/>
  <c r="D146" i="7"/>
  <c r="D145" i="7"/>
  <c r="D144" i="7"/>
  <c r="D143" i="7"/>
  <c r="D142" i="7"/>
  <c r="D141" i="7"/>
  <c r="D140" i="7"/>
  <c r="D139" i="7"/>
  <c r="D138" i="7"/>
  <c r="D137" i="7"/>
  <c r="B204" i="7"/>
  <c r="B203" i="7"/>
  <c r="B202" i="7"/>
  <c r="B201" i="7"/>
  <c r="B200" i="7"/>
  <c r="B199" i="7"/>
  <c r="B198" i="7"/>
  <c r="B220" i="17" s="1"/>
  <c r="B197" i="7"/>
  <c r="B196" i="7"/>
  <c r="B195" i="7"/>
  <c r="B106" i="17" s="1"/>
  <c r="B194" i="7"/>
  <c r="B193" i="7"/>
  <c r="B192" i="7"/>
  <c r="B220" i="16" s="1"/>
  <c r="B191" i="7"/>
  <c r="B182" i="16" s="1"/>
  <c r="B190" i="7"/>
  <c r="B189" i="7"/>
  <c r="B188" i="7"/>
  <c r="B187" i="7"/>
  <c r="B32" i="16" s="1"/>
  <c r="B178" i="7"/>
  <c r="B220" i="14" s="1"/>
  <c r="B177" i="7"/>
  <c r="B182" i="14" s="1"/>
  <c r="B176" i="7"/>
  <c r="B175" i="7"/>
  <c r="B106" i="14" s="1"/>
  <c r="B174" i="7"/>
  <c r="B69" i="14" s="1"/>
  <c r="B173" i="7"/>
  <c r="B166" i="7"/>
  <c r="B220" i="13" s="1"/>
  <c r="B165" i="7"/>
  <c r="B182" i="13" s="1"/>
  <c r="B164" i="7"/>
  <c r="B144" i="13" s="1"/>
  <c r="B163" i="7"/>
  <c r="B106" i="13" s="1"/>
  <c r="B162" i="7"/>
  <c r="B69" i="13" s="1"/>
  <c r="B161" i="7"/>
  <c r="B32" i="13" s="1"/>
  <c r="B160" i="7"/>
  <c r="B159" i="7"/>
  <c r="B110" i="12" s="1"/>
  <c r="B158" i="7"/>
  <c r="B157" i="7"/>
  <c r="B32" i="12" s="1"/>
  <c r="B156" i="7"/>
  <c r="B165" i="11" s="1"/>
  <c r="B155" i="7"/>
  <c r="B121" i="11" s="1"/>
  <c r="B154" i="7"/>
  <c r="B77" i="11" s="1"/>
  <c r="B153" i="7"/>
  <c r="B33" i="11" s="1"/>
  <c r="B152" i="7"/>
  <c r="B165" i="10" s="1"/>
  <c r="B151" i="7"/>
  <c r="B121" i="10" s="1"/>
  <c r="B150" i="7"/>
  <c r="B77" i="10" s="1"/>
  <c r="B149" i="7"/>
  <c r="B33" i="10" s="1"/>
  <c r="B148" i="7"/>
  <c r="B165" i="9" s="1"/>
  <c r="B147" i="7"/>
  <c r="B121" i="9" s="1"/>
  <c r="B146" i="7"/>
  <c r="B145" i="7"/>
  <c r="B33" i="9" s="1"/>
  <c r="B144" i="7"/>
  <c r="B140" i="8" s="1"/>
  <c r="B143" i="7"/>
  <c r="B142" i="7"/>
  <c r="B68" i="8" s="1"/>
  <c r="B141" i="7"/>
  <c r="B32" i="8" s="1"/>
  <c r="B140" i="7"/>
  <c r="B164" i="6" s="1"/>
  <c r="B139" i="7"/>
  <c r="B121" i="6" s="1"/>
  <c r="B138" i="7"/>
  <c r="B78" i="6" s="1"/>
  <c r="B137" i="7"/>
  <c r="B35" i="6" s="1"/>
  <c r="H687" i="13"/>
  <c r="D687" i="13"/>
  <c r="C687" i="13"/>
  <c r="A687" i="13"/>
  <c r="H686" i="13"/>
  <c r="D686" i="13"/>
  <c r="C686" i="13"/>
  <c r="A686" i="13"/>
  <c r="H685" i="13"/>
  <c r="D685" i="13"/>
  <c r="C685" i="13"/>
  <c r="A685" i="13"/>
  <c r="E653" i="13"/>
  <c r="D653" i="13"/>
  <c r="A653" i="13"/>
  <c r="E652" i="13"/>
  <c r="D652" i="13"/>
  <c r="A652" i="13"/>
  <c r="E651" i="13"/>
  <c r="D651" i="13"/>
  <c r="A651" i="13"/>
  <c r="E650" i="13"/>
  <c r="D650" i="13"/>
  <c r="A650" i="13"/>
  <c r="E649" i="13"/>
  <c r="D649" i="13"/>
  <c r="A649" i="13"/>
  <c r="E648" i="13"/>
  <c r="D648" i="13"/>
  <c r="A648" i="13"/>
  <c r="E647" i="13"/>
  <c r="D647" i="13"/>
  <c r="A647" i="13"/>
  <c r="E646" i="13"/>
  <c r="D646" i="13"/>
  <c r="A646" i="13"/>
  <c r="E645" i="13"/>
  <c r="D645" i="13"/>
  <c r="A645" i="13"/>
  <c r="H643" i="13"/>
  <c r="D643" i="13"/>
  <c r="C643" i="13"/>
  <c r="A643" i="13"/>
  <c r="H642" i="13"/>
  <c r="D642" i="13"/>
  <c r="C642" i="13"/>
  <c r="A642" i="13"/>
  <c r="C640" i="13"/>
  <c r="C639" i="13"/>
  <c r="B618" i="13"/>
  <c r="H639" i="13"/>
  <c r="H640" i="13"/>
  <c r="B617" i="13"/>
  <c r="B612" i="13"/>
  <c r="A639" i="13"/>
  <c r="A640" i="13"/>
  <c r="H610" i="13"/>
  <c r="D610" i="13"/>
  <c r="C610" i="13"/>
  <c r="A610" i="13"/>
  <c r="H609" i="13"/>
  <c r="D609" i="13"/>
  <c r="C609" i="13"/>
  <c r="A609" i="13"/>
  <c r="H608" i="13"/>
  <c r="D608" i="13"/>
  <c r="C608" i="13"/>
  <c r="A608" i="13"/>
  <c r="E576" i="13"/>
  <c r="D576" i="13"/>
  <c r="A576" i="13"/>
  <c r="E575" i="13"/>
  <c r="D575" i="13"/>
  <c r="A575" i="13"/>
  <c r="E574" i="13"/>
  <c r="D574" i="13"/>
  <c r="A574" i="13"/>
  <c r="E573" i="13"/>
  <c r="D573" i="13"/>
  <c r="A573" i="13"/>
  <c r="E572" i="13"/>
  <c r="D572" i="13"/>
  <c r="A572" i="13"/>
  <c r="E571" i="13"/>
  <c r="D571" i="13"/>
  <c r="A571" i="13"/>
  <c r="E570" i="13"/>
  <c r="D570" i="13"/>
  <c r="A570" i="13"/>
  <c r="E569" i="13"/>
  <c r="D569" i="13"/>
  <c r="A569" i="13"/>
  <c r="E568" i="13"/>
  <c r="D568" i="13"/>
  <c r="A568" i="13"/>
  <c r="H566" i="13"/>
  <c r="D566" i="13"/>
  <c r="C566" i="13"/>
  <c r="A566" i="13"/>
  <c r="H565" i="13"/>
  <c r="D565" i="13"/>
  <c r="C565" i="13"/>
  <c r="A565" i="13"/>
  <c r="C563" i="13"/>
  <c r="C562" i="13"/>
  <c r="B541" i="13"/>
  <c r="H562" i="13"/>
  <c r="H563" i="13"/>
  <c r="B540" i="13"/>
  <c r="B535" i="13"/>
  <c r="A562" i="13"/>
  <c r="A563" i="13"/>
  <c r="H533" i="13"/>
  <c r="D533" i="13"/>
  <c r="C533" i="13"/>
  <c r="A533" i="13"/>
  <c r="H532" i="13"/>
  <c r="D532" i="13"/>
  <c r="C532" i="13"/>
  <c r="A532" i="13"/>
  <c r="H531" i="13"/>
  <c r="D531" i="13"/>
  <c r="C531" i="13"/>
  <c r="A531" i="13"/>
  <c r="E499" i="13"/>
  <c r="D499" i="13"/>
  <c r="A499" i="13"/>
  <c r="E498" i="13"/>
  <c r="D498" i="13"/>
  <c r="A498" i="13"/>
  <c r="E497" i="13"/>
  <c r="D497" i="13"/>
  <c r="A497" i="13"/>
  <c r="E496" i="13"/>
  <c r="D496" i="13"/>
  <c r="A496" i="13"/>
  <c r="E495" i="13"/>
  <c r="D495" i="13"/>
  <c r="A495" i="13"/>
  <c r="E494" i="13"/>
  <c r="D494" i="13"/>
  <c r="A494" i="13"/>
  <c r="E493" i="13"/>
  <c r="D493" i="13"/>
  <c r="A493" i="13"/>
  <c r="E492" i="13"/>
  <c r="D492" i="13"/>
  <c r="A492" i="13"/>
  <c r="E491" i="13"/>
  <c r="D491" i="13"/>
  <c r="A491" i="13"/>
  <c r="H489" i="13"/>
  <c r="D489" i="13"/>
  <c r="C489" i="13"/>
  <c r="A489" i="13"/>
  <c r="H488" i="13"/>
  <c r="D488" i="13"/>
  <c r="C488" i="13"/>
  <c r="A488" i="13"/>
  <c r="C486" i="13"/>
  <c r="C485" i="13"/>
  <c r="B464" i="13"/>
  <c r="H485" i="13"/>
  <c r="H486" i="13"/>
  <c r="B463" i="13"/>
  <c r="B458" i="13"/>
  <c r="A485" i="13"/>
  <c r="A486" i="13"/>
  <c r="H456" i="13"/>
  <c r="D456" i="13"/>
  <c r="C456" i="13"/>
  <c r="A456" i="13"/>
  <c r="H455" i="13"/>
  <c r="D455" i="13"/>
  <c r="C455" i="13"/>
  <c r="A455" i="13"/>
  <c r="H454" i="13"/>
  <c r="D454" i="13"/>
  <c r="C454" i="13"/>
  <c r="A454" i="13"/>
  <c r="E422" i="13"/>
  <c r="D422" i="13"/>
  <c r="A422" i="13"/>
  <c r="E421" i="13"/>
  <c r="D421" i="13"/>
  <c r="A421" i="13"/>
  <c r="E420" i="13"/>
  <c r="D420" i="13"/>
  <c r="A420" i="13"/>
  <c r="E419" i="13"/>
  <c r="D419" i="13"/>
  <c r="A419" i="13"/>
  <c r="E418" i="13"/>
  <c r="D418" i="13"/>
  <c r="A418" i="13"/>
  <c r="E417" i="13"/>
  <c r="D417" i="13"/>
  <c r="A417" i="13"/>
  <c r="E416" i="13"/>
  <c r="D416" i="13"/>
  <c r="A416" i="13"/>
  <c r="E415" i="13"/>
  <c r="D415" i="13"/>
  <c r="A415" i="13"/>
  <c r="E414" i="13"/>
  <c r="D414" i="13"/>
  <c r="A414" i="13"/>
  <c r="H412" i="13"/>
  <c r="D412" i="13"/>
  <c r="C412" i="13"/>
  <c r="A412" i="13"/>
  <c r="H411" i="13"/>
  <c r="D411" i="13"/>
  <c r="C411" i="13"/>
  <c r="A411" i="13"/>
  <c r="C409" i="13"/>
  <c r="C408" i="13"/>
  <c r="B387" i="13"/>
  <c r="H408" i="13"/>
  <c r="H409" i="13"/>
  <c r="B386" i="13"/>
  <c r="B381" i="13"/>
  <c r="A408" i="13"/>
  <c r="A409" i="13"/>
  <c r="H379" i="13"/>
  <c r="D379" i="13"/>
  <c r="C379" i="13"/>
  <c r="A379" i="13"/>
  <c r="H378" i="13"/>
  <c r="D378" i="13"/>
  <c r="C378" i="13"/>
  <c r="A378" i="13"/>
  <c r="H377" i="13"/>
  <c r="D377" i="13"/>
  <c r="C377" i="13"/>
  <c r="A377" i="13"/>
  <c r="E345" i="13"/>
  <c r="D345" i="13"/>
  <c r="A345" i="13"/>
  <c r="E344" i="13"/>
  <c r="D344" i="13"/>
  <c r="A344" i="13"/>
  <c r="E343" i="13"/>
  <c r="D343" i="13"/>
  <c r="A343" i="13"/>
  <c r="E342" i="13"/>
  <c r="D342" i="13"/>
  <c r="A342" i="13"/>
  <c r="E341" i="13"/>
  <c r="D341" i="13"/>
  <c r="A341" i="13"/>
  <c r="E340" i="13"/>
  <c r="D340" i="13"/>
  <c r="A340" i="13"/>
  <c r="E339" i="13"/>
  <c r="D339" i="13"/>
  <c r="A339" i="13"/>
  <c r="E338" i="13"/>
  <c r="D338" i="13"/>
  <c r="A338" i="13"/>
  <c r="E337" i="13"/>
  <c r="D337" i="13"/>
  <c r="A337" i="13"/>
  <c r="H335" i="13"/>
  <c r="D335" i="13"/>
  <c r="C335" i="13"/>
  <c r="A335" i="13"/>
  <c r="H334" i="13"/>
  <c r="D334" i="13"/>
  <c r="C334" i="13"/>
  <c r="A334" i="13"/>
  <c r="C332" i="13"/>
  <c r="C331" i="13"/>
  <c r="B310" i="13"/>
  <c r="H331" i="13"/>
  <c r="H332" i="13"/>
  <c r="B309" i="13"/>
  <c r="B304" i="13"/>
  <c r="A331" i="13"/>
  <c r="A332" i="13"/>
  <c r="E268" i="13"/>
  <c r="E267" i="13"/>
  <c r="E266" i="13"/>
  <c r="E265" i="13"/>
  <c r="E264" i="13"/>
  <c r="E263" i="13"/>
  <c r="E262" i="13"/>
  <c r="E261" i="13"/>
  <c r="E260" i="13"/>
  <c r="H302" i="13"/>
  <c r="H301" i="13"/>
  <c r="H300" i="13"/>
  <c r="H258" i="13"/>
  <c r="H257" i="13"/>
  <c r="D302" i="13"/>
  <c r="D301" i="13"/>
  <c r="D300" i="13"/>
  <c r="D268" i="13"/>
  <c r="D267" i="13"/>
  <c r="D266" i="13"/>
  <c r="D265" i="13"/>
  <c r="D264" i="13"/>
  <c r="D263" i="13"/>
  <c r="D262" i="13"/>
  <c r="D261" i="13"/>
  <c r="D260" i="13"/>
  <c r="D258" i="13"/>
  <c r="C302" i="13"/>
  <c r="C301" i="13"/>
  <c r="C300" i="13"/>
  <c r="C258" i="13"/>
  <c r="A302" i="13"/>
  <c r="A301" i="13"/>
  <c r="A300" i="13"/>
  <c r="A268" i="13"/>
  <c r="A267" i="13"/>
  <c r="A266" i="13"/>
  <c r="A265" i="13"/>
  <c r="A264" i="13"/>
  <c r="A263" i="13"/>
  <c r="A262" i="13"/>
  <c r="A261" i="13"/>
  <c r="A260" i="13"/>
  <c r="A258" i="13"/>
  <c r="A257" i="13"/>
  <c r="C257" i="13"/>
  <c r="C255" i="13"/>
  <c r="C254" i="13"/>
  <c r="B233" i="13"/>
  <c r="H254" i="13"/>
  <c r="H255" i="13"/>
  <c r="B232" i="13"/>
  <c r="B227" i="13"/>
  <c r="A254" i="13"/>
  <c r="A255" i="13"/>
  <c r="H223" i="13"/>
  <c r="C223" i="13"/>
  <c r="A223" i="13"/>
  <c r="H221" i="13"/>
  <c r="C221" i="13"/>
  <c r="A221" i="13"/>
  <c r="H220" i="13"/>
  <c r="C220" i="13"/>
  <c r="A220" i="13"/>
  <c r="H219" i="13"/>
  <c r="D219" i="13"/>
  <c r="C219" i="13"/>
  <c r="B195" i="13"/>
  <c r="B194" i="13"/>
  <c r="B189" i="13"/>
  <c r="A219" i="13"/>
  <c r="H185" i="13"/>
  <c r="C185" i="13"/>
  <c r="A185" i="13"/>
  <c r="H183" i="13"/>
  <c r="C183" i="13"/>
  <c r="A183" i="13"/>
  <c r="H182" i="13"/>
  <c r="C182" i="13"/>
  <c r="A182" i="13"/>
  <c r="H181" i="13"/>
  <c r="D181" i="13"/>
  <c r="C181" i="13"/>
  <c r="B157" i="13"/>
  <c r="B156" i="13"/>
  <c r="B151" i="13"/>
  <c r="A181" i="13"/>
  <c r="H147" i="13"/>
  <c r="C147" i="13"/>
  <c r="A147" i="13"/>
  <c r="H145" i="13"/>
  <c r="C145" i="13"/>
  <c r="A145" i="13"/>
  <c r="H144" i="13"/>
  <c r="C144" i="13"/>
  <c r="A144" i="13"/>
  <c r="H143" i="13"/>
  <c r="D143" i="13"/>
  <c r="C143" i="13"/>
  <c r="B119" i="13"/>
  <c r="B118" i="13"/>
  <c r="B113" i="13"/>
  <c r="A143" i="13"/>
  <c r="H109" i="13"/>
  <c r="C109" i="13"/>
  <c r="A109" i="13"/>
  <c r="H107" i="13"/>
  <c r="C107" i="13"/>
  <c r="A107" i="13"/>
  <c r="H106" i="13"/>
  <c r="C106" i="13"/>
  <c r="A106" i="13"/>
  <c r="H105" i="13"/>
  <c r="D105" i="13"/>
  <c r="C105" i="13"/>
  <c r="B81" i="13"/>
  <c r="B80" i="13"/>
  <c r="B75" i="13"/>
  <c r="A105" i="13"/>
  <c r="H71" i="13"/>
  <c r="C71" i="13"/>
  <c r="A71" i="13"/>
  <c r="H70" i="13"/>
  <c r="C70" i="13"/>
  <c r="A70" i="13"/>
  <c r="H69" i="13"/>
  <c r="C69" i="13"/>
  <c r="A69" i="13"/>
  <c r="H34" i="13"/>
  <c r="H33" i="13"/>
  <c r="H32" i="13"/>
  <c r="A34" i="13"/>
  <c r="A33" i="13"/>
  <c r="A32" i="13"/>
  <c r="C34" i="13"/>
  <c r="C33" i="13"/>
  <c r="C32" i="13"/>
  <c r="H68" i="13"/>
  <c r="C68" i="13"/>
  <c r="B44" i="13"/>
  <c r="B43" i="13"/>
  <c r="B38" i="13"/>
  <c r="A68" i="13"/>
  <c r="H31" i="13"/>
  <c r="D31" i="13"/>
  <c r="C31" i="13"/>
  <c r="B7" i="13"/>
  <c r="B6" i="13"/>
  <c r="B1" i="13"/>
  <c r="A31" i="13"/>
  <c r="H489" i="12"/>
  <c r="D489" i="12"/>
  <c r="C489" i="12"/>
  <c r="A489" i="12"/>
  <c r="D487" i="12"/>
  <c r="C487" i="12"/>
  <c r="H446" i="12"/>
  <c r="D446" i="12"/>
  <c r="C446" i="12"/>
  <c r="A446" i="12"/>
  <c r="D444" i="12"/>
  <c r="C444" i="12"/>
  <c r="H403" i="12"/>
  <c r="D403" i="12"/>
  <c r="C403" i="12"/>
  <c r="A403" i="12"/>
  <c r="D401" i="12"/>
  <c r="C401" i="12"/>
  <c r="H360" i="12"/>
  <c r="D360" i="12"/>
  <c r="C360" i="12"/>
  <c r="A360" i="12"/>
  <c r="D358" i="12"/>
  <c r="C358" i="12"/>
  <c r="H317" i="12"/>
  <c r="D317" i="12"/>
  <c r="C317" i="12"/>
  <c r="A317" i="12"/>
  <c r="H315" i="12"/>
  <c r="D315" i="12"/>
  <c r="C315" i="12"/>
  <c r="A315" i="12"/>
  <c r="H274" i="12"/>
  <c r="D274" i="12"/>
  <c r="C274" i="12"/>
  <c r="A274" i="12"/>
  <c r="H272" i="12"/>
  <c r="D272" i="12"/>
  <c r="C272" i="12"/>
  <c r="A272" i="12"/>
  <c r="H231" i="12"/>
  <c r="D231" i="12"/>
  <c r="C231" i="12"/>
  <c r="A231" i="12"/>
  <c r="H229" i="12"/>
  <c r="D229" i="12"/>
  <c r="C229" i="12"/>
  <c r="A229" i="12"/>
  <c r="C188" i="12"/>
  <c r="C186" i="12"/>
  <c r="D188" i="12"/>
  <c r="D186" i="12"/>
  <c r="H188" i="12"/>
  <c r="H186" i="12"/>
  <c r="A188" i="12"/>
  <c r="A186" i="12"/>
  <c r="B163" i="12"/>
  <c r="H184" i="12"/>
  <c r="H185" i="12"/>
  <c r="D227" i="12"/>
  <c r="D270" i="12"/>
  <c r="D313" i="12"/>
  <c r="D356" i="12"/>
  <c r="D399" i="12"/>
  <c r="D442" i="12"/>
  <c r="D485" i="12"/>
  <c r="D184" i="12"/>
  <c r="H36" i="12"/>
  <c r="C36" i="12"/>
  <c r="A36" i="12"/>
  <c r="B139" i="11"/>
  <c r="B95" i="11"/>
  <c r="B51" i="11"/>
  <c r="B7" i="11"/>
  <c r="B139" i="10"/>
  <c r="B95" i="10"/>
  <c r="B51" i="10"/>
  <c r="B7" i="10"/>
  <c r="B443" i="9"/>
  <c r="H465" i="9"/>
  <c r="H466" i="9"/>
  <c r="B406" i="9"/>
  <c r="B369" i="9"/>
  <c r="H391" i="9"/>
  <c r="H392" i="9"/>
  <c r="B332" i="9"/>
  <c r="H354" i="9"/>
  <c r="H355" i="9"/>
  <c r="B295" i="9"/>
  <c r="B258" i="9"/>
  <c r="B221" i="9"/>
  <c r="H243" i="9"/>
  <c r="H244" i="9"/>
  <c r="B184" i="9"/>
  <c r="B139" i="9"/>
  <c r="B95" i="9"/>
  <c r="B51" i="9"/>
  <c r="B7" i="9"/>
  <c r="B115" i="8"/>
  <c r="B79" i="8"/>
  <c r="B43" i="8"/>
  <c r="B7" i="8"/>
  <c r="B138" i="6"/>
  <c r="H163" i="6"/>
  <c r="B95" i="6"/>
  <c r="H120" i="6" s="1"/>
  <c r="B52" i="6"/>
  <c r="H77" i="6"/>
  <c r="B9" i="6"/>
  <c r="H34" i="6"/>
  <c r="B124" i="12"/>
  <c r="B85" i="12"/>
  <c r="B46" i="12"/>
  <c r="B7" i="12"/>
  <c r="C486" i="12"/>
  <c r="C485" i="12"/>
  <c r="B464" i="12"/>
  <c r="H485" i="12"/>
  <c r="H486" i="12"/>
  <c r="B463" i="12"/>
  <c r="A485" i="12"/>
  <c r="C443" i="12"/>
  <c r="C442" i="12"/>
  <c r="B421" i="12"/>
  <c r="H442" i="12"/>
  <c r="H443" i="12"/>
  <c r="B420" i="12"/>
  <c r="C400" i="12"/>
  <c r="C399" i="12"/>
  <c r="B378" i="12"/>
  <c r="H399" i="12"/>
  <c r="H400" i="12"/>
  <c r="B377" i="12"/>
  <c r="C357" i="12"/>
  <c r="C356" i="12"/>
  <c r="B335" i="12"/>
  <c r="H356" i="12"/>
  <c r="H357" i="12"/>
  <c r="B334" i="12"/>
  <c r="A356" i="12"/>
  <c r="C314" i="12"/>
  <c r="C313" i="12"/>
  <c r="B292" i="12"/>
  <c r="H313" i="12"/>
  <c r="H314" i="12"/>
  <c r="B291" i="12"/>
  <c r="B286" i="12"/>
  <c r="A313" i="12"/>
  <c r="A314" i="12"/>
  <c r="C271" i="12"/>
  <c r="C270" i="12"/>
  <c r="B249" i="12"/>
  <c r="H270" i="12"/>
  <c r="H271" i="12"/>
  <c r="B248" i="12"/>
  <c r="B243" i="12"/>
  <c r="A270" i="12"/>
  <c r="A271" i="12"/>
  <c r="C228" i="12"/>
  <c r="C227" i="12"/>
  <c r="B206" i="12"/>
  <c r="H227" i="12"/>
  <c r="H228" i="12"/>
  <c r="B205" i="12"/>
  <c r="B200" i="12"/>
  <c r="A227" i="12"/>
  <c r="A228" i="12"/>
  <c r="C185" i="12"/>
  <c r="C184" i="12"/>
  <c r="B162" i="12"/>
  <c r="B157" i="12"/>
  <c r="A184" i="12"/>
  <c r="A185" i="12"/>
  <c r="H153" i="12"/>
  <c r="C153" i="12"/>
  <c r="A153" i="12"/>
  <c r="H151" i="12"/>
  <c r="C151" i="12"/>
  <c r="A151" i="12"/>
  <c r="H150" i="12"/>
  <c r="C150" i="12"/>
  <c r="A150" i="12"/>
  <c r="H149" i="12"/>
  <c r="C149" i="12"/>
  <c r="A149" i="12"/>
  <c r="H148" i="12"/>
  <c r="D148" i="12"/>
  <c r="C148" i="12"/>
  <c r="B123" i="12"/>
  <c r="B118" i="12"/>
  <c r="A148" i="12"/>
  <c r="H114" i="12"/>
  <c r="C114" i="12"/>
  <c r="A114" i="12"/>
  <c r="H112" i="12"/>
  <c r="C112" i="12"/>
  <c r="A112" i="12"/>
  <c r="H111" i="12"/>
  <c r="C111" i="12"/>
  <c r="A111" i="12"/>
  <c r="H110" i="12"/>
  <c r="C110" i="12"/>
  <c r="A110" i="12"/>
  <c r="H109" i="12"/>
  <c r="D109" i="12"/>
  <c r="C109" i="12"/>
  <c r="B84" i="12"/>
  <c r="B79" i="12"/>
  <c r="A109" i="12"/>
  <c r="H75" i="12"/>
  <c r="C75" i="12"/>
  <c r="A75" i="12"/>
  <c r="H73" i="12"/>
  <c r="C73" i="12"/>
  <c r="A73" i="12"/>
  <c r="H72" i="12"/>
  <c r="C72" i="12"/>
  <c r="A72" i="12"/>
  <c r="H71" i="12"/>
  <c r="C71" i="12"/>
  <c r="A71" i="12"/>
  <c r="H70" i="12"/>
  <c r="D70" i="12"/>
  <c r="C70" i="12"/>
  <c r="B45" i="12"/>
  <c r="B40" i="12"/>
  <c r="A70" i="12"/>
  <c r="H34" i="12"/>
  <c r="C34" i="12"/>
  <c r="A34" i="12"/>
  <c r="H33" i="12"/>
  <c r="C33" i="12"/>
  <c r="A33" i="12"/>
  <c r="H32" i="12"/>
  <c r="C32" i="12"/>
  <c r="A32" i="12"/>
  <c r="H31" i="12"/>
  <c r="D31" i="12"/>
  <c r="C31" i="12"/>
  <c r="B6" i="12"/>
  <c r="B1" i="12"/>
  <c r="A31" i="12"/>
  <c r="H471" i="11"/>
  <c r="D471" i="11"/>
  <c r="C471" i="11"/>
  <c r="A471" i="11"/>
  <c r="H470" i="11"/>
  <c r="D470" i="11"/>
  <c r="C470" i="11"/>
  <c r="A470" i="11"/>
  <c r="H469" i="11"/>
  <c r="D469" i="11"/>
  <c r="C469" i="11"/>
  <c r="A469" i="11"/>
  <c r="H468" i="11"/>
  <c r="D468" i="11"/>
  <c r="C468" i="11"/>
  <c r="A468" i="11"/>
  <c r="D467" i="11"/>
  <c r="C467" i="11"/>
  <c r="C465" i="11"/>
  <c r="C464" i="11"/>
  <c r="B442" i="11"/>
  <c r="H464" i="11"/>
  <c r="H465" i="11"/>
  <c r="B441" i="11"/>
  <c r="A464" i="11"/>
  <c r="H434" i="11"/>
  <c r="D434" i="11"/>
  <c r="C434" i="11"/>
  <c r="A434" i="11"/>
  <c r="H433" i="11"/>
  <c r="D433" i="11"/>
  <c r="C433" i="11"/>
  <c r="A433" i="11"/>
  <c r="H432" i="11"/>
  <c r="D432" i="11"/>
  <c r="C432" i="11"/>
  <c r="A432" i="11"/>
  <c r="H431" i="11"/>
  <c r="D431" i="11"/>
  <c r="C431" i="11"/>
  <c r="A431" i="11"/>
  <c r="D430" i="11"/>
  <c r="C430" i="11"/>
  <c r="C428" i="11"/>
  <c r="C427" i="11"/>
  <c r="B405" i="11"/>
  <c r="H427" i="11"/>
  <c r="H428" i="11"/>
  <c r="B404" i="11"/>
  <c r="H397" i="11"/>
  <c r="D397" i="11"/>
  <c r="C397" i="11"/>
  <c r="A397" i="11"/>
  <c r="H396" i="11"/>
  <c r="D396" i="11"/>
  <c r="C396" i="11"/>
  <c r="A396" i="11"/>
  <c r="H395" i="11"/>
  <c r="D395" i="11"/>
  <c r="C395" i="11"/>
  <c r="A395" i="11"/>
  <c r="H394" i="11"/>
  <c r="D394" i="11"/>
  <c r="C394" i="11"/>
  <c r="A394" i="11"/>
  <c r="D393" i="11"/>
  <c r="C393" i="11"/>
  <c r="C391" i="11"/>
  <c r="C390" i="11"/>
  <c r="B368" i="11"/>
  <c r="H390" i="11"/>
  <c r="H391" i="11"/>
  <c r="B367" i="11"/>
  <c r="A390" i="11"/>
  <c r="H360" i="11"/>
  <c r="A360" i="11"/>
  <c r="H359" i="11"/>
  <c r="A359" i="11"/>
  <c r="H358" i="11"/>
  <c r="A358" i="11"/>
  <c r="H357" i="11"/>
  <c r="D357" i="11"/>
  <c r="C357" i="11"/>
  <c r="A357" i="11"/>
  <c r="D356" i="11"/>
  <c r="C356" i="11"/>
  <c r="C354" i="11"/>
  <c r="C353" i="11"/>
  <c r="B331" i="11"/>
  <c r="H353" i="11"/>
  <c r="H354" i="11"/>
  <c r="B330" i="11"/>
  <c r="A353" i="11"/>
  <c r="H323" i="11"/>
  <c r="D323" i="11"/>
  <c r="C323" i="11"/>
  <c r="A323" i="11"/>
  <c r="H322" i="11"/>
  <c r="D322" i="11"/>
  <c r="C322" i="11"/>
  <c r="A322" i="11"/>
  <c r="H321" i="11"/>
  <c r="D321" i="11"/>
  <c r="C321" i="11"/>
  <c r="A321" i="11"/>
  <c r="H320" i="11"/>
  <c r="D320" i="11"/>
  <c r="C320" i="11"/>
  <c r="A320" i="11"/>
  <c r="H319" i="11"/>
  <c r="D319" i="11"/>
  <c r="C319" i="11"/>
  <c r="A319" i="11"/>
  <c r="C317" i="11"/>
  <c r="C316" i="11"/>
  <c r="B294" i="11"/>
  <c r="H316" i="11"/>
  <c r="H317" i="11"/>
  <c r="B293" i="11"/>
  <c r="B288" i="11"/>
  <c r="A316" i="11"/>
  <c r="A317" i="11"/>
  <c r="H286" i="11"/>
  <c r="D286" i="11"/>
  <c r="C286" i="11"/>
  <c r="A286" i="11"/>
  <c r="H285" i="11"/>
  <c r="D285" i="11"/>
  <c r="C285" i="11"/>
  <c r="A285" i="11"/>
  <c r="H284" i="11"/>
  <c r="D284" i="11"/>
  <c r="C284" i="11"/>
  <c r="A284" i="11"/>
  <c r="H283" i="11"/>
  <c r="D283" i="11"/>
  <c r="C283" i="11"/>
  <c r="A283" i="11"/>
  <c r="H282" i="11"/>
  <c r="D282" i="11"/>
  <c r="C282" i="11"/>
  <c r="A282" i="11"/>
  <c r="C280" i="11"/>
  <c r="C279" i="11"/>
  <c r="B257" i="11"/>
  <c r="H279" i="11"/>
  <c r="H280" i="11"/>
  <c r="B256" i="11"/>
  <c r="B251" i="11"/>
  <c r="A279" i="11"/>
  <c r="A280" i="11"/>
  <c r="H249" i="11"/>
  <c r="D249" i="11"/>
  <c r="C249" i="11"/>
  <c r="A249" i="11"/>
  <c r="H248" i="11"/>
  <c r="D248" i="11"/>
  <c r="C248" i="11"/>
  <c r="A248" i="11"/>
  <c r="H247" i="11"/>
  <c r="D247" i="11"/>
  <c r="C247" i="11"/>
  <c r="A247" i="11"/>
  <c r="H246" i="11"/>
  <c r="D246" i="11"/>
  <c r="C246" i="11"/>
  <c r="A246" i="11"/>
  <c r="H245" i="11"/>
  <c r="D245" i="11"/>
  <c r="C245" i="11"/>
  <c r="A245" i="11"/>
  <c r="C243" i="11"/>
  <c r="C242" i="11"/>
  <c r="B220" i="11"/>
  <c r="H242" i="11"/>
  <c r="H243" i="11"/>
  <c r="B219" i="11"/>
  <c r="B214" i="11"/>
  <c r="A242" i="11"/>
  <c r="A243" i="11"/>
  <c r="H212" i="11"/>
  <c r="A212" i="11"/>
  <c r="H211" i="11"/>
  <c r="A211" i="11"/>
  <c r="H210" i="11"/>
  <c r="D210" i="11"/>
  <c r="C210" i="11"/>
  <c r="A210" i="11"/>
  <c r="H209" i="11"/>
  <c r="D209" i="11"/>
  <c r="C209" i="11"/>
  <c r="A209" i="11"/>
  <c r="H208" i="11"/>
  <c r="D208" i="11"/>
  <c r="C208" i="11"/>
  <c r="A208" i="11"/>
  <c r="C206" i="11"/>
  <c r="C205" i="11"/>
  <c r="B183" i="11"/>
  <c r="H205" i="11"/>
  <c r="H206" i="11"/>
  <c r="B182" i="11"/>
  <c r="B177" i="11"/>
  <c r="A205" i="11"/>
  <c r="A206" i="11"/>
  <c r="H173" i="11"/>
  <c r="C173" i="11"/>
  <c r="A173" i="11"/>
  <c r="H172" i="11"/>
  <c r="C172" i="11"/>
  <c r="A172" i="11"/>
  <c r="H171" i="11"/>
  <c r="C171" i="11"/>
  <c r="A171" i="11"/>
  <c r="H170" i="11"/>
  <c r="C170" i="11"/>
  <c r="A170" i="11"/>
  <c r="H169" i="11"/>
  <c r="C169" i="11"/>
  <c r="A169" i="11"/>
  <c r="H168" i="11"/>
  <c r="C168" i="11"/>
  <c r="A168" i="11"/>
  <c r="H166" i="11"/>
  <c r="C166" i="11"/>
  <c r="A166" i="11"/>
  <c r="H165" i="11"/>
  <c r="C165" i="11"/>
  <c r="A165" i="11"/>
  <c r="H164" i="11"/>
  <c r="D164" i="11"/>
  <c r="C164" i="11"/>
  <c r="B138" i="11"/>
  <c r="B133" i="11"/>
  <c r="A164" i="11"/>
  <c r="H129" i="11"/>
  <c r="C129" i="11"/>
  <c r="A129" i="11"/>
  <c r="H128" i="11"/>
  <c r="C128" i="11"/>
  <c r="A128" i="11"/>
  <c r="H127" i="11"/>
  <c r="C127" i="11"/>
  <c r="A127" i="11"/>
  <c r="H126" i="11"/>
  <c r="C126" i="11"/>
  <c r="A126" i="11"/>
  <c r="H125" i="11"/>
  <c r="C125" i="11"/>
  <c r="A125" i="11"/>
  <c r="H124" i="11"/>
  <c r="C124" i="11"/>
  <c r="A124" i="11"/>
  <c r="H122" i="11"/>
  <c r="C122" i="11"/>
  <c r="A122" i="11"/>
  <c r="H121" i="11"/>
  <c r="C121" i="11"/>
  <c r="A121" i="11"/>
  <c r="H120" i="11"/>
  <c r="D120" i="11"/>
  <c r="C120" i="11"/>
  <c r="B94" i="11"/>
  <c r="B89" i="11"/>
  <c r="A120" i="11"/>
  <c r="H85" i="11"/>
  <c r="C85" i="11"/>
  <c r="A85" i="11"/>
  <c r="H84" i="11"/>
  <c r="C84" i="11"/>
  <c r="A84" i="11"/>
  <c r="H83" i="11"/>
  <c r="C83" i="11"/>
  <c r="A83" i="11"/>
  <c r="H82" i="11"/>
  <c r="C82" i="11"/>
  <c r="A82" i="11"/>
  <c r="H81" i="11"/>
  <c r="C81" i="11"/>
  <c r="A81" i="11"/>
  <c r="H80" i="11"/>
  <c r="C80" i="11"/>
  <c r="A80" i="11"/>
  <c r="H78" i="11"/>
  <c r="C78" i="11"/>
  <c r="A78" i="11"/>
  <c r="H77" i="11"/>
  <c r="C77" i="11"/>
  <c r="A77" i="11"/>
  <c r="H76" i="11"/>
  <c r="D76" i="11"/>
  <c r="C76" i="11"/>
  <c r="B50" i="11"/>
  <c r="B45" i="11"/>
  <c r="A76" i="11"/>
  <c r="H41" i="11"/>
  <c r="C41" i="11"/>
  <c r="A41" i="11"/>
  <c r="H40" i="11"/>
  <c r="C40" i="11"/>
  <c r="A40" i="11"/>
  <c r="H39" i="11"/>
  <c r="C39" i="11"/>
  <c r="A39" i="11"/>
  <c r="H38" i="11"/>
  <c r="C38" i="11"/>
  <c r="A38" i="11"/>
  <c r="H37" i="11"/>
  <c r="C37" i="11"/>
  <c r="A37" i="11"/>
  <c r="H36" i="11"/>
  <c r="C36" i="11"/>
  <c r="A36" i="11"/>
  <c r="H34" i="11"/>
  <c r="C34" i="11"/>
  <c r="A34" i="11"/>
  <c r="H33" i="11"/>
  <c r="C33" i="11"/>
  <c r="A33" i="11"/>
  <c r="H32" i="11"/>
  <c r="D32" i="11"/>
  <c r="C32" i="11"/>
  <c r="B6" i="11"/>
  <c r="B1" i="11"/>
  <c r="A32" i="11"/>
  <c r="H471" i="10"/>
  <c r="D471" i="10"/>
  <c r="C471" i="10"/>
  <c r="A471" i="10"/>
  <c r="H470" i="10"/>
  <c r="D470" i="10"/>
  <c r="C470" i="10"/>
  <c r="A470" i="10"/>
  <c r="H469" i="10"/>
  <c r="D469" i="10"/>
  <c r="C469" i="10"/>
  <c r="A469" i="10"/>
  <c r="H468" i="10"/>
  <c r="D468" i="10"/>
  <c r="C468" i="10"/>
  <c r="A468" i="10"/>
  <c r="D467" i="10"/>
  <c r="C467" i="10"/>
  <c r="C465" i="10"/>
  <c r="C464" i="10"/>
  <c r="B442" i="10"/>
  <c r="H464" i="10"/>
  <c r="H465" i="10"/>
  <c r="B441" i="10"/>
  <c r="A464" i="10"/>
  <c r="H434" i="10"/>
  <c r="D434" i="10"/>
  <c r="C434" i="10"/>
  <c r="A434" i="10"/>
  <c r="H433" i="10"/>
  <c r="D433" i="10"/>
  <c r="C433" i="10"/>
  <c r="A433" i="10"/>
  <c r="H432" i="10"/>
  <c r="D432" i="10"/>
  <c r="C432" i="10"/>
  <c r="A432" i="10"/>
  <c r="H431" i="10"/>
  <c r="D431" i="10"/>
  <c r="C431" i="10"/>
  <c r="A431" i="10"/>
  <c r="D430" i="10"/>
  <c r="C430" i="10"/>
  <c r="C428" i="10"/>
  <c r="C427" i="10"/>
  <c r="B405" i="10"/>
  <c r="H427" i="10"/>
  <c r="H428" i="10"/>
  <c r="B404" i="10"/>
  <c r="A427" i="10"/>
  <c r="H397" i="10"/>
  <c r="D397" i="10"/>
  <c r="C397" i="10"/>
  <c r="A397" i="10"/>
  <c r="H396" i="10"/>
  <c r="D396" i="10"/>
  <c r="C396" i="10"/>
  <c r="A396" i="10"/>
  <c r="H395" i="10"/>
  <c r="D395" i="10"/>
  <c r="C395" i="10"/>
  <c r="A395" i="10"/>
  <c r="H394" i="10"/>
  <c r="D394" i="10"/>
  <c r="C394" i="10"/>
  <c r="A394" i="10"/>
  <c r="D393" i="10"/>
  <c r="C393" i="10"/>
  <c r="C391" i="10"/>
  <c r="C390" i="10"/>
  <c r="B368" i="10"/>
  <c r="H390" i="10"/>
  <c r="H391" i="10"/>
  <c r="B367" i="10"/>
  <c r="A390" i="10"/>
  <c r="H360" i="10"/>
  <c r="A360" i="10"/>
  <c r="H359" i="10"/>
  <c r="A359" i="10"/>
  <c r="H358" i="10"/>
  <c r="D358" i="10"/>
  <c r="C358" i="10"/>
  <c r="A358" i="10"/>
  <c r="H357" i="10"/>
  <c r="D357" i="10"/>
  <c r="C357" i="10"/>
  <c r="A357" i="10"/>
  <c r="D356" i="10"/>
  <c r="C356" i="10"/>
  <c r="C354" i="10"/>
  <c r="C353" i="10"/>
  <c r="B331" i="10"/>
  <c r="H353" i="10"/>
  <c r="H354" i="10"/>
  <c r="B330" i="10"/>
  <c r="H323" i="10"/>
  <c r="D323" i="10"/>
  <c r="C323" i="10"/>
  <c r="A323" i="10"/>
  <c r="H322" i="10"/>
  <c r="D322" i="10"/>
  <c r="C322" i="10"/>
  <c r="A322" i="10"/>
  <c r="H321" i="10"/>
  <c r="D321" i="10"/>
  <c r="C321" i="10"/>
  <c r="A321" i="10"/>
  <c r="H320" i="10"/>
  <c r="D320" i="10"/>
  <c r="C320" i="10"/>
  <c r="A320" i="10"/>
  <c r="H319" i="10"/>
  <c r="D319" i="10"/>
  <c r="C319" i="10"/>
  <c r="A319" i="10"/>
  <c r="C317" i="10"/>
  <c r="C316" i="10"/>
  <c r="B294" i="10"/>
  <c r="H316" i="10"/>
  <c r="H317" i="10"/>
  <c r="B293" i="10"/>
  <c r="B288" i="10"/>
  <c r="A316" i="10"/>
  <c r="A317" i="10"/>
  <c r="H286" i="10"/>
  <c r="D286" i="10"/>
  <c r="C286" i="10"/>
  <c r="A286" i="10"/>
  <c r="H285" i="10"/>
  <c r="D285" i="10"/>
  <c r="C285" i="10"/>
  <c r="A285" i="10"/>
  <c r="H284" i="10"/>
  <c r="D284" i="10"/>
  <c r="C284" i="10"/>
  <c r="A284" i="10"/>
  <c r="H283" i="10"/>
  <c r="D283" i="10"/>
  <c r="C283" i="10"/>
  <c r="A283" i="10"/>
  <c r="H282" i="10"/>
  <c r="D282" i="10"/>
  <c r="C282" i="10"/>
  <c r="A282" i="10"/>
  <c r="C280" i="10"/>
  <c r="C279" i="10"/>
  <c r="B257" i="10"/>
  <c r="H279" i="10"/>
  <c r="H280" i="10"/>
  <c r="B256" i="10"/>
  <c r="B251" i="10"/>
  <c r="A279" i="10"/>
  <c r="A280" i="10"/>
  <c r="H249" i="10"/>
  <c r="D249" i="10"/>
  <c r="C249" i="10"/>
  <c r="A249" i="10"/>
  <c r="H248" i="10"/>
  <c r="D248" i="10"/>
  <c r="C248" i="10"/>
  <c r="A248" i="10"/>
  <c r="H247" i="10"/>
  <c r="D247" i="10"/>
  <c r="C247" i="10"/>
  <c r="A247" i="10"/>
  <c r="H246" i="10"/>
  <c r="D246" i="10"/>
  <c r="C246" i="10"/>
  <c r="A246" i="10"/>
  <c r="H245" i="10"/>
  <c r="D245" i="10"/>
  <c r="C245" i="10"/>
  <c r="A245" i="10"/>
  <c r="C243" i="10"/>
  <c r="C242" i="10"/>
  <c r="B220" i="10"/>
  <c r="H242" i="10"/>
  <c r="H243" i="10"/>
  <c r="B219" i="10"/>
  <c r="B214" i="10"/>
  <c r="A242" i="10"/>
  <c r="A243" i="10"/>
  <c r="H212" i="10"/>
  <c r="A212" i="10"/>
  <c r="H211" i="10"/>
  <c r="A211" i="10"/>
  <c r="H210" i="10"/>
  <c r="D210" i="10"/>
  <c r="C210" i="10"/>
  <c r="A210" i="10"/>
  <c r="H209" i="10"/>
  <c r="D209" i="10"/>
  <c r="C209" i="10"/>
  <c r="A209" i="10"/>
  <c r="H208" i="10"/>
  <c r="D208" i="10"/>
  <c r="C208" i="10"/>
  <c r="A208" i="10"/>
  <c r="C206" i="10"/>
  <c r="C205" i="10"/>
  <c r="B183" i="10"/>
  <c r="H205" i="10"/>
  <c r="H206" i="10"/>
  <c r="B182" i="10"/>
  <c r="B177" i="10"/>
  <c r="A205" i="10"/>
  <c r="A206" i="10"/>
  <c r="H173" i="10"/>
  <c r="C173" i="10"/>
  <c r="A173" i="10"/>
  <c r="H172" i="10"/>
  <c r="C172" i="10"/>
  <c r="A172" i="10"/>
  <c r="H171" i="10"/>
  <c r="C171" i="10"/>
  <c r="A171" i="10"/>
  <c r="H170" i="10"/>
  <c r="C170" i="10"/>
  <c r="A170" i="10"/>
  <c r="H169" i="10"/>
  <c r="C169" i="10"/>
  <c r="A169" i="10"/>
  <c r="H168" i="10"/>
  <c r="C168" i="10"/>
  <c r="A168" i="10"/>
  <c r="H166" i="10"/>
  <c r="C166" i="10"/>
  <c r="A166" i="10"/>
  <c r="H165" i="10"/>
  <c r="C165" i="10"/>
  <c r="A165" i="10"/>
  <c r="H164" i="10"/>
  <c r="D164" i="10"/>
  <c r="C164" i="10"/>
  <c r="B138" i="10"/>
  <c r="B133" i="10"/>
  <c r="A164" i="10"/>
  <c r="H129" i="10"/>
  <c r="C129" i="10"/>
  <c r="A129" i="10"/>
  <c r="H128" i="10"/>
  <c r="C128" i="10"/>
  <c r="A128" i="10"/>
  <c r="H127" i="10"/>
  <c r="C127" i="10"/>
  <c r="A127" i="10"/>
  <c r="H126" i="10"/>
  <c r="C126" i="10"/>
  <c r="A126" i="10"/>
  <c r="H125" i="10"/>
  <c r="C125" i="10"/>
  <c r="A125" i="10"/>
  <c r="H124" i="10"/>
  <c r="C124" i="10"/>
  <c r="A124" i="10"/>
  <c r="H122" i="10"/>
  <c r="C122" i="10"/>
  <c r="A122" i="10"/>
  <c r="H121" i="10"/>
  <c r="C121" i="10"/>
  <c r="A121" i="10"/>
  <c r="H120" i="10"/>
  <c r="D120" i="10"/>
  <c r="C120" i="10"/>
  <c r="B94" i="10"/>
  <c r="B89" i="10"/>
  <c r="A120" i="10"/>
  <c r="H85" i="10"/>
  <c r="C85" i="10"/>
  <c r="A85" i="10"/>
  <c r="H84" i="10"/>
  <c r="C84" i="10"/>
  <c r="A84" i="10"/>
  <c r="H83" i="10"/>
  <c r="C83" i="10"/>
  <c r="A83" i="10"/>
  <c r="H82" i="10"/>
  <c r="C82" i="10"/>
  <c r="A82" i="10"/>
  <c r="H81" i="10"/>
  <c r="C81" i="10"/>
  <c r="A81" i="10"/>
  <c r="H80" i="10"/>
  <c r="C80" i="10"/>
  <c r="A80" i="10"/>
  <c r="H78" i="10"/>
  <c r="C78" i="10"/>
  <c r="A78" i="10"/>
  <c r="H77" i="10"/>
  <c r="C77" i="10"/>
  <c r="A77" i="10"/>
  <c r="H76" i="10"/>
  <c r="D76" i="10"/>
  <c r="C76" i="10"/>
  <c r="B50" i="10"/>
  <c r="B45" i="10"/>
  <c r="A76" i="10"/>
  <c r="H41" i="10"/>
  <c r="C41" i="10"/>
  <c r="A41" i="10"/>
  <c r="H40" i="10"/>
  <c r="C40" i="10"/>
  <c r="A40" i="10"/>
  <c r="H39" i="10"/>
  <c r="C39" i="10"/>
  <c r="A39" i="10"/>
  <c r="H38" i="10"/>
  <c r="C38" i="10"/>
  <c r="A38" i="10"/>
  <c r="H37" i="10"/>
  <c r="C37" i="10"/>
  <c r="A37" i="10"/>
  <c r="H36" i="10"/>
  <c r="C36" i="10"/>
  <c r="A36" i="10"/>
  <c r="H34" i="10"/>
  <c r="C34" i="10"/>
  <c r="A34" i="10"/>
  <c r="H33" i="10"/>
  <c r="C33" i="10"/>
  <c r="A33" i="10"/>
  <c r="H32" i="10"/>
  <c r="D32" i="10"/>
  <c r="C32" i="10"/>
  <c r="B6" i="10"/>
  <c r="B1" i="10"/>
  <c r="A32" i="10"/>
  <c r="H469" i="9"/>
  <c r="D469" i="9"/>
  <c r="C469" i="9"/>
  <c r="A469" i="9"/>
  <c r="D468" i="9"/>
  <c r="C468" i="9"/>
  <c r="H432" i="9"/>
  <c r="D432" i="9"/>
  <c r="C432" i="9"/>
  <c r="A432" i="9"/>
  <c r="D431" i="9"/>
  <c r="C431" i="9"/>
  <c r="H395" i="9"/>
  <c r="D395" i="9"/>
  <c r="C395" i="9"/>
  <c r="A395" i="9"/>
  <c r="D394" i="9"/>
  <c r="C394" i="9"/>
  <c r="H358" i="9"/>
  <c r="D358" i="9"/>
  <c r="C358" i="9"/>
  <c r="A358" i="9"/>
  <c r="D357" i="9"/>
  <c r="C357" i="9"/>
  <c r="H321" i="9"/>
  <c r="D321" i="9"/>
  <c r="C321" i="9"/>
  <c r="A321" i="9"/>
  <c r="H320" i="9"/>
  <c r="D320" i="9"/>
  <c r="C320" i="9"/>
  <c r="A320" i="9"/>
  <c r="H284" i="9"/>
  <c r="D284" i="9"/>
  <c r="C284" i="9"/>
  <c r="A284" i="9"/>
  <c r="H283" i="9"/>
  <c r="D283" i="9"/>
  <c r="C283" i="9"/>
  <c r="A283" i="9"/>
  <c r="H247" i="9"/>
  <c r="D247" i="9"/>
  <c r="C247" i="9"/>
  <c r="A247" i="9"/>
  <c r="H246" i="9"/>
  <c r="D246" i="9"/>
  <c r="C246" i="9"/>
  <c r="A246" i="9"/>
  <c r="H280" i="8"/>
  <c r="D280" i="8"/>
  <c r="C280" i="8"/>
  <c r="A280" i="8"/>
  <c r="H245" i="8"/>
  <c r="D245" i="8"/>
  <c r="C245" i="8"/>
  <c r="A245" i="8"/>
  <c r="H210" i="8"/>
  <c r="D210" i="8"/>
  <c r="C210" i="8"/>
  <c r="A210" i="8"/>
  <c r="H317" i="6"/>
  <c r="D317" i="6"/>
  <c r="C317" i="6"/>
  <c r="A317" i="6"/>
  <c r="H316" i="6"/>
  <c r="D316" i="6"/>
  <c r="C316" i="6"/>
  <c r="A316" i="6"/>
  <c r="H280" i="6"/>
  <c r="D280" i="6"/>
  <c r="C280" i="6"/>
  <c r="A280" i="6"/>
  <c r="H279" i="6"/>
  <c r="D279" i="6"/>
  <c r="C279" i="6"/>
  <c r="A279" i="6"/>
  <c r="H243" i="6"/>
  <c r="D243" i="6"/>
  <c r="C243" i="6"/>
  <c r="A243" i="6"/>
  <c r="H242" i="6"/>
  <c r="D242" i="6"/>
  <c r="C242" i="6"/>
  <c r="A242" i="6"/>
  <c r="H472" i="9"/>
  <c r="D472" i="9"/>
  <c r="C472" i="9"/>
  <c r="A472" i="9"/>
  <c r="H471" i="9"/>
  <c r="D471" i="9"/>
  <c r="C471" i="9"/>
  <c r="A471" i="9"/>
  <c r="H470" i="9"/>
  <c r="D470" i="9"/>
  <c r="C470" i="9"/>
  <c r="A470" i="9"/>
  <c r="C466" i="9"/>
  <c r="C465" i="9"/>
  <c r="B442" i="9"/>
  <c r="A465" i="9"/>
  <c r="H435" i="9"/>
  <c r="D435" i="9"/>
  <c r="C435" i="9"/>
  <c r="A435" i="9"/>
  <c r="H434" i="9"/>
  <c r="D434" i="9"/>
  <c r="C434" i="9"/>
  <c r="A434" i="9"/>
  <c r="H433" i="9"/>
  <c r="D433" i="9"/>
  <c r="C433" i="9"/>
  <c r="A433" i="9"/>
  <c r="C429" i="9"/>
  <c r="C428" i="9"/>
  <c r="H428" i="9"/>
  <c r="H429" i="9"/>
  <c r="B405" i="9"/>
  <c r="A428" i="9"/>
  <c r="H398" i="9"/>
  <c r="D398" i="9"/>
  <c r="C398" i="9"/>
  <c r="A398" i="9"/>
  <c r="H397" i="9"/>
  <c r="D397" i="9"/>
  <c r="C397" i="9"/>
  <c r="A397" i="9"/>
  <c r="H396" i="9"/>
  <c r="D396" i="9"/>
  <c r="C396" i="9"/>
  <c r="A396" i="9"/>
  <c r="C392" i="9"/>
  <c r="C391" i="9"/>
  <c r="B368" i="9"/>
  <c r="H361" i="9"/>
  <c r="A361" i="9"/>
  <c r="H360" i="9"/>
  <c r="A360" i="9"/>
  <c r="H359" i="9"/>
  <c r="D359" i="9"/>
  <c r="C359" i="9"/>
  <c r="A359" i="9"/>
  <c r="C355" i="9"/>
  <c r="C354" i="9"/>
  <c r="B331" i="9"/>
  <c r="H173" i="9"/>
  <c r="C173" i="9"/>
  <c r="A173" i="9"/>
  <c r="H172" i="9"/>
  <c r="C172" i="9"/>
  <c r="A172" i="9"/>
  <c r="H171" i="9"/>
  <c r="C171" i="9"/>
  <c r="A171" i="9"/>
  <c r="H170" i="9"/>
  <c r="C170" i="9"/>
  <c r="A170" i="9"/>
  <c r="H169" i="9"/>
  <c r="C169" i="9"/>
  <c r="A169" i="9"/>
  <c r="H168" i="9"/>
  <c r="C168" i="9"/>
  <c r="A168" i="9"/>
  <c r="H166" i="9"/>
  <c r="C166" i="9"/>
  <c r="A166" i="9"/>
  <c r="H165" i="9"/>
  <c r="C165" i="9"/>
  <c r="A165" i="9"/>
  <c r="H164" i="9"/>
  <c r="D164" i="9"/>
  <c r="C164" i="9"/>
  <c r="B138" i="9"/>
  <c r="B133" i="9"/>
  <c r="A164" i="9"/>
  <c r="H129" i="9"/>
  <c r="C129" i="9"/>
  <c r="A129" i="9"/>
  <c r="H128" i="9"/>
  <c r="C128" i="9"/>
  <c r="A128" i="9"/>
  <c r="H127" i="9"/>
  <c r="C127" i="9"/>
  <c r="A127" i="9"/>
  <c r="H126" i="9"/>
  <c r="C126" i="9"/>
  <c r="A126" i="9"/>
  <c r="H125" i="9"/>
  <c r="C125" i="9"/>
  <c r="A125" i="9"/>
  <c r="H124" i="9"/>
  <c r="C124" i="9"/>
  <c r="A124" i="9"/>
  <c r="H122" i="9"/>
  <c r="C122" i="9"/>
  <c r="A122" i="9"/>
  <c r="H121" i="9"/>
  <c r="C121" i="9"/>
  <c r="A121" i="9"/>
  <c r="H120" i="9"/>
  <c r="D120" i="9"/>
  <c r="C120" i="9"/>
  <c r="B94" i="9"/>
  <c r="B89" i="9"/>
  <c r="A120" i="9"/>
  <c r="H85" i="9"/>
  <c r="C85" i="9"/>
  <c r="A85" i="9"/>
  <c r="H84" i="9"/>
  <c r="C84" i="9"/>
  <c r="A84" i="9"/>
  <c r="H83" i="9"/>
  <c r="C83" i="9"/>
  <c r="A83" i="9"/>
  <c r="H82" i="9"/>
  <c r="C82" i="9"/>
  <c r="A82" i="9"/>
  <c r="H81" i="9"/>
  <c r="C81" i="9"/>
  <c r="A81" i="9"/>
  <c r="H80" i="9"/>
  <c r="C80" i="9"/>
  <c r="A80" i="9"/>
  <c r="H78" i="9"/>
  <c r="C78" i="9"/>
  <c r="A78" i="9"/>
  <c r="H77" i="9"/>
  <c r="C77" i="9"/>
  <c r="A77" i="9"/>
  <c r="H76" i="9"/>
  <c r="D76" i="9"/>
  <c r="C76" i="9"/>
  <c r="B50" i="9"/>
  <c r="B45" i="9"/>
  <c r="A76" i="9"/>
  <c r="H36" i="9"/>
  <c r="H37" i="9"/>
  <c r="H38" i="9"/>
  <c r="H209" i="9"/>
  <c r="H210" i="9"/>
  <c r="H39" i="9"/>
  <c r="H40" i="9"/>
  <c r="H41" i="9"/>
  <c r="C36" i="9"/>
  <c r="C37" i="9"/>
  <c r="C38" i="9"/>
  <c r="C209" i="9"/>
  <c r="D209" i="9"/>
  <c r="C210" i="9"/>
  <c r="D210" i="9"/>
  <c r="C39" i="9"/>
  <c r="C40" i="9"/>
  <c r="C41" i="9"/>
  <c r="A36" i="9"/>
  <c r="A37" i="9"/>
  <c r="A38" i="9"/>
  <c r="A209" i="9"/>
  <c r="A210" i="9"/>
  <c r="A39" i="9"/>
  <c r="A40" i="9"/>
  <c r="A41" i="9"/>
  <c r="H324" i="9"/>
  <c r="D324" i="9"/>
  <c r="C324" i="9"/>
  <c r="A324" i="9"/>
  <c r="H323" i="9"/>
  <c r="D323" i="9"/>
  <c r="C323" i="9"/>
  <c r="A323" i="9"/>
  <c r="H322" i="9"/>
  <c r="D322" i="9"/>
  <c r="C322" i="9"/>
  <c r="A322" i="9"/>
  <c r="C318" i="9"/>
  <c r="C317" i="9"/>
  <c r="H317" i="9"/>
  <c r="H318" i="9"/>
  <c r="B294" i="9"/>
  <c r="B289" i="9"/>
  <c r="A317" i="9"/>
  <c r="A318" i="9"/>
  <c r="H287" i="9"/>
  <c r="D287" i="9"/>
  <c r="C287" i="9"/>
  <c r="A287" i="9"/>
  <c r="H286" i="9"/>
  <c r="D286" i="9"/>
  <c r="C286" i="9"/>
  <c r="A286" i="9"/>
  <c r="H285" i="9"/>
  <c r="D285" i="9"/>
  <c r="C285" i="9"/>
  <c r="A285" i="9"/>
  <c r="C281" i="9"/>
  <c r="C280" i="9"/>
  <c r="H280" i="9"/>
  <c r="H281" i="9"/>
  <c r="B257" i="9"/>
  <c r="B252" i="9"/>
  <c r="A280" i="9"/>
  <c r="A281" i="9"/>
  <c r="H250" i="9"/>
  <c r="D250" i="9"/>
  <c r="C250" i="9"/>
  <c r="A250" i="9"/>
  <c r="H249" i="9"/>
  <c r="D249" i="9"/>
  <c r="C249" i="9"/>
  <c r="A249" i="9"/>
  <c r="H248" i="9"/>
  <c r="D248" i="9"/>
  <c r="C248" i="9"/>
  <c r="A248" i="9"/>
  <c r="C244" i="9"/>
  <c r="C243" i="9"/>
  <c r="B220" i="9"/>
  <c r="B215" i="9"/>
  <c r="A243" i="9"/>
  <c r="A244" i="9"/>
  <c r="H213" i="9"/>
  <c r="A213" i="9"/>
  <c r="H212" i="9"/>
  <c r="A212" i="9"/>
  <c r="H211" i="9"/>
  <c r="D211" i="9"/>
  <c r="C211" i="9"/>
  <c r="A211" i="9"/>
  <c r="C207" i="9"/>
  <c r="C206" i="9"/>
  <c r="H206" i="9"/>
  <c r="H207" i="9"/>
  <c r="B183" i="9"/>
  <c r="B178" i="9"/>
  <c r="A206" i="9"/>
  <c r="A207" i="9"/>
  <c r="H34" i="9"/>
  <c r="C34" i="9"/>
  <c r="A34" i="9"/>
  <c r="H33" i="9"/>
  <c r="C33" i="9"/>
  <c r="A33" i="9"/>
  <c r="H32" i="9"/>
  <c r="D32" i="9"/>
  <c r="C32" i="9"/>
  <c r="B6" i="9"/>
  <c r="B1" i="9"/>
  <c r="A32" i="9"/>
  <c r="H283" i="8"/>
  <c r="D283" i="8"/>
  <c r="C283" i="8"/>
  <c r="A283" i="8"/>
  <c r="H282" i="8"/>
  <c r="D282" i="8"/>
  <c r="C282" i="8"/>
  <c r="A282" i="8"/>
  <c r="H281" i="8"/>
  <c r="D281" i="8"/>
  <c r="C281" i="8"/>
  <c r="A281" i="8"/>
  <c r="C278" i="8"/>
  <c r="C277" i="8"/>
  <c r="B256" i="8"/>
  <c r="H277" i="8"/>
  <c r="H278" i="8"/>
  <c r="B255" i="8"/>
  <c r="B250" i="8"/>
  <c r="A277" i="8"/>
  <c r="A278" i="8"/>
  <c r="H248" i="8"/>
  <c r="D248" i="8"/>
  <c r="C248" i="8"/>
  <c r="A248" i="8"/>
  <c r="H247" i="8"/>
  <c r="D247" i="8"/>
  <c r="C247" i="8"/>
  <c r="A247" i="8"/>
  <c r="H246" i="8"/>
  <c r="D246" i="8"/>
  <c r="C246" i="8"/>
  <c r="A246" i="8"/>
  <c r="C243" i="8"/>
  <c r="C242" i="8"/>
  <c r="B221" i="8"/>
  <c r="H242" i="8"/>
  <c r="H243" i="8"/>
  <c r="B220" i="8"/>
  <c r="B215" i="8"/>
  <c r="A242" i="8"/>
  <c r="A243" i="8"/>
  <c r="D212" i="8"/>
  <c r="D213" i="8"/>
  <c r="C212" i="8"/>
  <c r="C213" i="8"/>
  <c r="H213" i="8"/>
  <c r="A213" i="8"/>
  <c r="H212" i="8"/>
  <c r="A212" i="8"/>
  <c r="H211" i="8"/>
  <c r="D211" i="8"/>
  <c r="C211" i="8"/>
  <c r="A211" i="8"/>
  <c r="C208" i="8"/>
  <c r="C207" i="8"/>
  <c r="B186" i="8"/>
  <c r="H207" i="8"/>
  <c r="H208" i="8"/>
  <c r="B185" i="8"/>
  <c r="B180" i="8"/>
  <c r="A207" i="8"/>
  <c r="A208" i="8"/>
  <c r="H178" i="8"/>
  <c r="H177" i="8"/>
  <c r="A177" i="8"/>
  <c r="A178" i="8"/>
  <c r="H176" i="8"/>
  <c r="D176" i="8"/>
  <c r="C176" i="8"/>
  <c r="A176" i="8"/>
  <c r="C173" i="8"/>
  <c r="C172" i="8"/>
  <c r="B151" i="8"/>
  <c r="H172" i="8"/>
  <c r="H173" i="8"/>
  <c r="B150" i="8"/>
  <c r="B145" i="8"/>
  <c r="A172" i="8"/>
  <c r="A173" i="8"/>
  <c r="H140" i="8"/>
  <c r="C140" i="8"/>
  <c r="A140" i="8"/>
  <c r="H139" i="8"/>
  <c r="D139" i="8"/>
  <c r="C139" i="8"/>
  <c r="B114" i="8"/>
  <c r="B109" i="8"/>
  <c r="A139" i="8"/>
  <c r="H104" i="8"/>
  <c r="C104" i="8"/>
  <c r="A104" i="8"/>
  <c r="H103" i="8"/>
  <c r="D103" i="8"/>
  <c r="C103" i="8"/>
  <c r="B78" i="8"/>
  <c r="B73" i="8"/>
  <c r="A103" i="8"/>
  <c r="H68" i="8"/>
  <c r="C68" i="8"/>
  <c r="A68" i="8"/>
  <c r="H67" i="8"/>
  <c r="D67" i="8"/>
  <c r="C67" i="8"/>
  <c r="B42" i="8"/>
  <c r="B37" i="8"/>
  <c r="A67" i="8"/>
  <c r="H175" i="8"/>
  <c r="H32" i="8"/>
  <c r="A175" i="8"/>
  <c r="C175" i="8"/>
  <c r="D175" i="8"/>
  <c r="C32" i="8"/>
  <c r="A32" i="8"/>
  <c r="B1" i="8"/>
  <c r="A31" i="8"/>
  <c r="B6" i="8"/>
  <c r="H31" i="8"/>
  <c r="D31" i="8"/>
  <c r="C31" i="8"/>
  <c r="H321" i="6"/>
  <c r="D321" i="6"/>
  <c r="C321" i="6"/>
  <c r="A321" i="6"/>
  <c r="H320" i="6"/>
  <c r="D320" i="6"/>
  <c r="C320" i="6"/>
  <c r="A320" i="6"/>
  <c r="H319" i="6"/>
  <c r="D319" i="6"/>
  <c r="C319" i="6"/>
  <c r="A319" i="6"/>
  <c r="C315" i="6"/>
  <c r="C314" i="6"/>
  <c r="B292" i="6"/>
  <c r="H314" i="6"/>
  <c r="H315" i="6"/>
  <c r="B291" i="6"/>
  <c r="B286" i="6"/>
  <c r="A314" i="6"/>
  <c r="A315" i="6" s="1"/>
  <c r="H284" i="6"/>
  <c r="D284" i="6"/>
  <c r="C284" i="6"/>
  <c r="A284" i="6"/>
  <c r="H283" i="6"/>
  <c r="D283" i="6"/>
  <c r="C283" i="6"/>
  <c r="A283" i="6"/>
  <c r="H282" i="6"/>
  <c r="D282" i="6"/>
  <c r="C282" i="6"/>
  <c r="A282" i="6"/>
  <c r="C278" i="6"/>
  <c r="C277" i="6"/>
  <c r="B255" i="6"/>
  <c r="H277" i="6" s="1"/>
  <c r="H278" i="6"/>
  <c r="B254" i="6"/>
  <c r="B249" i="6"/>
  <c r="A277" i="6"/>
  <c r="A278" i="6" s="1"/>
  <c r="H247" i="6"/>
  <c r="D247" i="6"/>
  <c r="C247" i="6"/>
  <c r="A247" i="6"/>
  <c r="H246" i="6"/>
  <c r="D246" i="6"/>
  <c r="C246" i="6"/>
  <c r="A246" i="6"/>
  <c r="H245" i="6"/>
  <c r="D245" i="6"/>
  <c r="C245" i="6"/>
  <c r="A245" i="6"/>
  <c r="C241" i="6"/>
  <c r="C240" i="6"/>
  <c r="B218" i="6"/>
  <c r="H240" i="6" s="1"/>
  <c r="H241" i="6" s="1"/>
  <c r="B217" i="6"/>
  <c r="B212" i="6"/>
  <c r="A240" i="6"/>
  <c r="A241" i="6" s="1"/>
  <c r="H208" i="6"/>
  <c r="H209" i="6"/>
  <c r="H210" i="6"/>
  <c r="A208" i="6"/>
  <c r="C208" i="6"/>
  <c r="D208" i="6"/>
  <c r="A209" i="6"/>
  <c r="C209" i="6"/>
  <c r="D209" i="6"/>
  <c r="A210" i="6"/>
  <c r="C210" i="6"/>
  <c r="D210" i="6"/>
  <c r="C204" i="6"/>
  <c r="B181" i="6"/>
  <c r="H203" i="6"/>
  <c r="H204" i="6" s="1"/>
  <c r="B175" i="6"/>
  <c r="A203" i="6"/>
  <c r="A204" i="6" s="1"/>
  <c r="C203" i="6"/>
  <c r="B180" i="6"/>
  <c r="H171" i="6"/>
  <c r="D171" i="6"/>
  <c r="C171" i="6"/>
  <c r="A171" i="6"/>
  <c r="H170" i="6"/>
  <c r="D170" i="6"/>
  <c r="C170" i="6"/>
  <c r="A170" i="6"/>
  <c r="H169" i="6"/>
  <c r="D169" i="6"/>
  <c r="C169" i="6"/>
  <c r="A169" i="6"/>
  <c r="H168" i="6"/>
  <c r="D168" i="6"/>
  <c r="C168" i="6"/>
  <c r="A168" i="6"/>
  <c r="H167" i="6"/>
  <c r="D167" i="6"/>
  <c r="C167" i="6"/>
  <c r="A167" i="6"/>
  <c r="H165" i="6"/>
  <c r="D165" i="6"/>
  <c r="C165" i="6"/>
  <c r="A165" i="6"/>
  <c r="H164" i="6"/>
  <c r="D164" i="6"/>
  <c r="C164" i="6"/>
  <c r="A164" i="6"/>
  <c r="D163" i="6"/>
  <c r="C163" i="6"/>
  <c r="B137" i="6"/>
  <c r="B132" i="6"/>
  <c r="A163" i="6" s="1"/>
  <c r="H128" i="6"/>
  <c r="D128" i="6"/>
  <c r="C128" i="6"/>
  <c r="A128" i="6"/>
  <c r="H127" i="6"/>
  <c r="D127" i="6"/>
  <c r="C127" i="6"/>
  <c r="A127" i="6"/>
  <c r="H126" i="6"/>
  <c r="D126" i="6"/>
  <c r="C126" i="6"/>
  <c r="A126" i="6"/>
  <c r="H125" i="6"/>
  <c r="D125" i="6"/>
  <c r="C125" i="6"/>
  <c r="A125" i="6"/>
  <c r="H124" i="6"/>
  <c r="D124" i="6"/>
  <c r="C124" i="6"/>
  <c r="A124" i="6"/>
  <c r="H122" i="6"/>
  <c r="D122" i="6"/>
  <c r="C122" i="6"/>
  <c r="A122" i="6"/>
  <c r="H121" i="6"/>
  <c r="D121" i="6"/>
  <c r="C121" i="6"/>
  <c r="A121" i="6"/>
  <c r="D120" i="6"/>
  <c r="C120" i="6"/>
  <c r="B94" i="6"/>
  <c r="B89" i="6"/>
  <c r="A120" i="6"/>
  <c r="D78" i="6"/>
  <c r="C78" i="6"/>
  <c r="H85" i="6"/>
  <c r="D85" i="6"/>
  <c r="C85" i="6"/>
  <c r="A85" i="6"/>
  <c r="H83" i="6"/>
  <c r="D83" i="6"/>
  <c r="C83" i="6"/>
  <c r="A83" i="6"/>
  <c r="H82" i="6"/>
  <c r="D82" i="6"/>
  <c r="C82" i="6"/>
  <c r="A82" i="6"/>
  <c r="H81" i="6"/>
  <c r="D81" i="6"/>
  <c r="C81" i="6"/>
  <c r="A81" i="6"/>
  <c r="H79" i="6"/>
  <c r="D79" i="6"/>
  <c r="C79" i="6"/>
  <c r="A79" i="6"/>
  <c r="H78" i="6"/>
  <c r="A78" i="6"/>
  <c r="D77" i="6"/>
  <c r="C77" i="6"/>
  <c r="B51" i="6"/>
  <c r="B46" i="6"/>
  <c r="A77" i="6" s="1"/>
  <c r="H36" i="6"/>
  <c r="H38" i="6"/>
  <c r="H39" i="6"/>
  <c r="H40" i="6"/>
  <c r="H205" i="6"/>
  <c r="H206" i="6"/>
  <c r="H41" i="6"/>
  <c r="H42" i="6"/>
  <c r="D36" i="6"/>
  <c r="D38" i="6"/>
  <c r="D39" i="6"/>
  <c r="D40" i="6"/>
  <c r="D205" i="6"/>
  <c r="D206" i="6"/>
  <c r="D41" i="6"/>
  <c r="D42" i="6"/>
  <c r="C36" i="6"/>
  <c r="C38" i="6"/>
  <c r="C39" i="6"/>
  <c r="C40" i="6"/>
  <c r="C205" i="6"/>
  <c r="C206" i="6"/>
  <c r="C41" i="6"/>
  <c r="C42" i="6"/>
  <c r="A36" i="6"/>
  <c r="A38" i="6"/>
  <c r="A39" i="6"/>
  <c r="A40" i="6"/>
  <c r="A205" i="6"/>
  <c r="A206" i="6"/>
  <c r="A41" i="6"/>
  <c r="A42" i="6"/>
  <c r="H35" i="6"/>
  <c r="D35" i="6"/>
  <c r="C35" i="6"/>
  <c r="A35" i="6"/>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9" i="1"/>
  <c r="AO40" i="1"/>
  <c r="AO41" i="1"/>
  <c r="AO42" i="1"/>
  <c r="AO43" i="1"/>
  <c r="AO44" i="1"/>
  <c r="AO49" i="1"/>
  <c r="AO50" i="1"/>
  <c r="AO51" i="1"/>
  <c r="AO52" i="1"/>
  <c r="AO58" i="1"/>
  <c r="AO64" i="1"/>
  <c r="AO65" i="1"/>
  <c r="AO66" i="1"/>
  <c r="AO68" i="1"/>
  <c r="AO69" i="1"/>
  <c r="AO70" i="1"/>
  <c r="AO71" i="1"/>
  <c r="AO72" i="1"/>
  <c r="AO73" i="1"/>
  <c r="AO74" i="1"/>
  <c r="AO75" i="1"/>
  <c r="AO76" i="1"/>
  <c r="AO77" i="1"/>
  <c r="AO78" i="1"/>
  <c r="AO79" i="1"/>
  <c r="AO80" i="1"/>
  <c r="AO81" i="1"/>
  <c r="AO82" i="1"/>
  <c r="AO83" i="1"/>
  <c r="AO84" i="1"/>
  <c r="AO85" i="1"/>
  <c r="AO86" i="1"/>
  <c r="AO3" i="1"/>
  <c r="B3" i="6"/>
  <c r="A34" i="6" s="1"/>
  <c r="A17" i="1"/>
  <c r="B8" i="6"/>
  <c r="A4" i="1"/>
  <c r="A5" i="1"/>
  <c r="A6" i="1"/>
  <c r="A7" i="1"/>
  <c r="A8" i="1"/>
  <c r="A9" i="1"/>
  <c r="A10" i="1"/>
  <c r="A11" i="1"/>
  <c r="A12" i="1"/>
  <c r="A13" i="1"/>
  <c r="A14" i="1"/>
  <c r="A15" i="1"/>
  <c r="A16" i="1"/>
  <c r="A18" i="1"/>
  <c r="A19" i="1"/>
  <c r="A20" i="1"/>
  <c r="A21" i="1"/>
  <c r="A22" i="1"/>
  <c r="A23" i="1"/>
  <c r="A24" i="1"/>
  <c r="A25" i="1"/>
  <c r="A26" i="1"/>
  <c r="A27" i="1"/>
  <c r="A28" i="1"/>
  <c r="A29" i="1"/>
  <c r="A30" i="1"/>
  <c r="A31" i="1"/>
  <c r="A32" i="1"/>
  <c r="A39" i="1"/>
  <c r="A40" i="1"/>
  <c r="A41" i="1"/>
  <c r="A42" i="1"/>
  <c r="A43" i="1"/>
  <c r="A44" i="1"/>
  <c r="A49" i="1"/>
  <c r="A50" i="1"/>
  <c r="A51" i="1"/>
  <c r="A52" i="1"/>
  <c r="A53" i="1"/>
  <c r="B396" i="16" s="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3" i="1"/>
  <c r="B19" i="6" s="1"/>
  <c r="AK22" i="1"/>
  <c r="AK21" i="1"/>
  <c r="AK20" i="1"/>
  <c r="AK19" i="1"/>
  <c r="AK18" i="1"/>
  <c r="AK17" i="1"/>
  <c r="AK16" i="1"/>
  <c r="AK15" i="1"/>
  <c r="AK14" i="1"/>
  <c r="AK13" i="1"/>
  <c r="AK12" i="1"/>
  <c r="AK11" i="1"/>
  <c r="AK6" i="1"/>
  <c r="AK5" i="1"/>
  <c r="AK4" i="1"/>
  <c r="AK3" i="1"/>
  <c r="AK53" i="1"/>
  <c r="AK54" i="1"/>
  <c r="AK55" i="1"/>
  <c r="AK56" i="1"/>
  <c r="AK57" i="1"/>
  <c r="AK58" i="1"/>
  <c r="AK59" i="1"/>
  <c r="AK60" i="1"/>
  <c r="AK61" i="1"/>
  <c r="AK62" i="1"/>
  <c r="AK63" i="1"/>
  <c r="AK64" i="1"/>
  <c r="AK65" i="1"/>
  <c r="AK66" i="1"/>
  <c r="AK67" i="1"/>
  <c r="AK68" i="1"/>
  <c r="AK69" i="1"/>
  <c r="AK70" i="1"/>
  <c r="AK49" i="1"/>
  <c r="AK50" i="1"/>
  <c r="AK51" i="1"/>
  <c r="AK52" i="1"/>
  <c r="AK28" i="1"/>
  <c r="AK29" i="1"/>
  <c r="AK30" i="1"/>
  <c r="AK31" i="1"/>
  <c r="AK32" i="1"/>
  <c r="AK27" i="1"/>
  <c r="AK40" i="1"/>
  <c r="AK41" i="1"/>
  <c r="AK42" i="1"/>
  <c r="AK43" i="1"/>
  <c r="AK44" i="1"/>
  <c r="AK39" i="1"/>
  <c r="AK8" i="1"/>
  <c r="AK9" i="1"/>
  <c r="AK10" i="1"/>
  <c r="AK7" i="1"/>
  <c r="AK72" i="1"/>
  <c r="AK73" i="1"/>
  <c r="AK74" i="1"/>
  <c r="AK75" i="1"/>
  <c r="AK76" i="1"/>
  <c r="AK77" i="1"/>
  <c r="AK78" i="1"/>
  <c r="AK79" i="1"/>
  <c r="AK80" i="1"/>
  <c r="AK81" i="1"/>
  <c r="AK82" i="1"/>
  <c r="AK83" i="1"/>
  <c r="AK84" i="1"/>
  <c r="AK85" i="1"/>
  <c r="AK86" i="1"/>
  <c r="AK71" i="1"/>
  <c r="AL24" i="1"/>
  <c r="AL25" i="1"/>
  <c r="AL26" i="1"/>
  <c r="AL23" i="1"/>
  <c r="D34" i="6"/>
  <c r="C34" i="6"/>
  <c r="Z4" i="1"/>
  <c r="Z5" i="1"/>
  <c r="AS5" i="1" s="1"/>
  <c r="Z6" i="1"/>
  <c r="AS6" i="1" s="1"/>
  <c r="Z7" i="1"/>
  <c r="Z8" i="1"/>
  <c r="Z9" i="1"/>
  <c r="Z10" i="1"/>
  <c r="Z11" i="1"/>
  <c r="Z12" i="1"/>
  <c r="AS12" i="1" s="1"/>
  <c r="Z13" i="1"/>
  <c r="AS13" i="1" s="1"/>
  <c r="Z14" i="1"/>
  <c r="AS14" i="1" s="1"/>
  <c r="Z15" i="1"/>
  <c r="AS15" i="1" s="1"/>
  <c r="Z16" i="1"/>
  <c r="AS16" i="1" s="1"/>
  <c r="Z17" i="1"/>
  <c r="AS17" i="1" s="1"/>
  <c r="Z18" i="1"/>
  <c r="AS18" i="1" s="1"/>
  <c r="Z19" i="1"/>
  <c r="AS19" i="1" s="1"/>
  <c r="Z20" i="1"/>
  <c r="AS20" i="1" s="1"/>
  <c r="Z21" i="1"/>
  <c r="AS21" i="1" s="1"/>
  <c r="Z22" i="1"/>
  <c r="AS22" i="1" s="1"/>
  <c r="Z23" i="1"/>
  <c r="Z24" i="1"/>
  <c r="Z25" i="1"/>
  <c r="AS25" i="1" s="1"/>
  <c r="Z26" i="1"/>
  <c r="Z27" i="1"/>
  <c r="Z28" i="1"/>
  <c r="Z29" i="1"/>
  <c r="Z30" i="1"/>
  <c r="Z31" i="1"/>
  <c r="Z32" i="1"/>
  <c r="Z39" i="1"/>
  <c r="Z40" i="1"/>
  <c r="Z41" i="1"/>
  <c r="Z42" i="1"/>
  <c r="Z43" i="1"/>
  <c r="Z44" i="1"/>
  <c r="Z53" i="1"/>
  <c r="Z54" i="1"/>
  <c r="Z55" i="1"/>
  <c r="Z56" i="1"/>
  <c r="Z57" i="1"/>
  <c r="Z58" i="1"/>
  <c r="Z59" i="1"/>
  <c r="Z60" i="1"/>
  <c r="Z61" i="1"/>
  <c r="Z62" i="1"/>
  <c r="Z63" i="1"/>
  <c r="Z64" i="1"/>
  <c r="Z65" i="1"/>
  <c r="Z66" i="1"/>
  <c r="Z67" i="1"/>
  <c r="Z68" i="1"/>
  <c r="Z69" i="1"/>
  <c r="Z70" i="1"/>
  <c r="Z71" i="1"/>
  <c r="AS71" i="1" s="1"/>
  <c r="Z72" i="1"/>
  <c r="AS72" i="1" s="1"/>
  <c r="Z73" i="1"/>
  <c r="Z74" i="1"/>
  <c r="AS74" i="1" s="1"/>
  <c r="Z75" i="1"/>
  <c r="AS75" i="1" s="1"/>
  <c r="Z76" i="1"/>
  <c r="Z77" i="1"/>
  <c r="Z78" i="1"/>
  <c r="AS78" i="1" s="1"/>
  <c r="Z79" i="1"/>
  <c r="AS79" i="1" s="1"/>
  <c r="Z80" i="1"/>
  <c r="AS80" i="1" s="1"/>
  <c r="Z81" i="1"/>
  <c r="Z82" i="1"/>
  <c r="Z83" i="1"/>
  <c r="AS83" i="1" s="1"/>
  <c r="Z84" i="1"/>
  <c r="Z85" i="1"/>
  <c r="Z86" i="1"/>
  <c r="Z3" i="1"/>
  <c r="AS3" i="1" s="1"/>
  <c r="AR7" i="1"/>
  <c r="AR8" i="1"/>
  <c r="AR9" i="1"/>
  <c r="AR10" i="1"/>
  <c r="AR27" i="1"/>
  <c r="AR28" i="1"/>
  <c r="AR29" i="1"/>
  <c r="AR30" i="1"/>
  <c r="AR31" i="1"/>
  <c r="AR32" i="1"/>
  <c r="AR39" i="1"/>
  <c r="AR40" i="1"/>
  <c r="AR41" i="1"/>
  <c r="AR42" i="1"/>
  <c r="AR43" i="1"/>
  <c r="AR44" i="1"/>
  <c r="AS49" i="1"/>
  <c r="AR53" i="1"/>
  <c r="AR54" i="1"/>
  <c r="AR55" i="1"/>
  <c r="AR56" i="1"/>
  <c r="AR57" i="1"/>
  <c r="AR58" i="1"/>
  <c r="AR59" i="1"/>
  <c r="AR60" i="1"/>
  <c r="AR61" i="1"/>
  <c r="AR62" i="1"/>
  <c r="AR63" i="1"/>
  <c r="AR64" i="1"/>
  <c r="AR65" i="1"/>
  <c r="AR66" i="1"/>
  <c r="AR67" i="1"/>
  <c r="AR68" i="1"/>
  <c r="AR69" i="1"/>
  <c r="AR70" i="1"/>
  <c r="AN49" i="1"/>
  <c r="U52" i="1"/>
  <c r="AN52" i="1" s="1"/>
  <c r="AN53" i="1"/>
  <c r="AN57" i="1"/>
  <c r="AN60" i="1"/>
  <c r="AN71" i="1"/>
  <c r="AN85" i="1"/>
  <c r="U39" i="1"/>
  <c r="AN39" i="1" s="1"/>
  <c r="U41" i="1"/>
  <c r="AN41" i="1" s="1"/>
  <c r="U29" i="1"/>
  <c r="U32" i="1"/>
  <c r="AN32" i="1" s="1"/>
  <c r="C5" i="2"/>
  <c r="C4" i="2"/>
  <c r="C3" i="2"/>
  <c r="AF71" i="1"/>
  <c r="AF72" i="1"/>
  <c r="AF73" i="1"/>
  <c r="AF74" i="1"/>
  <c r="AF75" i="1"/>
  <c r="AF76" i="1"/>
  <c r="AF77" i="1"/>
  <c r="AF78" i="1"/>
  <c r="AF79" i="1"/>
  <c r="AF80" i="1"/>
  <c r="AF81" i="1"/>
  <c r="AF82" i="1"/>
  <c r="AF83" i="1"/>
  <c r="AF84" i="1"/>
  <c r="AF85" i="1"/>
  <c r="AF86" i="1"/>
  <c r="AH62" i="1"/>
  <c r="AH32" i="1"/>
  <c r="AC27" i="1"/>
  <c r="AP27" i="1" s="1"/>
  <c r="AC28" i="1"/>
  <c r="AP28" i="1" s="1"/>
  <c r="AC29" i="1"/>
  <c r="AP29" i="1" s="1"/>
  <c r="AC30" i="1"/>
  <c r="AP30" i="1" s="1"/>
  <c r="AC31" i="1"/>
  <c r="AP31" i="1" s="1"/>
  <c r="AC32" i="1"/>
  <c r="AP32" i="1" s="1"/>
  <c r="AC39" i="1"/>
  <c r="AP39" i="1" s="1"/>
  <c r="AC40" i="1"/>
  <c r="AP40" i="1" s="1"/>
  <c r="AC41" i="1"/>
  <c r="AP41" i="1" s="1"/>
  <c r="AC42" i="1"/>
  <c r="AP42" i="1" s="1"/>
  <c r="AC43" i="1"/>
  <c r="AP43" i="1" s="1"/>
  <c r="AC44" i="1"/>
  <c r="AP44" i="1" s="1"/>
  <c r="AC53" i="1"/>
  <c r="AC54" i="1"/>
  <c r="AP54" i="1" s="1"/>
  <c r="AC55" i="1"/>
  <c r="AP55" i="1" s="1"/>
  <c r="AC56" i="1"/>
  <c r="AP56" i="1" s="1"/>
  <c r="AC57" i="1"/>
  <c r="AP57" i="1" s="1"/>
  <c r="AC58" i="1"/>
  <c r="AP58" i="1" s="1"/>
  <c r="AC59" i="1"/>
  <c r="AP59" i="1" s="1"/>
  <c r="AC60" i="1"/>
  <c r="AP60" i="1" s="1"/>
  <c r="AC61" i="1"/>
  <c r="AC62" i="1"/>
  <c r="AP62" i="1" s="1"/>
  <c r="AC63" i="1"/>
  <c r="AP63" i="1" s="1"/>
  <c r="AC64" i="1"/>
  <c r="AP64" i="1" s="1"/>
  <c r="AC65" i="1"/>
  <c r="AP65" i="1" s="1"/>
  <c r="AC66" i="1"/>
  <c r="AP66" i="1" s="1"/>
  <c r="AC67" i="1"/>
  <c r="AP67" i="1" s="1"/>
  <c r="AC68" i="1"/>
  <c r="AC69" i="1"/>
  <c r="AP69" i="1" s="1"/>
  <c r="AC70" i="1"/>
  <c r="AP70" i="1" s="1"/>
  <c r="AA86" i="1"/>
  <c r="AB86" i="1" s="1"/>
  <c r="AC86" i="1" s="1"/>
  <c r="AA85" i="1"/>
  <c r="AB85" i="1" s="1"/>
  <c r="AA84" i="1"/>
  <c r="AB84" i="1" s="1"/>
  <c r="AC84" i="1" s="1"/>
  <c r="AA83" i="1"/>
  <c r="AB83" i="1" s="1"/>
  <c r="AA82" i="1"/>
  <c r="AB82" i="1" s="1"/>
  <c r="AC82" i="1" s="1"/>
  <c r="AA81" i="1"/>
  <c r="AB81" i="1" s="1"/>
  <c r="AA80" i="1"/>
  <c r="AB80" i="1" s="1"/>
  <c r="AC80" i="1" s="1"/>
  <c r="AP80" i="1" s="1"/>
  <c r="AA79" i="1"/>
  <c r="AB79" i="1" s="1"/>
  <c r="AA78" i="1"/>
  <c r="AB78" i="1" s="1"/>
  <c r="AC78" i="1" s="1"/>
  <c r="AA77" i="1"/>
  <c r="AB77" i="1" s="1"/>
  <c r="AA76" i="1"/>
  <c r="AB76" i="1" s="1"/>
  <c r="AA75" i="1"/>
  <c r="AB75" i="1" s="1"/>
  <c r="AA74" i="1"/>
  <c r="AB74" i="1" s="1"/>
  <c r="AC74" i="1" s="1"/>
  <c r="AA73" i="1"/>
  <c r="AB73" i="1" s="1"/>
  <c r="AA72" i="1"/>
  <c r="AB72" i="1" s="1"/>
  <c r="AA71" i="1"/>
  <c r="AB71" i="1" s="1"/>
  <c r="AA52" i="1"/>
  <c r="AB52" i="1" s="1"/>
  <c r="AC52" i="1" s="1"/>
  <c r="AA51" i="1"/>
  <c r="AB51" i="1" s="1"/>
  <c r="AC51" i="1" s="1"/>
  <c r="AA50" i="1"/>
  <c r="AB50" i="1" s="1"/>
  <c r="AC50" i="1" s="1"/>
  <c r="AP50" i="1" s="1"/>
  <c r="AA49" i="1"/>
  <c r="AB49" i="1" s="1"/>
  <c r="AC49" i="1" s="1"/>
  <c r="AP49" i="1" s="1"/>
  <c r="AA26" i="1"/>
  <c r="AC26" i="1" s="1"/>
  <c r="AP26" i="1" s="1"/>
  <c r="AA25" i="1"/>
  <c r="AC25" i="1" s="1"/>
  <c r="AA24" i="1"/>
  <c r="AC24" i="1" s="1"/>
  <c r="AA23" i="1"/>
  <c r="AC23" i="1" s="1"/>
  <c r="AA22" i="1"/>
  <c r="AB22" i="1" s="1"/>
  <c r="AA21" i="1"/>
  <c r="AB21" i="1" s="1"/>
  <c r="AC21" i="1" s="1"/>
  <c r="AA20" i="1"/>
  <c r="AB20" i="1" s="1"/>
  <c r="AC20" i="1" s="1"/>
  <c r="AP20" i="1" s="1"/>
  <c r="AA19" i="1"/>
  <c r="AB19" i="1" s="1"/>
  <c r="AA18" i="1"/>
  <c r="AB18" i="1" s="1"/>
  <c r="AA17" i="1"/>
  <c r="AB17" i="1" s="1"/>
  <c r="AA16" i="1"/>
  <c r="AB16" i="1" s="1"/>
  <c r="AC16" i="1" s="1"/>
  <c r="AA15" i="1"/>
  <c r="AB15" i="1" s="1"/>
  <c r="AA14" i="1"/>
  <c r="AB14" i="1" s="1"/>
  <c r="AC14" i="1" s="1"/>
  <c r="AA13" i="1"/>
  <c r="AB13" i="1" s="1"/>
  <c r="AC13" i="1" s="1"/>
  <c r="AA12" i="1"/>
  <c r="AB12" i="1" s="1"/>
  <c r="AA11" i="1"/>
  <c r="AB11" i="1" s="1"/>
  <c r="AC11" i="1" s="1"/>
  <c r="AA10" i="1"/>
  <c r="AB10" i="1" s="1"/>
  <c r="AC10" i="1" s="1"/>
  <c r="AA9" i="1"/>
  <c r="AB9" i="1" s="1"/>
  <c r="AC9" i="1" s="1"/>
  <c r="AA8" i="1"/>
  <c r="AB8" i="1" s="1"/>
  <c r="AC8" i="1" s="1"/>
  <c r="AA7" i="1"/>
  <c r="AB7" i="1" s="1"/>
  <c r="AC7" i="1" s="1"/>
  <c r="AA6" i="1"/>
  <c r="AB6" i="1" s="1"/>
  <c r="AA5" i="1"/>
  <c r="AB5" i="1" s="1"/>
  <c r="AA4" i="1"/>
  <c r="AB4" i="1" s="1"/>
  <c r="AA3" i="1"/>
  <c r="U4" i="1"/>
  <c r="AN4" i="1" s="1"/>
  <c r="U5" i="1"/>
  <c r="AN5" i="1" s="1"/>
  <c r="U6" i="1"/>
  <c r="AN6" i="1" s="1"/>
  <c r="U7" i="1"/>
  <c r="AN7" i="1" s="1"/>
  <c r="U8" i="1"/>
  <c r="AN8" i="1" s="1"/>
  <c r="U9" i="1"/>
  <c r="AN9" i="1" s="1"/>
  <c r="U10" i="1"/>
  <c r="AN10" i="1" s="1"/>
  <c r="U11" i="1"/>
  <c r="U12" i="1"/>
  <c r="AN12" i="1" s="1"/>
  <c r="U13" i="1"/>
  <c r="AN13" i="1" s="1"/>
  <c r="U14" i="1"/>
  <c r="AN14" i="1" s="1"/>
  <c r="U15" i="1"/>
  <c r="U16" i="1"/>
  <c r="AN16" i="1" s="1"/>
  <c r="U17" i="1"/>
  <c r="AN17" i="1" s="1"/>
  <c r="U18" i="1"/>
  <c r="AN18" i="1" s="1"/>
  <c r="U19" i="1"/>
  <c r="AN19" i="1" s="1"/>
  <c r="U20" i="1"/>
  <c r="AN20" i="1" s="1"/>
  <c r="U21" i="1"/>
  <c r="AN21" i="1" s="1"/>
  <c r="U22" i="1"/>
  <c r="AN22" i="1" s="1"/>
  <c r="U23" i="1"/>
  <c r="AN23" i="1" s="1"/>
  <c r="U24" i="1"/>
  <c r="AN24" i="1" s="1"/>
  <c r="U25" i="1"/>
  <c r="AN25" i="1" s="1"/>
  <c r="U26" i="1"/>
  <c r="AN26" i="1" s="1"/>
  <c r="U28" i="1"/>
  <c r="AN28" i="1" s="1"/>
  <c r="U30" i="1"/>
  <c r="AN30" i="1" s="1"/>
  <c r="U31" i="1"/>
  <c r="AN31" i="1" s="1"/>
  <c r="U40" i="1"/>
  <c r="AN40" i="1" s="1"/>
  <c r="U42" i="1"/>
  <c r="AN42" i="1"/>
  <c r="U43" i="1"/>
  <c r="U44" i="1"/>
  <c r="AN44" i="1" s="1"/>
  <c r="U50" i="1"/>
  <c r="U51" i="1"/>
  <c r="AN51" i="1" s="1"/>
  <c r="AN54" i="1"/>
  <c r="AN58" i="1"/>
  <c r="AN62" i="1"/>
  <c r="AN72" i="1"/>
  <c r="AN74" i="1"/>
  <c r="AN78" i="1"/>
  <c r="AN79" i="1"/>
  <c r="AN82" i="1"/>
  <c r="AN86" i="1"/>
  <c r="U3" i="1"/>
  <c r="AN3" i="1" s="1"/>
  <c r="L74" i="1"/>
  <c r="L73" i="1"/>
  <c r="L72" i="1"/>
  <c r="L71" i="1"/>
  <c r="AN81" i="1"/>
  <c r="L4" i="1"/>
  <c r="L5" i="1"/>
  <c r="L6" i="1"/>
  <c r="L7" i="1"/>
  <c r="L8" i="1"/>
  <c r="L9" i="1"/>
  <c r="L10" i="1"/>
  <c r="L11" i="1"/>
  <c r="L12" i="1"/>
  <c r="L13" i="1"/>
  <c r="L14" i="1"/>
  <c r="L15" i="1"/>
  <c r="L16" i="1"/>
  <c r="L17" i="1"/>
  <c r="L18" i="1"/>
  <c r="L19" i="1"/>
  <c r="L20" i="1"/>
  <c r="L21" i="1"/>
  <c r="L22" i="1"/>
  <c r="L23" i="1"/>
  <c r="AK23" i="1" s="1"/>
  <c r="L24" i="1"/>
  <c r="AK24" i="1" s="1"/>
  <c r="L25" i="1"/>
  <c r="AK25" i="1" s="1"/>
  <c r="L26" i="1"/>
  <c r="AK26" i="1" s="1"/>
  <c r="L27" i="1"/>
  <c r="L28" i="1"/>
  <c r="L29" i="1"/>
  <c r="L30" i="1"/>
  <c r="L31" i="1"/>
  <c r="L32" i="1"/>
  <c r="L39" i="1"/>
  <c r="L40" i="1"/>
  <c r="L41" i="1"/>
  <c r="L42" i="1"/>
  <c r="L43" i="1"/>
  <c r="L44" i="1"/>
  <c r="L49" i="1"/>
  <c r="L50" i="1"/>
  <c r="L51" i="1"/>
  <c r="L52" i="1"/>
  <c r="L53" i="1"/>
  <c r="L54" i="1"/>
  <c r="L55" i="1"/>
  <c r="L56" i="1"/>
  <c r="L57" i="1"/>
  <c r="L58" i="1"/>
  <c r="L59" i="1"/>
  <c r="L60" i="1"/>
  <c r="L61" i="1"/>
  <c r="L62" i="1"/>
  <c r="L63" i="1"/>
  <c r="L64" i="1"/>
  <c r="L65" i="1"/>
  <c r="L66" i="1"/>
  <c r="L67" i="1"/>
  <c r="L68" i="1"/>
  <c r="L69" i="1"/>
  <c r="L70" i="1"/>
  <c r="L75" i="1"/>
  <c r="L76" i="1"/>
  <c r="L77" i="1"/>
  <c r="L78" i="1"/>
  <c r="L79" i="1"/>
  <c r="L80" i="1"/>
  <c r="L81" i="1"/>
  <c r="L82" i="1"/>
  <c r="L83" i="1"/>
  <c r="L84" i="1"/>
  <c r="L85" i="1"/>
  <c r="L86" i="1"/>
  <c r="L3" i="1"/>
  <c r="U27" i="1"/>
  <c r="AN27" i="1" s="1"/>
  <c r="AN73" i="1"/>
  <c r="AN64" i="1"/>
  <c r="AG30" i="1"/>
  <c r="K214" i="7"/>
  <c r="K206" i="7"/>
  <c r="K198" i="7"/>
  <c r="K190" i="7"/>
  <c r="B489" i="16" s="1"/>
  <c r="K154" i="7"/>
  <c r="K146" i="7"/>
  <c r="K138" i="7"/>
  <c r="K205" i="7"/>
  <c r="K177" i="7"/>
  <c r="B567" i="14" s="1"/>
  <c r="K163" i="7"/>
  <c r="AG55" i="1"/>
  <c r="K145" i="7"/>
  <c r="K204" i="7"/>
  <c r="K196" i="7"/>
  <c r="K188" i="7"/>
  <c r="B335" i="16" s="1"/>
  <c r="K176" i="7"/>
  <c r="B490" i="14" s="1"/>
  <c r="K152" i="7"/>
  <c r="K203" i="7"/>
  <c r="K195" i="7"/>
  <c r="K187" i="7"/>
  <c r="K161" i="7"/>
  <c r="AG62" i="1"/>
  <c r="K151" i="7"/>
  <c r="K143" i="7"/>
  <c r="K202" i="7"/>
  <c r="K174" i="7"/>
  <c r="B336" i="14" s="1"/>
  <c r="K160" i="7"/>
  <c r="K150" i="7"/>
  <c r="K142" i="7"/>
  <c r="K209" i="7"/>
  <c r="K185" i="7"/>
  <c r="K159" i="7"/>
  <c r="K137" i="7"/>
  <c r="K141" i="7"/>
  <c r="K200" i="7"/>
  <c r="B336" i="18" s="1"/>
  <c r="K192" i="7"/>
  <c r="K184" i="7"/>
  <c r="K166" i="7"/>
  <c r="K215" i="7"/>
  <c r="K207" i="7"/>
  <c r="K199" i="7"/>
  <c r="K191" i="7"/>
  <c r="B566" i="16" s="1"/>
  <c r="K165" i="7"/>
  <c r="AH30" i="1"/>
  <c r="AH55" i="1"/>
  <c r="AH43" i="1"/>
  <c r="B199" i="6"/>
  <c r="B17" i="6"/>
  <c r="B189" i="6"/>
  <c r="B15" i="6"/>
  <c r="B27" i="6"/>
  <c r="AT60" i="1"/>
  <c r="AG59" i="1"/>
  <c r="AN11" i="1"/>
  <c r="AU55" i="1"/>
  <c r="AU42" i="1"/>
  <c r="AU31" i="1"/>
  <c r="AT59" i="1"/>
  <c r="AT66" i="1"/>
  <c r="AU66" i="1"/>
  <c r="AS77" i="1"/>
  <c r="AT56" i="1"/>
  <c r="AU56" i="1"/>
  <c r="AT65" i="1"/>
  <c r="AU65" i="1"/>
  <c r="AU53" i="1"/>
  <c r="AT53" i="1"/>
  <c r="AT55" i="1"/>
  <c r="AT57" i="1"/>
  <c r="AU57" i="1"/>
  <c r="AT54" i="1"/>
  <c r="AS51" i="1"/>
  <c r="AU58" i="1"/>
  <c r="AT58" i="1"/>
  <c r="C189" i="7"/>
  <c r="V55" i="1"/>
  <c r="AO55" i="1" s="1"/>
  <c r="AN61" i="1"/>
  <c r="AN67" i="1"/>
  <c r="AO67" i="1"/>
  <c r="AX64" i="1"/>
  <c r="BF64" i="1"/>
  <c r="BN64" i="1"/>
  <c r="BV64" i="1"/>
  <c r="CD64" i="1"/>
  <c r="AY64" i="1"/>
  <c r="BG64" i="1"/>
  <c r="BO64" i="1"/>
  <c r="BW64" i="1"/>
  <c r="CE64" i="1"/>
  <c r="AZ64" i="1"/>
  <c r="BH64" i="1"/>
  <c r="BP64" i="1"/>
  <c r="BX64" i="1"/>
  <c r="CF64" i="1"/>
  <c r="BA64" i="1"/>
  <c r="BI64" i="1"/>
  <c r="BQ64" i="1"/>
  <c r="BY64" i="1"/>
  <c r="CG64" i="1"/>
  <c r="BC64" i="1"/>
  <c r="BK64" i="1"/>
  <c r="BS64" i="1"/>
  <c r="CA64" i="1"/>
  <c r="BE64" i="1"/>
  <c r="CB64" i="1"/>
  <c r="BJ64" i="1"/>
  <c r="CC64" i="1"/>
  <c r="BL64" i="1"/>
  <c r="CH64" i="1"/>
  <c r="BM64" i="1"/>
  <c r="AV64" i="1"/>
  <c r="BR64" i="1"/>
  <c r="AW64" i="1"/>
  <c r="BT64" i="1"/>
  <c r="BB64" i="1"/>
  <c r="BU64" i="1"/>
  <c r="BD64" i="1"/>
  <c r="BZ64" i="1"/>
  <c r="AT64" i="1"/>
  <c r="AU64" i="1"/>
  <c r="AW63" i="1"/>
  <c r="BE63" i="1"/>
  <c r="BM63" i="1"/>
  <c r="BU63" i="1"/>
  <c r="CC63" i="1"/>
  <c r="AX63" i="1"/>
  <c r="BF63" i="1"/>
  <c r="BN63" i="1"/>
  <c r="BV63" i="1"/>
  <c r="CD63" i="1"/>
  <c r="AY63" i="1"/>
  <c r="BG63" i="1"/>
  <c r="BO63" i="1"/>
  <c r="BW63" i="1"/>
  <c r="CE63" i="1"/>
  <c r="AZ63" i="1"/>
  <c r="BH63" i="1"/>
  <c r="BP63" i="1"/>
  <c r="BX63" i="1"/>
  <c r="CF63" i="1"/>
  <c r="BB63" i="1"/>
  <c r="BJ63" i="1"/>
  <c r="BR63" i="1"/>
  <c r="BZ63" i="1"/>
  <c r="CH63" i="1"/>
  <c r="BC63" i="1"/>
  <c r="BY63" i="1"/>
  <c r="BD63" i="1"/>
  <c r="CA63" i="1"/>
  <c r="BI63" i="1"/>
  <c r="CB63" i="1"/>
  <c r="BK63" i="1"/>
  <c r="CG63" i="1"/>
  <c r="BL63" i="1"/>
  <c r="BQ63" i="1"/>
  <c r="AV63" i="1"/>
  <c r="BS63" i="1"/>
  <c r="BA63" i="1"/>
  <c r="BT63" i="1"/>
  <c r="AX57" i="1"/>
  <c r="BF57" i="1"/>
  <c r="BN57" i="1"/>
  <c r="BV57" i="1"/>
  <c r="CD57" i="1"/>
  <c r="AY57" i="1"/>
  <c r="BG57" i="1"/>
  <c r="BO57" i="1"/>
  <c r="BW57" i="1"/>
  <c r="CE57" i="1"/>
  <c r="BA57" i="1"/>
  <c r="BI57" i="1"/>
  <c r="BQ57" i="1"/>
  <c r="BY57" i="1"/>
  <c r="CG57" i="1"/>
  <c r="BB57" i="1"/>
  <c r="BJ57" i="1"/>
  <c r="BR57" i="1"/>
  <c r="BZ57" i="1"/>
  <c r="CH57" i="1"/>
  <c r="BC57" i="1"/>
  <c r="BK57" i="1"/>
  <c r="BS57" i="1"/>
  <c r="CA57" i="1"/>
  <c r="AV57" i="1"/>
  <c r="BD57" i="1"/>
  <c r="BL57" i="1"/>
  <c r="BT57" i="1"/>
  <c r="CB57" i="1"/>
  <c r="AW57" i="1"/>
  <c r="BE57" i="1"/>
  <c r="BM57" i="1"/>
  <c r="BU57" i="1"/>
  <c r="CC57" i="1"/>
  <c r="AZ57" i="1"/>
  <c r="BH57" i="1"/>
  <c r="BP57" i="1"/>
  <c r="BX57" i="1"/>
  <c r="CF57" i="1"/>
  <c r="BC54" i="1"/>
  <c r="BK54" i="1"/>
  <c r="BS54" i="1"/>
  <c r="CA54" i="1"/>
  <c r="AV54" i="1"/>
  <c r="BD54" i="1"/>
  <c r="BL54" i="1"/>
  <c r="BT54" i="1"/>
  <c r="CB54" i="1"/>
  <c r="AX54" i="1"/>
  <c r="BF54" i="1"/>
  <c r="BN54" i="1"/>
  <c r="BV54" i="1"/>
  <c r="CD54" i="1"/>
  <c r="AY54" i="1"/>
  <c r="BG54" i="1"/>
  <c r="BO54" i="1"/>
  <c r="BW54" i="1"/>
  <c r="CE54" i="1"/>
  <c r="AZ54" i="1"/>
  <c r="BH54" i="1"/>
  <c r="BP54" i="1"/>
  <c r="BX54" i="1"/>
  <c r="CF54" i="1"/>
  <c r="BA54" i="1"/>
  <c r="BI54" i="1"/>
  <c r="BQ54" i="1"/>
  <c r="BY54" i="1"/>
  <c r="CG54" i="1"/>
  <c r="BB54" i="1"/>
  <c r="BJ54" i="1"/>
  <c r="BR54" i="1"/>
  <c r="BZ54" i="1"/>
  <c r="CH54" i="1"/>
  <c r="AW54" i="1"/>
  <c r="BE54" i="1"/>
  <c r="BM54" i="1"/>
  <c r="BU54" i="1"/>
  <c r="CC54" i="1"/>
  <c r="AY58" i="1"/>
  <c r="BG58" i="1"/>
  <c r="BO58" i="1"/>
  <c r="BW58" i="1"/>
  <c r="CE58" i="1"/>
  <c r="AZ58" i="1"/>
  <c r="BH58" i="1"/>
  <c r="BP58" i="1"/>
  <c r="BX58" i="1"/>
  <c r="CF58" i="1"/>
  <c r="BB58" i="1"/>
  <c r="BJ58" i="1"/>
  <c r="BR58" i="1"/>
  <c r="BZ58" i="1"/>
  <c r="CH58" i="1"/>
  <c r="BC58" i="1"/>
  <c r="BK58" i="1"/>
  <c r="BS58" i="1"/>
  <c r="CA58" i="1"/>
  <c r="AV58" i="1"/>
  <c r="BD58" i="1"/>
  <c r="BL58" i="1"/>
  <c r="BT58" i="1"/>
  <c r="CB58" i="1"/>
  <c r="AW58" i="1"/>
  <c r="BE58" i="1"/>
  <c r="BM58" i="1"/>
  <c r="BU58" i="1"/>
  <c r="CC58" i="1"/>
  <c r="AX58" i="1"/>
  <c r="BF58" i="1"/>
  <c r="BN58" i="1"/>
  <c r="BV58" i="1"/>
  <c r="CD58" i="1"/>
  <c r="BI58" i="1"/>
  <c r="BQ58" i="1"/>
  <c r="BY58" i="1"/>
  <c r="CG58" i="1"/>
  <c r="BA58" i="1"/>
  <c r="BB65" i="1"/>
  <c r="BJ65" i="1"/>
  <c r="BR65" i="1"/>
  <c r="BZ65" i="1"/>
  <c r="CH65" i="1"/>
  <c r="BC65" i="1"/>
  <c r="BK65" i="1"/>
  <c r="BS65" i="1"/>
  <c r="CA65" i="1"/>
  <c r="AV65" i="1"/>
  <c r="BD65" i="1"/>
  <c r="BL65" i="1"/>
  <c r="BT65" i="1"/>
  <c r="CB65" i="1"/>
  <c r="AW65" i="1"/>
  <c r="BE65" i="1"/>
  <c r="BM65" i="1"/>
  <c r="BU65" i="1"/>
  <c r="CC65" i="1"/>
  <c r="AX65" i="1"/>
  <c r="BF65" i="1"/>
  <c r="BN65" i="1"/>
  <c r="BV65" i="1"/>
  <c r="CD65" i="1"/>
  <c r="AY65" i="1"/>
  <c r="BG65" i="1"/>
  <c r="BO65" i="1"/>
  <c r="BW65" i="1"/>
  <c r="CE65" i="1"/>
  <c r="BA65" i="1"/>
  <c r="BI65" i="1"/>
  <c r="BQ65" i="1"/>
  <c r="BY65" i="1"/>
  <c r="CG65" i="1"/>
  <c r="AZ65" i="1"/>
  <c r="BH65" i="1"/>
  <c r="BP65" i="1"/>
  <c r="BX65" i="1"/>
  <c r="CF65" i="1"/>
  <c r="AP86" i="1"/>
  <c r="BB53" i="1"/>
  <c r="BC53" i="1"/>
  <c r="BD53" i="1"/>
  <c r="BF53" i="1"/>
  <c r="BN53" i="1"/>
  <c r="BV53" i="1"/>
  <c r="CD53" i="1"/>
  <c r="BG53" i="1"/>
  <c r="BO53" i="1"/>
  <c r="BW53" i="1"/>
  <c r="CE53" i="1"/>
  <c r="AW53" i="1"/>
  <c r="BH53" i="1"/>
  <c r="BP53" i="1"/>
  <c r="BX53" i="1"/>
  <c r="CF53" i="1"/>
  <c r="BE53" i="1"/>
  <c r="AX53" i="1"/>
  <c r="BI53" i="1"/>
  <c r="BQ53" i="1"/>
  <c r="BY53" i="1"/>
  <c r="CG53" i="1"/>
  <c r="BM53" i="1"/>
  <c r="AY53" i="1"/>
  <c r="BJ53" i="1"/>
  <c r="BR53" i="1"/>
  <c r="BZ53" i="1"/>
  <c r="CH53" i="1"/>
  <c r="BU53" i="1"/>
  <c r="AZ53" i="1"/>
  <c r="BK53" i="1"/>
  <c r="BS53" i="1"/>
  <c r="CA53" i="1"/>
  <c r="AV53" i="1"/>
  <c r="BA53" i="1"/>
  <c r="BL53" i="1"/>
  <c r="BT53" i="1"/>
  <c r="CB53" i="1"/>
  <c r="CC53" i="1"/>
  <c r="AC6" i="1"/>
  <c r="AP6" i="1" s="1"/>
  <c r="AC15" i="1"/>
  <c r="P15" i="1" s="1"/>
  <c r="AP78" i="1"/>
  <c r="BA42" i="1"/>
  <c r="BI42" i="1"/>
  <c r="BQ42" i="1"/>
  <c r="BY42" i="1"/>
  <c r="CG42" i="1"/>
  <c r="BB42" i="1"/>
  <c r="BJ42" i="1"/>
  <c r="BR42" i="1"/>
  <c r="BZ42" i="1"/>
  <c r="CH42" i="1"/>
  <c r="BC42" i="1"/>
  <c r="BK42" i="1"/>
  <c r="BS42" i="1"/>
  <c r="CA42" i="1"/>
  <c r="AZ42" i="1"/>
  <c r="AV42" i="1"/>
  <c r="BD42" i="1"/>
  <c r="BL42" i="1"/>
  <c r="BT42" i="1"/>
  <c r="CB42" i="1"/>
  <c r="BP42" i="1"/>
  <c r="AW42" i="1"/>
  <c r="BE42" i="1"/>
  <c r="BM42" i="1"/>
  <c r="BU42" i="1"/>
  <c r="CC42" i="1"/>
  <c r="BX42" i="1"/>
  <c r="AX42" i="1"/>
  <c r="BF42" i="1"/>
  <c r="BN42" i="1"/>
  <c r="BV42" i="1"/>
  <c r="CD42" i="1"/>
  <c r="BH42" i="1"/>
  <c r="AY42" i="1"/>
  <c r="BG42" i="1"/>
  <c r="BO42" i="1"/>
  <c r="BW42" i="1"/>
  <c r="CE42" i="1"/>
  <c r="CF42" i="1"/>
  <c r="AZ32" i="1"/>
  <c r="BH32" i="1"/>
  <c r="BP32" i="1"/>
  <c r="BX32" i="1"/>
  <c r="CF32" i="1"/>
  <c r="BJ32" i="1"/>
  <c r="BR32" i="1"/>
  <c r="BZ32" i="1"/>
  <c r="CH32" i="1"/>
  <c r="BC32" i="1"/>
  <c r="BS32" i="1"/>
  <c r="CA32" i="1"/>
  <c r="AV32" i="1"/>
  <c r="BD32" i="1"/>
  <c r="BL32" i="1"/>
  <c r="BT32" i="1"/>
  <c r="CB32" i="1"/>
  <c r="AW32" i="1"/>
  <c r="BE32" i="1"/>
  <c r="BM32" i="1"/>
  <c r="BU32" i="1"/>
  <c r="CC32" i="1"/>
  <c r="AX32" i="1"/>
  <c r="BF32" i="1"/>
  <c r="BN32" i="1"/>
  <c r="BV32" i="1"/>
  <c r="CD32" i="1"/>
  <c r="AY32" i="1"/>
  <c r="CE32" i="1"/>
  <c r="BA32" i="1"/>
  <c r="CG32" i="1"/>
  <c r="BG32" i="1"/>
  <c r="BW32" i="1"/>
  <c r="BI32" i="1"/>
  <c r="BO32" i="1"/>
  <c r="BQ32" i="1"/>
  <c r="BY32" i="1"/>
  <c r="AV28" i="1"/>
  <c r="BD28" i="1"/>
  <c r="BL28" i="1"/>
  <c r="BT28" i="1"/>
  <c r="CB28" i="1"/>
  <c r="BE28" i="1"/>
  <c r="BU28" i="1"/>
  <c r="AW28" i="1"/>
  <c r="BM28" i="1"/>
  <c r="CC28" i="1"/>
  <c r="AX28" i="1"/>
  <c r="BF28" i="1"/>
  <c r="BN28" i="1"/>
  <c r="BV28" i="1"/>
  <c r="CD28" i="1"/>
  <c r="AY28" i="1"/>
  <c r="BG28" i="1"/>
  <c r="BO28" i="1"/>
  <c r="BW28" i="1"/>
  <c r="CE28" i="1"/>
  <c r="AZ28" i="1"/>
  <c r="BH28" i="1"/>
  <c r="BP28" i="1"/>
  <c r="BX28" i="1"/>
  <c r="CF28" i="1"/>
  <c r="BA28" i="1"/>
  <c r="BI28" i="1"/>
  <c r="BQ28" i="1"/>
  <c r="BY28" i="1"/>
  <c r="CG28" i="1"/>
  <c r="BB28" i="1"/>
  <c r="BJ28" i="1"/>
  <c r="BR28" i="1"/>
  <c r="BZ28" i="1"/>
  <c r="CH28" i="1"/>
  <c r="BC28" i="1"/>
  <c r="BK28" i="1"/>
  <c r="CA28" i="1"/>
  <c r="BS28" i="1"/>
  <c r="AU59" i="1"/>
  <c r="AY59" i="1"/>
  <c r="BG59" i="1"/>
  <c r="BB59" i="1"/>
  <c r="BK59" i="1"/>
  <c r="BS59" i="1"/>
  <c r="CA59" i="1"/>
  <c r="AV59" i="1"/>
  <c r="BC59" i="1"/>
  <c r="BL59" i="1"/>
  <c r="BT59" i="1"/>
  <c r="CB59" i="1"/>
  <c r="BE59" i="1"/>
  <c r="BN59" i="1"/>
  <c r="BV59" i="1"/>
  <c r="CD59" i="1"/>
  <c r="AW59" i="1"/>
  <c r="BF59" i="1"/>
  <c r="BO59" i="1"/>
  <c r="BW59" i="1"/>
  <c r="CE59" i="1"/>
  <c r="AX59" i="1"/>
  <c r="BH59" i="1"/>
  <c r="BP59" i="1"/>
  <c r="BX59" i="1"/>
  <c r="CF59" i="1"/>
  <c r="AZ59" i="1"/>
  <c r="BI59" i="1"/>
  <c r="BQ59" i="1"/>
  <c r="BY59" i="1"/>
  <c r="CG59" i="1"/>
  <c r="BA59" i="1"/>
  <c r="BJ59" i="1"/>
  <c r="BR59" i="1"/>
  <c r="BZ59" i="1"/>
  <c r="CH59" i="1"/>
  <c r="BM59" i="1"/>
  <c r="BU59" i="1"/>
  <c r="CC59" i="1"/>
  <c r="BD59" i="1"/>
  <c r="AZ41" i="1"/>
  <c r="BH41" i="1"/>
  <c r="BP41" i="1"/>
  <c r="BX41" i="1"/>
  <c r="CF41" i="1"/>
  <c r="BA41" i="1"/>
  <c r="BI41" i="1"/>
  <c r="BQ41" i="1"/>
  <c r="BY41" i="1"/>
  <c r="CG41" i="1"/>
  <c r="BB41" i="1"/>
  <c r="BJ41" i="1"/>
  <c r="BR41" i="1"/>
  <c r="BZ41" i="1"/>
  <c r="CH41" i="1"/>
  <c r="AY41" i="1"/>
  <c r="BC41" i="1"/>
  <c r="BK41" i="1"/>
  <c r="BS41" i="1"/>
  <c r="CA41" i="1"/>
  <c r="BO41" i="1"/>
  <c r="AV41" i="1"/>
  <c r="BD41" i="1"/>
  <c r="BL41" i="1"/>
  <c r="BT41" i="1"/>
  <c r="CB41" i="1"/>
  <c r="BW41" i="1"/>
  <c r="AW41" i="1"/>
  <c r="BE41" i="1"/>
  <c r="BM41" i="1"/>
  <c r="BU41" i="1"/>
  <c r="CC41" i="1"/>
  <c r="BG41" i="1"/>
  <c r="AX41" i="1"/>
  <c r="BF41" i="1"/>
  <c r="BN41" i="1"/>
  <c r="BV41" i="1"/>
  <c r="CD41" i="1"/>
  <c r="CE41" i="1"/>
  <c r="AY31" i="1"/>
  <c r="BG31" i="1"/>
  <c r="BO31" i="1"/>
  <c r="BW31" i="1"/>
  <c r="CE31" i="1"/>
  <c r="AZ31" i="1"/>
  <c r="BP31" i="1"/>
  <c r="BH31" i="1"/>
  <c r="BA31" i="1"/>
  <c r="BI31" i="1"/>
  <c r="BQ31" i="1"/>
  <c r="BY31" i="1"/>
  <c r="CG31" i="1"/>
  <c r="BB31" i="1"/>
  <c r="BJ31" i="1"/>
  <c r="BR31" i="1"/>
  <c r="BZ31" i="1"/>
  <c r="CH31" i="1"/>
  <c r="BC31" i="1"/>
  <c r="BK31" i="1"/>
  <c r="BS31" i="1"/>
  <c r="CA31" i="1"/>
  <c r="AV31" i="1"/>
  <c r="BD31" i="1"/>
  <c r="BL31" i="1"/>
  <c r="BT31" i="1"/>
  <c r="CB31" i="1"/>
  <c r="AW31" i="1"/>
  <c r="BE31" i="1"/>
  <c r="BM31" i="1"/>
  <c r="BU31" i="1"/>
  <c r="CC31" i="1"/>
  <c r="AX31" i="1"/>
  <c r="BF31" i="1"/>
  <c r="BN31" i="1"/>
  <c r="CD31" i="1"/>
  <c r="BV31" i="1"/>
  <c r="BX31" i="1"/>
  <c r="CF31" i="1"/>
  <c r="BB27" i="1"/>
  <c r="BJ27" i="1"/>
  <c r="BR27" i="1"/>
  <c r="BZ27" i="1"/>
  <c r="CH27" i="1"/>
  <c r="BD27" i="1"/>
  <c r="BL27" i="1"/>
  <c r="BT27" i="1"/>
  <c r="CB27" i="1"/>
  <c r="AW27" i="1"/>
  <c r="BE27" i="1"/>
  <c r="BM27" i="1"/>
  <c r="BU27" i="1"/>
  <c r="CC27" i="1"/>
  <c r="BN27" i="1"/>
  <c r="BV27" i="1"/>
  <c r="AX27" i="1"/>
  <c r="BF27" i="1"/>
  <c r="CD27" i="1"/>
  <c r="AY27" i="1"/>
  <c r="BG27" i="1"/>
  <c r="BO27" i="1"/>
  <c r="BW27" i="1"/>
  <c r="CE27" i="1"/>
  <c r="AZ27" i="1"/>
  <c r="BH27" i="1"/>
  <c r="BP27" i="1"/>
  <c r="BX27" i="1"/>
  <c r="CF27" i="1"/>
  <c r="CA27" i="1"/>
  <c r="BA27" i="1"/>
  <c r="CG27" i="1"/>
  <c r="BC27" i="1"/>
  <c r="AV27" i="1"/>
  <c r="BI27" i="1"/>
  <c r="BK27" i="1"/>
  <c r="BS27" i="1"/>
  <c r="BY27" i="1"/>
  <c r="BQ27" i="1"/>
  <c r="P40" i="1"/>
  <c r="AV55" i="1"/>
  <c r="BD55" i="1"/>
  <c r="BL55" i="1"/>
  <c r="BT55" i="1"/>
  <c r="CB55" i="1"/>
  <c r="AW55" i="1"/>
  <c r="BE55" i="1"/>
  <c r="BM55" i="1"/>
  <c r="BU55" i="1"/>
  <c r="CC55" i="1"/>
  <c r="AY55" i="1"/>
  <c r="BG55" i="1"/>
  <c r="BO55" i="1"/>
  <c r="BW55" i="1"/>
  <c r="CE55" i="1"/>
  <c r="AZ55" i="1"/>
  <c r="BH55" i="1"/>
  <c r="BP55" i="1"/>
  <c r="BX55" i="1"/>
  <c r="CF55" i="1"/>
  <c r="BA55" i="1"/>
  <c r="BI55" i="1"/>
  <c r="BQ55" i="1"/>
  <c r="BY55" i="1"/>
  <c r="CG55" i="1"/>
  <c r="BB55" i="1"/>
  <c r="BJ55" i="1"/>
  <c r="BR55" i="1"/>
  <c r="BZ55" i="1"/>
  <c r="CH55" i="1"/>
  <c r="BC55" i="1"/>
  <c r="BK55" i="1"/>
  <c r="BS55" i="1"/>
  <c r="CA55" i="1"/>
  <c r="AX55" i="1"/>
  <c r="BF55" i="1"/>
  <c r="BN55" i="1"/>
  <c r="BV55" i="1"/>
  <c r="CD55" i="1"/>
  <c r="AW56" i="1"/>
  <c r="BE56" i="1"/>
  <c r="BM56" i="1"/>
  <c r="BU56" i="1"/>
  <c r="CC56" i="1"/>
  <c r="AX56" i="1"/>
  <c r="BF56" i="1"/>
  <c r="BN56" i="1"/>
  <c r="BV56" i="1"/>
  <c r="CD56" i="1"/>
  <c r="AZ56" i="1"/>
  <c r="BH56" i="1"/>
  <c r="BP56" i="1"/>
  <c r="BX56" i="1"/>
  <c r="CF56" i="1"/>
  <c r="BA56" i="1"/>
  <c r="BI56" i="1"/>
  <c r="BQ56" i="1"/>
  <c r="BY56" i="1"/>
  <c r="CG56" i="1"/>
  <c r="BB56" i="1"/>
  <c r="BJ56" i="1"/>
  <c r="BR56" i="1"/>
  <c r="BZ56" i="1"/>
  <c r="CH56" i="1"/>
  <c r="BC56" i="1"/>
  <c r="BK56" i="1"/>
  <c r="BS56" i="1"/>
  <c r="CA56" i="1"/>
  <c r="AV56" i="1"/>
  <c r="BD56" i="1"/>
  <c r="BL56" i="1"/>
  <c r="BT56" i="1"/>
  <c r="CB56" i="1"/>
  <c r="BW56" i="1"/>
  <c r="CE56" i="1"/>
  <c r="AY56" i="1"/>
  <c r="BG56" i="1"/>
  <c r="BO56" i="1"/>
  <c r="AU60" i="1"/>
  <c r="BB60" i="1"/>
  <c r="BJ60" i="1"/>
  <c r="BR60" i="1"/>
  <c r="BZ60" i="1"/>
  <c r="CH60" i="1"/>
  <c r="BC60" i="1"/>
  <c r="BK60" i="1"/>
  <c r="BS60" i="1"/>
  <c r="CA60" i="1"/>
  <c r="AV60" i="1"/>
  <c r="BD60" i="1"/>
  <c r="BL60" i="1"/>
  <c r="BT60" i="1"/>
  <c r="CB60" i="1"/>
  <c r="AW60" i="1"/>
  <c r="BE60" i="1"/>
  <c r="BM60" i="1"/>
  <c r="BU60" i="1"/>
  <c r="CC60" i="1"/>
  <c r="AX60" i="1"/>
  <c r="BF60" i="1"/>
  <c r="BN60" i="1"/>
  <c r="BV60" i="1"/>
  <c r="CD60" i="1"/>
  <c r="AY60" i="1"/>
  <c r="BG60" i="1"/>
  <c r="BO60" i="1"/>
  <c r="BW60" i="1"/>
  <c r="CE60" i="1"/>
  <c r="BA60" i="1"/>
  <c r="BI60" i="1"/>
  <c r="BQ60" i="1"/>
  <c r="BY60" i="1"/>
  <c r="CG60" i="1"/>
  <c r="BX60" i="1"/>
  <c r="CF60" i="1"/>
  <c r="AZ60" i="1"/>
  <c r="BH60" i="1"/>
  <c r="BP60" i="1"/>
  <c r="AS85" i="1"/>
  <c r="BC44" i="1"/>
  <c r="BK44" i="1"/>
  <c r="BS44" i="1"/>
  <c r="CA44" i="1"/>
  <c r="AV44" i="1"/>
  <c r="BD44" i="1"/>
  <c r="BL44" i="1"/>
  <c r="BT44" i="1"/>
  <c r="CB44" i="1"/>
  <c r="AW44" i="1"/>
  <c r="BE44" i="1"/>
  <c r="BM44" i="1"/>
  <c r="BU44" i="1"/>
  <c r="CC44" i="1"/>
  <c r="AX44" i="1"/>
  <c r="BF44" i="1"/>
  <c r="BN44" i="1"/>
  <c r="BV44" i="1"/>
  <c r="CD44" i="1"/>
  <c r="AY44" i="1"/>
  <c r="BG44" i="1"/>
  <c r="BO44" i="1"/>
  <c r="BW44" i="1"/>
  <c r="CE44" i="1"/>
  <c r="AZ44" i="1"/>
  <c r="BH44" i="1"/>
  <c r="BP44" i="1"/>
  <c r="BX44" i="1"/>
  <c r="CF44" i="1"/>
  <c r="BA44" i="1"/>
  <c r="BI44" i="1"/>
  <c r="BQ44" i="1"/>
  <c r="BY44" i="1"/>
  <c r="CG44" i="1"/>
  <c r="BR44" i="1"/>
  <c r="BZ44" i="1"/>
  <c r="CH44" i="1"/>
  <c r="BB44" i="1"/>
  <c r="BJ44" i="1"/>
  <c r="AY40" i="1"/>
  <c r="BG40" i="1"/>
  <c r="BO40" i="1"/>
  <c r="BW40" i="1"/>
  <c r="CE40" i="1"/>
  <c r="AZ40" i="1"/>
  <c r="BH40" i="1"/>
  <c r="BP40" i="1"/>
  <c r="BX40" i="1"/>
  <c r="CF40" i="1"/>
  <c r="BA40" i="1"/>
  <c r="BI40" i="1"/>
  <c r="BQ40" i="1"/>
  <c r="BY40" i="1"/>
  <c r="CG40" i="1"/>
  <c r="BF40" i="1"/>
  <c r="BB40" i="1"/>
  <c r="BJ40" i="1"/>
  <c r="BR40" i="1"/>
  <c r="BZ40" i="1"/>
  <c r="CH40" i="1"/>
  <c r="BN40" i="1"/>
  <c r="BC40" i="1"/>
  <c r="BK40" i="1"/>
  <c r="BS40" i="1"/>
  <c r="CA40" i="1"/>
  <c r="BV40" i="1"/>
  <c r="AV40" i="1"/>
  <c r="BD40" i="1"/>
  <c r="BL40" i="1"/>
  <c r="BT40" i="1"/>
  <c r="CB40" i="1"/>
  <c r="AX40" i="1"/>
  <c r="AW40" i="1"/>
  <c r="BE40" i="1"/>
  <c r="BM40" i="1"/>
  <c r="BU40" i="1"/>
  <c r="CC40" i="1"/>
  <c r="CD40" i="1"/>
  <c r="AX30" i="1"/>
  <c r="BF30" i="1"/>
  <c r="BN30" i="1"/>
  <c r="BV30" i="1"/>
  <c r="CD30" i="1"/>
  <c r="BG30" i="1"/>
  <c r="BW30" i="1"/>
  <c r="AY30" i="1"/>
  <c r="BO30" i="1"/>
  <c r="CE30" i="1"/>
  <c r="AZ30" i="1"/>
  <c r="BH30" i="1"/>
  <c r="BP30" i="1"/>
  <c r="BX30" i="1"/>
  <c r="CF30" i="1"/>
  <c r="BA30" i="1"/>
  <c r="BI30" i="1"/>
  <c r="BQ30" i="1"/>
  <c r="BY30" i="1"/>
  <c r="CG30" i="1"/>
  <c r="BB30" i="1"/>
  <c r="BJ30" i="1"/>
  <c r="BR30" i="1"/>
  <c r="BZ30" i="1"/>
  <c r="CH30" i="1"/>
  <c r="BC30" i="1"/>
  <c r="BK30" i="1"/>
  <c r="BS30" i="1"/>
  <c r="CA30" i="1"/>
  <c r="AV30" i="1"/>
  <c r="BD30" i="1"/>
  <c r="BL30" i="1"/>
  <c r="BT30" i="1"/>
  <c r="CB30" i="1"/>
  <c r="CC30" i="1"/>
  <c r="BM30" i="1"/>
  <c r="AW30" i="1"/>
  <c r="BE30" i="1"/>
  <c r="BU30" i="1"/>
  <c r="AU43" i="1"/>
  <c r="BB43" i="1"/>
  <c r="BJ43" i="1"/>
  <c r="BR43" i="1"/>
  <c r="BZ43" i="1"/>
  <c r="CH43" i="1"/>
  <c r="BC43" i="1"/>
  <c r="BK43" i="1"/>
  <c r="BS43" i="1"/>
  <c r="CA43" i="1"/>
  <c r="AV43" i="1"/>
  <c r="BD43" i="1"/>
  <c r="BL43" i="1"/>
  <c r="BT43" i="1"/>
  <c r="CB43" i="1"/>
  <c r="AW43" i="1"/>
  <c r="BE43" i="1"/>
  <c r="BM43" i="1"/>
  <c r="BU43" i="1"/>
  <c r="CC43" i="1"/>
  <c r="AX43" i="1"/>
  <c r="BF43" i="1"/>
  <c r="BN43" i="1"/>
  <c r="BV43" i="1"/>
  <c r="CD43" i="1"/>
  <c r="AY43" i="1"/>
  <c r="BG43" i="1"/>
  <c r="BO43" i="1"/>
  <c r="BW43" i="1"/>
  <c r="CE43" i="1"/>
  <c r="AZ43" i="1"/>
  <c r="BH43" i="1"/>
  <c r="BP43" i="1"/>
  <c r="BX43" i="1"/>
  <c r="CF43" i="1"/>
  <c r="BA43" i="1"/>
  <c r="BI43" i="1"/>
  <c r="BQ43" i="1"/>
  <c r="BY43" i="1"/>
  <c r="CG43" i="1"/>
  <c r="AT39" i="1"/>
  <c r="AX39" i="1"/>
  <c r="BF39" i="1"/>
  <c r="BN39" i="1"/>
  <c r="BV39" i="1"/>
  <c r="CD39" i="1"/>
  <c r="AY39" i="1"/>
  <c r="BG39" i="1"/>
  <c r="BO39" i="1"/>
  <c r="BW39" i="1"/>
  <c r="CE39" i="1"/>
  <c r="AZ39" i="1"/>
  <c r="BH39" i="1"/>
  <c r="BP39" i="1"/>
  <c r="BX39" i="1"/>
  <c r="CF39" i="1"/>
  <c r="BE39" i="1"/>
  <c r="BA39" i="1"/>
  <c r="BI39" i="1"/>
  <c r="BQ39" i="1"/>
  <c r="BY39" i="1"/>
  <c r="CG39" i="1"/>
  <c r="BM39" i="1"/>
  <c r="BB39" i="1"/>
  <c r="BJ39" i="1"/>
  <c r="BR39" i="1"/>
  <c r="BZ39" i="1"/>
  <c r="CH39" i="1"/>
  <c r="BU39" i="1"/>
  <c r="BC39" i="1"/>
  <c r="BK39" i="1"/>
  <c r="BS39" i="1"/>
  <c r="CA39" i="1"/>
  <c r="AW39" i="1"/>
  <c r="AV39" i="1"/>
  <c r="BD39" i="1"/>
  <c r="BL39" i="1"/>
  <c r="BT39" i="1"/>
  <c r="CB39" i="1"/>
  <c r="CC39" i="1"/>
  <c r="AU29" i="1"/>
  <c r="AW29" i="1"/>
  <c r="BE29" i="1"/>
  <c r="BM29" i="1"/>
  <c r="BU29" i="1"/>
  <c r="CC29" i="1"/>
  <c r="AX29" i="1"/>
  <c r="BN29" i="1"/>
  <c r="CD29" i="1"/>
  <c r="BF29" i="1"/>
  <c r="BV29" i="1"/>
  <c r="AY29" i="1"/>
  <c r="BG29" i="1"/>
  <c r="BO29" i="1"/>
  <c r="BW29" i="1"/>
  <c r="CE29" i="1"/>
  <c r="AZ29" i="1"/>
  <c r="BH29" i="1"/>
  <c r="BP29" i="1"/>
  <c r="BX29" i="1"/>
  <c r="CF29" i="1"/>
  <c r="BA29" i="1"/>
  <c r="BI29" i="1"/>
  <c r="BQ29" i="1"/>
  <c r="BY29" i="1"/>
  <c r="CG29" i="1"/>
  <c r="BB29" i="1"/>
  <c r="BJ29" i="1"/>
  <c r="BR29" i="1"/>
  <c r="BZ29" i="1"/>
  <c r="CH29" i="1"/>
  <c r="BC29" i="1"/>
  <c r="BK29" i="1"/>
  <c r="BS29" i="1"/>
  <c r="CA29" i="1"/>
  <c r="BD29" i="1"/>
  <c r="BL29" i="1"/>
  <c r="BT29" i="1"/>
  <c r="CB29" i="1"/>
  <c r="AV29" i="1"/>
  <c r="AV66" i="1"/>
  <c r="BD66" i="1"/>
  <c r="BL66" i="1"/>
  <c r="BT66" i="1"/>
  <c r="CB66" i="1"/>
  <c r="AW66" i="1"/>
  <c r="BE66" i="1"/>
  <c r="BM66" i="1"/>
  <c r="BU66" i="1"/>
  <c r="CC66" i="1"/>
  <c r="AX66" i="1"/>
  <c r="BF66" i="1"/>
  <c r="BN66" i="1"/>
  <c r="BV66" i="1"/>
  <c r="CD66" i="1"/>
  <c r="AY66" i="1"/>
  <c r="BG66" i="1"/>
  <c r="BO66" i="1"/>
  <c r="BW66" i="1"/>
  <c r="CE66" i="1"/>
  <c r="AZ66" i="1"/>
  <c r="BH66" i="1"/>
  <c r="BP66" i="1"/>
  <c r="BX66" i="1"/>
  <c r="CF66" i="1"/>
  <c r="BA66" i="1"/>
  <c r="BI66" i="1"/>
  <c r="BQ66" i="1"/>
  <c r="BY66" i="1"/>
  <c r="CG66" i="1"/>
  <c r="BC66" i="1"/>
  <c r="BK66" i="1"/>
  <c r="BS66" i="1"/>
  <c r="CA66" i="1"/>
  <c r="BB66" i="1"/>
  <c r="BJ66" i="1"/>
  <c r="BR66" i="1"/>
  <c r="BZ66" i="1"/>
  <c r="CH66" i="1"/>
  <c r="AN15" i="1"/>
  <c r="B304" i="6"/>
  <c r="B302" i="6"/>
  <c r="P86" i="1"/>
  <c r="B233" i="9"/>
  <c r="AS11" i="1"/>
  <c r="B390" i="15"/>
  <c r="B307" i="10"/>
  <c r="P78" i="1"/>
  <c r="B21" i="13"/>
  <c r="AH27" i="1"/>
  <c r="P27" i="1" s="1"/>
  <c r="K156" i="7"/>
  <c r="K173" i="7"/>
  <c r="K218" i="7"/>
  <c r="K211" i="7"/>
  <c r="AG44" i="1"/>
  <c r="K155" i="7"/>
  <c r="K157" i="7"/>
  <c r="B58" i="13"/>
  <c r="P32" i="1"/>
  <c r="B652" i="13"/>
  <c r="P30" i="1"/>
  <c r="K183" i="7"/>
  <c r="K158" i="7"/>
  <c r="K149" i="7"/>
  <c r="K217" i="7"/>
  <c r="K210" i="7"/>
  <c r="K175" i="7"/>
  <c r="K162" i="7"/>
  <c r="K153" i="7"/>
  <c r="K213" i="7"/>
  <c r="K178" i="7"/>
  <c r="B644" i="14" s="1"/>
  <c r="AG70" i="1"/>
  <c r="AG40" i="1"/>
  <c r="AS40" i="1" s="1"/>
  <c r="AG39" i="1"/>
  <c r="AS39" i="1" s="1"/>
  <c r="AG60" i="1"/>
  <c r="AH70" i="1"/>
  <c r="AG69" i="1"/>
  <c r="AG31" i="1"/>
  <c r="B170" i="13" s="1"/>
  <c r="AG58" i="1"/>
  <c r="AT42" i="1"/>
  <c r="AG32" i="1"/>
  <c r="AS32" i="1" s="1"/>
  <c r="K140" i="7"/>
  <c r="K208" i="7"/>
  <c r="K193" i="7"/>
  <c r="K186" i="7"/>
  <c r="AG29" i="1"/>
  <c r="AS29" i="1" s="1"/>
  <c r="K219" i="7"/>
  <c r="K212" i="7"/>
  <c r="K189" i="7"/>
  <c r="K139" i="7"/>
  <c r="AG28" i="1"/>
  <c r="AG67" i="1"/>
  <c r="K148" i="7"/>
  <c r="K216" i="7"/>
  <c r="K201" i="7"/>
  <c r="K194" i="7"/>
  <c r="AG43" i="1"/>
  <c r="K144" i="7"/>
  <c r="K220" i="7"/>
  <c r="K197" i="7"/>
  <c r="K164" i="7"/>
  <c r="K147" i="7"/>
  <c r="AG41" i="1"/>
  <c r="AG27" i="1"/>
  <c r="AU44" i="1"/>
  <c r="AU40" i="1"/>
  <c r="P51" i="1"/>
  <c r="AG61" i="1"/>
  <c r="AS61" i="1" s="1"/>
  <c r="AH39" i="1"/>
  <c r="AH61" i="1"/>
  <c r="AG57" i="1"/>
  <c r="AH69" i="1"/>
  <c r="P65" i="1"/>
  <c r="Q65" i="1" s="1"/>
  <c r="AL65" i="1" s="1"/>
  <c r="AH63" i="1"/>
  <c r="AG53" i="1"/>
  <c r="AS53" i="1" s="1"/>
  <c r="P62" i="1"/>
  <c r="P60" i="1"/>
  <c r="AG63" i="1"/>
  <c r="AG65" i="1"/>
  <c r="P55" i="1"/>
  <c r="Q55" i="1" s="1"/>
  <c r="AL55" i="1" s="1"/>
  <c r="P42" i="1"/>
  <c r="B473" i="14" s="1"/>
  <c r="Q40" i="1"/>
  <c r="AL40" i="1" s="1"/>
  <c r="AG42" i="1"/>
  <c r="AS42" i="1" s="1"/>
  <c r="AH31" i="1"/>
  <c r="P31" i="1" s="1"/>
  <c r="P28" i="1"/>
  <c r="AT63" i="1"/>
  <c r="AU63" i="1"/>
  <c r="AT31" i="1"/>
  <c r="B568" i="13" s="1"/>
  <c r="B577" i="13"/>
  <c r="B605" i="13"/>
  <c r="AU27" i="1"/>
  <c r="AT27" i="1"/>
  <c r="B579" i="13"/>
  <c r="B263" i="13"/>
  <c r="AS30" i="1"/>
  <c r="AT30" i="1"/>
  <c r="AU30" i="1"/>
  <c r="AT29" i="1"/>
  <c r="B414" i="13" s="1"/>
  <c r="B293" i="14"/>
  <c r="B291" i="14"/>
  <c r="B279" i="14"/>
  <c r="AT43" i="1"/>
  <c r="AU39" i="1"/>
  <c r="AT44" i="1"/>
  <c r="AT40" i="1"/>
  <c r="AV62" i="1"/>
  <c r="BD62" i="1"/>
  <c r="BL62" i="1"/>
  <c r="BT62" i="1"/>
  <c r="CB62" i="1"/>
  <c r="AW62" i="1"/>
  <c r="BE62" i="1"/>
  <c r="BM62" i="1"/>
  <c r="BU62" i="1"/>
  <c r="CC62" i="1"/>
  <c r="AX62" i="1"/>
  <c r="BF62" i="1"/>
  <c r="BN62" i="1"/>
  <c r="BV62" i="1"/>
  <c r="CD62" i="1"/>
  <c r="AY62" i="1"/>
  <c r="BG62" i="1"/>
  <c r="BO62" i="1"/>
  <c r="BW62" i="1"/>
  <c r="CE62" i="1"/>
  <c r="BA62" i="1"/>
  <c r="BI62" i="1"/>
  <c r="BQ62" i="1"/>
  <c r="BY62" i="1"/>
  <c r="CG62" i="1"/>
  <c r="AZ62" i="1"/>
  <c r="BS62" i="1"/>
  <c r="BB62" i="1"/>
  <c r="BX62" i="1"/>
  <c r="BC62" i="1"/>
  <c r="BZ62" i="1"/>
  <c r="BH62" i="1"/>
  <c r="CA62" i="1"/>
  <c r="BJ62" i="1"/>
  <c r="CF62" i="1"/>
  <c r="BK62" i="1"/>
  <c r="CH62" i="1"/>
  <c r="BP62" i="1"/>
  <c r="BR62" i="1"/>
  <c r="AT62" i="1"/>
  <c r="AU62" i="1"/>
  <c r="AS62" i="1"/>
  <c r="AW67" i="1"/>
  <c r="BE67" i="1"/>
  <c r="BM67" i="1"/>
  <c r="BU67" i="1"/>
  <c r="CC67" i="1"/>
  <c r="AX67" i="1"/>
  <c r="BF67" i="1"/>
  <c r="BN67" i="1"/>
  <c r="BV67" i="1"/>
  <c r="CD67" i="1"/>
  <c r="AY67" i="1"/>
  <c r="BG67" i="1"/>
  <c r="BO67" i="1"/>
  <c r="BW67" i="1"/>
  <c r="CE67" i="1"/>
  <c r="AZ67" i="1"/>
  <c r="BH67" i="1"/>
  <c r="BP67" i="1"/>
  <c r="BX67" i="1"/>
  <c r="CF67" i="1"/>
  <c r="BA67" i="1"/>
  <c r="BI67" i="1"/>
  <c r="BQ67" i="1"/>
  <c r="BY67" i="1"/>
  <c r="CG67" i="1"/>
  <c r="BB67" i="1"/>
  <c r="BJ67" i="1"/>
  <c r="BR67" i="1"/>
  <c r="BZ67" i="1"/>
  <c r="CH67" i="1"/>
  <c r="AV67" i="1"/>
  <c r="BD67" i="1"/>
  <c r="BL67" i="1"/>
  <c r="BT67" i="1"/>
  <c r="CB67" i="1"/>
  <c r="CA67" i="1"/>
  <c r="BC67" i="1"/>
  <c r="BK67" i="1"/>
  <c r="BS67" i="1"/>
  <c r="AU67" i="1"/>
  <c r="AT67" i="1"/>
  <c r="B268" i="11"/>
  <c r="AP21" i="1"/>
  <c r="B416" i="11"/>
  <c r="B106" i="11"/>
  <c r="P21" i="1"/>
  <c r="B414" i="11" s="1"/>
  <c r="AS86" i="1"/>
  <c r="AS50" i="1"/>
  <c r="B68" i="15" s="1"/>
  <c r="B403" i="15"/>
  <c r="B251" i="15"/>
  <c r="AP15" i="1"/>
  <c r="B194" i="10"/>
  <c r="B342" i="10"/>
  <c r="B18" i="10"/>
  <c r="B306" i="9"/>
  <c r="B150" i="9"/>
  <c r="B454" i="9"/>
  <c r="AP14" i="1"/>
  <c r="P14" i="1"/>
  <c r="B304" i="9" s="1"/>
  <c r="B16" i="10"/>
  <c r="B43" i="10" s="1"/>
  <c r="B192" i="10"/>
  <c r="B400" i="14"/>
  <c r="AS84" i="1"/>
  <c r="AP16" i="1"/>
  <c r="P16" i="1"/>
  <c r="B377" i="10" s="1"/>
  <c r="B62" i="10"/>
  <c r="B379" i="10"/>
  <c r="B231" i="10"/>
  <c r="B149" i="6"/>
  <c r="AS76" i="1"/>
  <c r="AS73" i="1"/>
  <c r="BC61" i="1"/>
  <c r="BK61" i="1"/>
  <c r="BS61" i="1"/>
  <c r="CA61" i="1"/>
  <c r="AV61" i="1"/>
  <c r="BD61" i="1"/>
  <c r="BL61" i="1"/>
  <c r="BT61" i="1"/>
  <c r="CB61" i="1"/>
  <c r="AW61" i="1"/>
  <c r="BE61" i="1"/>
  <c r="BM61" i="1"/>
  <c r="BU61" i="1"/>
  <c r="CC61" i="1"/>
  <c r="AX61" i="1"/>
  <c r="BF61" i="1"/>
  <c r="BN61" i="1"/>
  <c r="BV61" i="1"/>
  <c r="CD61" i="1"/>
  <c r="AY61" i="1"/>
  <c r="AZ61" i="1"/>
  <c r="BH61" i="1"/>
  <c r="BP61" i="1"/>
  <c r="BX61" i="1"/>
  <c r="CF61" i="1"/>
  <c r="BQ61" i="1"/>
  <c r="BR61" i="1"/>
  <c r="BA61" i="1"/>
  <c r="BW61" i="1"/>
  <c r="BB61" i="1"/>
  <c r="BY61" i="1"/>
  <c r="BG61" i="1"/>
  <c r="BZ61" i="1"/>
  <c r="BI61" i="1"/>
  <c r="CE61" i="1"/>
  <c r="BJ61" i="1"/>
  <c r="CG61" i="1"/>
  <c r="BO61" i="1"/>
  <c r="CH61" i="1"/>
  <c r="AU61" i="1"/>
  <c r="AT61" i="1"/>
  <c r="B34" i="13"/>
  <c r="Q78" i="1"/>
  <c r="AL78" i="1" s="1"/>
  <c r="P70" i="1"/>
  <c r="Q70" i="1" s="1"/>
  <c r="AL70" i="1" s="1"/>
  <c r="P39" i="1"/>
  <c r="Q39" i="1" s="1"/>
  <c r="AL39" i="1" s="1"/>
  <c r="B256" i="14" s="1"/>
  <c r="AS27" i="1"/>
  <c r="B22" i="13" s="1"/>
  <c r="B631" i="14"/>
  <c r="B208" i="14"/>
  <c r="AS28" i="1"/>
  <c r="B59" i="13" s="1"/>
  <c r="B631" i="13"/>
  <c r="AS58" i="1"/>
  <c r="B128" i="13"/>
  <c r="B148" i="13" s="1"/>
  <c r="B554" i="13"/>
  <c r="AS60" i="1"/>
  <c r="AS65" i="1"/>
  <c r="B132" i="14"/>
  <c r="B477" i="14"/>
  <c r="Q28" i="1"/>
  <c r="AL28" i="1" s="1"/>
  <c r="B333" i="13" s="1"/>
  <c r="B128" i="14"/>
  <c r="B148" i="14" s="1"/>
  <c r="B67" i="10"/>
  <c r="AS81" i="1"/>
  <c r="AS82" i="1"/>
  <c r="AY69" i="1"/>
  <c r="BG69" i="1"/>
  <c r="BO69" i="1"/>
  <c r="BW69" i="1"/>
  <c r="CE69" i="1"/>
  <c r="AZ69" i="1"/>
  <c r="BH69" i="1"/>
  <c r="BP69" i="1"/>
  <c r="BX69" i="1"/>
  <c r="CF69" i="1"/>
  <c r="BA69" i="1"/>
  <c r="BI69" i="1"/>
  <c r="BQ69" i="1"/>
  <c r="BY69" i="1"/>
  <c r="CG69" i="1"/>
  <c r="BB69" i="1"/>
  <c r="BJ69" i="1"/>
  <c r="BR69" i="1"/>
  <c r="BZ69" i="1"/>
  <c r="CH69" i="1"/>
  <c r="BC69" i="1"/>
  <c r="BK69" i="1"/>
  <c r="BS69" i="1"/>
  <c r="CA69" i="1"/>
  <c r="AV69" i="1"/>
  <c r="BD69" i="1"/>
  <c r="BL69" i="1"/>
  <c r="BT69" i="1"/>
  <c r="CB69" i="1"/>
  <c r="AX69" i="1"/>
  <c r="BF69" i="1"/>
  <c r="BN69" i="1"/>
  <c r="BV69" i="1"/>
  <c r="CD69" i="1"/>
  <c r="BM69" i="1"/>
  <c r="BU69" i="1"/>
  <c r="CC69" i="1"/>
  <c r="AW69" i="1"/>
  <c r="BE69" i="1"/>
  <c r="AT69" i="1"/>
  <c r="AU69" i="1"/>
  <c r="AU68" i="1"/>
  <c r="AX68" i="1"/>
  <c r="BF68" i="1"/>
  <c r="BN68" i="1"/>
  <c r="BV68" i="1"/>
  <c r="CD68" i="1"/>
  <c r="AY68" i="1"/>
  <c r="BG68" i="1"/>
  <c r="BO68" i="1"/>
  <c r="BW68" i="1"/>
  <c r="CE68" i="1"/>
  <c r="AZ68" i="1"/>
  <c r="BH68" i="1"/>
  <c r="BP68" i="1"/>
  <c r="BX68" i="1"/>
  <c r="CF68" i="1"/>
  <c r="BA68" i="1"/>
  <c r="BI68" i="1"/>
  <c r="BQ68" i="1"/>
  <c r="BY68" i="1"/>
  <c r="CG68" i="1"/>
  <c r="BB68" i="1"/>
  <c r="BJ68" i="1"/>
  <c r="BR68" i="1"/>
  <c r="BZ68" i="1"/>
  <c r="CH68" i="1"/>
  <c r="BC68" i="1"/>
  <c r="BK68" i="1"/>
  <c r="BS68" i="1"/>
  <c r="CA68" i="1"/>
  <c r="AW68" i="1"/>
  <c r="BE68" i="1"/>
  <c r="BM68" i="1"/>
  <c r="BU68" i="1"/>
  <c r="CC68" i="1"/>
  <c r="AV68" i="1"/>
  <c r="BD68" i="1"/>
  <c r="BL68" i="1"/>
  <c r="BT68" i="1"/>
  <c r="CB68" i="1"/>
  <c r="AT68" i="1"/>
  <c r="AZ70" i="1"/>
  <c r="BH70" i="1"/>
  <c r="BP70" i="1"/>
  <c r="BX70" i="1"/>
  <c r="CF70" i="1"/>
  <c r="BA70" i="1"/>
  <c r="BI70" i="1"/>
  <c r="BQ70" i="1"/>
  <c r="BY70" i="1"/>
  <c r="CG70" i="1"/>
  <c r="BB70" i="1"/>
  <c r="BJ70" i="1"/>
  <c r="BR70" i="1"/>
  <c r="BZ70" i="1"/>
  <c r="CH70" i="1"/>
  <c r="BC70" i="1"/>
  <c r="BK70" i="1"/>
  <c r="BS70" i="1"/>
  <c r="CA70" i="1"/>
  <c r="AV70" i="1"/>
  <c r="BD70" i="1"/>
  <c r="BL70" i="1"/>
  <c r="BT70" i="1"/>
  <c r="CB70" i="1"/>
  <c r="AW70" i="1"/>
  <c r="BE70" i="1"/>
  <c r="BM70" i="1"/>
  <c r="BU70" i="1"/>
  <c r="CC70" i="1"/>
  <c r="AY70" i="1"/>
  <c r="BG70" i="1"/>
  <c r="BO70" i="1"/>
  <c r="BW70" i="1"/>
  <c r="CE70" i="1"/>
  <c r="AX70" i="1"/>
  <c r="BF70" i="1"/>
  <c r="BN70" i="1"/>
  <c r="BV70" i="1"/>
  <c r="CD70" i="1"/>
  <c r="AU70" i="1"/>
  <c r="AT70" i="1"/>
  <c r="B242" i="14"/>
  <c r="B506" i="14"/>
  <c r="B506" i="28"/>
  <c r="B266" i="11"/>
  <c r="AG56" i="1"/>
  <c r="AH56" i="1"/>
  <c r="P56" i="1" s="1"/>
  <c r="AH44" i="1"/>
  <c r="P44" i="1" s="1"/>
  <c r="AT32" i="1"/>
  <c r="B645" i="13"/>
  <c r="AU32" i="1"/>
  <c r="B646" i="13" s="1"/>
  <c r="BB32" i="1"/>
  <c r="B653" i="13" s="1"/>
  <c r="BK32" i="1"/>
  <c r="B662" i="13" s="1"/>
  <c r="B325" i="13"/>
  <c r="B323" i="13"/>
  <c r="Q15" i="1"/>
  <c r="AL15" i="1" s="1"/>
  <c r="B207" i="10" s="1"/>
  <c r="AS43" i="1"/>
  <c r="B400" i="13"/>
  <c r="Q21" i="1"/>
  <c r="AL21" i="1" s="1"/>
  <c r="B241" i="15"/>
  <c r="AS41" i="1"/>
  <c r="Q60" i="1"/>
  <c r="AL60" i="1" s="1"/>
  <c r="Q86" i="1"/>
  <c r="AL86" i="1" s="1"/>
  <c r="B104" i="11"/>
  <c r="B131" i="11" s="1"/>
  <c r="B246" i="13"/>
  <c r="B127" i="6"/>
  <c r="B610" i="13"/>
  <c r="B346" i="10"/>
  <c r="B99" i="6"/>
  <c r="B188" i="10"/>
  <c r="B249" i="13"/>
  <c r="B152" i="15"/>
  <c r="B548" i="13"/>
  <c r="B39" i="15"/>
  <c r="B67" i="11"/>
  <c r="B262" i="11"/>
  <c r="B81" i="15"/>
  <c r="B300" i="9"/>
  <c r="B235" i="8"/>
  <c r="B238" i="13"/>
  <c r="B242" i="15"/>
  <c r="B125" i="14"/>
  <c r="B61" i="9"/>
  <c r="B299" i="10"/>
  <c r="B357" i="15"/>
  <c r="B301" i="14"/>
  <c r="B169" i="13"/>
  <c r="B35" i="15"/>
  <c r="B293" i="15"/>
  <c r="B349" i="12"/>
  <c r="B628" i="14"/>
  <c r="B448" i="9"/>
  <c r="B547" i="13"/>
  <c r="B342" i="12"/>
  <c r="B302" i="13"/>
  <c r="B199" i="13"/>
  <c r="B379" i="16"/>
  <c r="B100" i="6"/>
  <c r="B305" i="6"/>
  <c r="B223" i="6"/>
  <c r="B382" i="11"/>
  <c r="B60" i="6"/>
  <c r="B79" i="6"/>
  <c r="B301" i="9"/>
  <c r="B373" i="11"/>
  <c r="B12" i="13"/>
  <c r="B310" i="6"/>
  <c r="B460" i="10"/>
  <c r="B66" i="10"/>
  <c r="B60" i="13"/>
  <c r="B225" i="11"/>
  <c r="B133" i="13"/>
  <c r="B105" i="11"/>
  <c r="B420" i="10"/>
  <c r="B180" i="12"/>
  <c r="B153" i="11"/>
  <c r="B194" i="9"/>
  <c r="B268" i="8"/>
  <c r="B314" i="13"/>
  <c r="B332" i="13" s="1"/>
  <c r="B345" i="10"/>
  <c r="B100" i="12"/>
  <c r="B101" i="11"/>
  <c r="B22" i="10"/>
  <c r="B17" i="8"/>
  <c r="B339" i="12"/>
  <c r="B460" i="11"/>
  <c r="B122" i="10"/>
  <c r="B156" i="9"/>
  <c r="B306" i="15"/>
  <c r="B66" i="6"/>
  <c r="B62" i="6"/>
  <c r="B69" i="6"/>
  <c r="B458" i="9"/>
  <c r="B236" i="6"/>
  <c r="B320" i="13"/>
  <c r="B269" i="6"/>
  <c r="B263" i="6"/>
  <c r="B322" i="13"/>
  <c r="B438" i="12"/>
  <c r="B49" i="14"/>
  <c r="B423" i="11"/>
  <c r="B468" i="13"/>
  <c r="B486" i="13" s="1"/>
  <c r="B392" i="13"/>
  <c r="B98" i="12"/>
  <c r="B92" i="12"/>
  <c r="B145" i="11"/>
  <c r="B448" i="11"/>
  <c r="B236" i="9"/>
  <c r="B168" i="8"/>
  <c r="B318" i="13"/>
  <c r="B52" i="13"/>
  <c r="B86" i="8"/>
  <c r="B54" i="12"/>
  <c r="B300" i="11"/>
  <c r="B264" i="10"/>
  <c r="B146" i="9"/>
  <c r="B22" i="8"/>
  <c r="B481" i="12"/>
  <c r="B122" i="11"/>
  <c r="B451" i="9"/>
  <c r="B17" i="9"/>
  <c r="B56" i="8"/>
  <c r="B469" i="16"/>
  <c r="B65" i="6"/>
  <c r="B109" i="6"/>
  <c r="B262" i="6"/>
  <c r="B226" i="6"/>
  <c r="B228" i="6"/>
  <c r="B112" i="6"/>
  <c r="B53" i="8"/>
  <c r="B125" i="13"/>
  <c r="B156" i="11"/>
  <c r="B327" i="13"/>
  <c r="B299" i="12"/>
  <c r="B321" i="13"/>
  <c r="B166" i="10"/>
  <c r="B21" i="12"/>
  <c r="B299" i="11"/>
  <c r="B225" i="9"/>
  <c r="B244" i="9" s="1"/>
  <c r="B166" i="8"/>
  <c r="B326" i="13"/>
  <c r="B15" i="8"/>
  <c r="B433" i="12"/>
  <c r="B308" i="12"/>
  <c r="B110" i="11"/>
  <c r="B61" i="10"/>
  <c r="B59" i="6"/>
  <c r="B230" i="6"/>
  <c r="B24" i="10"/>
  <c r="B64" i="6"/>
  <c r="B107" i="6"/>
  <c r="B56" i="6"/>
  <c r="B222" i="6"/>
  <c r="B241" i="6" s="1"/>
  <c r="B57" i="6"/>
  <c r="B298" i="6"/>
  <c r="B450" i="11"/>
  <c r="B264" i="8"/>
  <c r="B60" i="8"/>
  <c r="B179" i="12"/>
  <c r="B198" i="8"/>
  <c r="B121" i="8"/>
  <c r="B126" i="9"/>
  <c r="B384" i="9"/>
  <c r="B256" i="12"/>
  <c r="B375" i="11"/>
  <c r="B225" i="10"/>
  <c r="B170" i="9"/>
  <c r="B194" i="8"/>
  <c r="B299" i="6"/>
  <c r="B412" i="9"/>
  <c r="B109" i="10"/>
  <c r="B47" i="8"/>
  <c r="B401" i="13"/>
  <c r="B78" i="10"/>
  <c r="B262" i="8"/>
  <c r="B268" i="6"/>
  <c r="B151" i="6"/>
  <c r="B233" i="6"/>
  <c r="B48" i="8"/>
  <c r="B159" i="8"/>
  <c r="B126" i="10"/>
  <c r="B126" i="6"/>
  <c r="B113" i="11"/>
  <c r="B531" i="13"/>
  <c r="B100" i="11"/>
  <c r="B84" i="10"/>
  <c r="B393" i="10"/>
  <c r="B83" i="6"/>
  <c r="B259" i="6"/>
  <c r="B278" i="6" s="1"/>
  <c r="B95" i="13"/>
  <c r="B147" i="10"/>
  <c r="B240" i="15"/>
  <c r="B456" i="13"/>
  <c r="B53" i="12"/>
  <c r="B38" i="10"/>
  <c r="B245" i="13"/>
  <c r="B198" i="9"/>
  <c r="B60" i="12"/>
  <c r="B15" i="10"/>
  <c r="B228" i="9"/>
  <c r="B130" i="13"/>
  <c r="B401" i="12"/>
  <c r="B393" i="11"/>
  <c r="B105" i="9"/>
  <c r="B309" i="6"/>
  <c r="B219" i="12"/>
  <c r="B13" i="9"/>
  <c r="B316" i="13"/>
  <c r="B21" i="8"/>
  <c r="B452" i="10"/>
  <c r="B271" i="10"/>
  <c r="B51" i="8"/>
  <c r="B201" i="11"/>
  <c r="B102" i="9"/>
  <c r="B58" i="12"/>
  <c r="B237" i="9"/>
  <c r="B58" i="14"/>
  <c r="B154" i="9"/>
  <c r="B455" i="13"/>
  <c r="B132" i="13"/>
  <c r="B454" i="13"/>
  <c r="B416" i="9"/>
  <c r="B632" i="13"/>
  <c r="B474" i="13"/>
  <c r="B352" i="12"/>
  <c r="B265" i="6"/>
  <c r="B55" i="10"/>
  <c r="B266" i="9"/>
  <c r="B11" i="10"/>
  <c r="B224" i="10"/>
  <c r="B243" i="10" s="1"/>
  <c r="B122" i="9"/>
  <c r="B131" i="13"/>
  <c r="B34" i="10"/>
  <c r="B110" i="9"/>
  <c r="B301" i="11"/>
  <c r="B308" i="6"/>
  <c r="B228" i="10"/>
  <c r="B298" i="11"/>
  <c r="B317" i="11" s="1"/>
  <c r="B21" i="10"/>
  <c r="B97" i="13"/>
  <c r="B153" i="6"/>
  <c r="B234" i="11"/>
  <c r="B469" i="13"/>
  <c r="B24" i="13"/>
  <c r="B144" i="11"/>
  <c r="B336" i="9"/>
  <c r="B355" i="9" s="1"/>
  <c r="B128" i="9"/>
  <c r="B83" i="8"/>
  <c r="B374" i="11"/>
  <c r="B157" i="9"/>
  <c r="B316" i="6"/>
  <c r="B461" i="9"/>
  <c r="B91" i="13"/>
  <c r="B152" i="6"/>
  <c r="B317" i="13"/>
  <c r="B480" i="13"/>
  <c r="B399" i="13"/>
  <c r="B470" i="14"/>
  <c r="B296" i="12"/>
  <c r="B392" i="12"/>
  <c r="B385" i="9"/>
  <c r="B474" i="12"/>
  <c r="B105" i="6"/>
  <c r="B147" i="11"/>
  <c r="B267" i="11"/>
  <c r="B238" i="8"/>
  <c r="B103" i="6"/>
  <c r="B351" i="12"/>
  <c r="B300" i="13"/>
  <c r="B239" i="13"/>
  <c r="B232" i="6"/>
  <c r="B145" i="9"/>
  <c r="B189" i="9"/>
  <c r="B419" i="11"/>
  <c r="B198" i="11"/>
  <c r="B302" i="10"/>
  <c r="B100" i="9"/>
  <c r="B57" i="10"/>
  <c r="B123" i="8"/>
  <c r="B51" i="13"/>
  <c r="B345" i="12"/>
  <c r="B457" i="9"/>
  <c r="B58" i="8"/>
  <c r="B149" i="11"/>
  <c r="B453" i="9"/>
  <c r="B50" i="8"/>
  <c r="B142" i="6"/>
  <c r="B101" i="10"/>
  <c r="B92" i="13"/>
  <c r="B25" i="10"/>
  <c r="B59" i="8"/>
  <c r="B157" i="8"/>
  <c r="B102" i="11"/>
  <c r="B49" i="8"/>
  <c r="B153" i="9"/>
  <c r="B88" i="13"/>
  <c r="B260" i="6"/>
  <c r="B80" i="6"/>
  <c r="B35" i="9"/>
  <c r="B626" i="16"/>
  <c r="B467" i="10"/>
  <c r="B412" i="11"/>
  <c r="B57" i="8"/>
  <c r="B419" i="10"/>
  <c r="B150" i="6"/>
  <c r="B156" i="8"/>
  <c r="B225" i="6"/>
  <c r="B110" i="10"/>
  <c r="B128" i="10"/>
  <c r="B87" i="14"/>
  <c r="B271" i="8"/>
  <c r="B533" i="13"/>
  <c r="B304" i="12"/>
  <c r="B460" i="9"/>
  <c r="B129" i="13"/>
  <c r="B103" i="11"/>
  <c r="B226" i="9"/>
  <c r="B475" i="13"/>
  <c r="B435" i="12"/>
  <c r="B308" i="11"/>
  <c r="B238" i="9"/>
  <c r="B93" i="13"/>
  <c r="B187" i="11"/>
  <c r="B206" i="11" s="1"/>
  <c r="B411" i="11"/>
  <c r="B155" i="9"/>
  <c r="B11" i="13"/>
  <c r="B480" i="16"/>
  <c r="B79" i="11"/>
  <c r="B176" i="12"/>
  <c r="B143" i="9"/>
  <c r="B55" i="14"/>
  <c r="B202" i="9"/>
  <c r="B50" i="13"/>
  <c r="B82" i="9"/>
  <c r="B430" i="11"/>
  <c r="B300" i="6"/>
  <c r="B377" i="13"/>
  <c r="B96" i="12"/>
  <c r="B450" i="10"/>
  <c r="B165" i="6"/>
  <c r="B154" i="6"/>
  <c r="B304" i="11"/>
  <c r="B304" i="10"/>
  <c r="B211" i="16"/>
  <c r="B469" i="14"/>
  <c r="B471" i="14"/>
  <c r="B167" i="8"/>
  <c r="B128" i="12"/>
  <c r="B166" i="9"/>
  <c r="B136" i="13"/>
  <c r="B372" i="11"/>
  <c r="B391" i="11" s="1"/>
  <c r="B397" i="13"/>
  <c r="B12" i="10"/>
  <c r="B98" i="13"/>
  <c r="B300" i="12"/>
  <c r="B235" i="10"/>
  <c r="B260" i="8"/>
  <c r="B278" i="8" s="1"/>
  <c r="B135" i="13"/>
  <c r="B114" i="12"/>
  <c r="B115" i="12" s="1"/>
  <c r="B262" i="10"/>
  <c r="B158" i="8"/>
  <c r="B92" i="8"/>
  <c r="B226" i="10"/>
  <c r="B459" i="11"/>
  <c r="B476" i="13"/>
  <c r="B472" i="16"/>
  <c r="B273" i="8"/>
  <c r="B193" i="10"/>
  <c r="B34" i="9"/>
  <c r="B149" i="10"/>
  <c r="B25" i="9"/>
  <c r="B492" i="14"/>
  <c r="B171" i="12"/>
  <c r="B209" i="14"/>
  <c r="B446" i="11"/>
  <c r="B465" i="11" s="1"/>
  <c r="B276" i="9"/>
  <c r="B245" i="10"/>
  <c r="B350" i="9"/>
  <c r="B319" i="11"/>
  <c r="B339" i="11"/>
  <c r="B58" i="6"/>
  <c r="B197" i="11"/>
  <c r="B395" i="13"/>
  <c r="B68" i="10"/>
  <c r="B63" i="12"/>
  <c r="B127" i="13"/>
  <c r="B129" i="8"/>
  <c r="B264" i="9"/>
  <c r="B54" i="13"/>
  <c r="B99" i="11"/>
  <c r="B17" i="13"/>
  <c r="B264" i="12"/>
  <c r="B95" i="8"/>
  <c r="B481" i="13"/>
  <c r="B214" i="12"/>
  <c r="B124" i="13"/>
  <c r="B224" i="11"/>
  <c r="B243" i="11" s="1"/>
  <c r="B39" i="9"/>
  <c r="B67" i="9"/>
  <c r="B275" i="9"/>
  <c r="B70" i="6"/>
  <c r="B386" i="11"/>
  <c r="B105" i="10"/>
  <c r="B254" i="12"/>
  <c r="B280" i="12" s="1"/>
  <c r="B228" i="11"/>
  <c r="B91" i="16"/>
  <c r="B173" i="17"/>
  <c r="B472" i="14"/>
  <c r="B127" i="14"/>
  <c r="B322" i="16"/>
  <c r="B123" i="14"/>
  <c r="B273" i="15"/>
  <c r="B203" i="15"/>
  <c r="B162" i="14"/>
  <c r="B213" i="15"/>
  <c r="B230" i="15"/>
  <c r="B205" i="15"/>
  <c r="B125" i="17"/>
  <c r="B93" i="14"/>
  <c r="B205" i="14"/>
  <c r="B52" i="14"/>
  <c r="B257" i="12"/>
  <c r="B403" i="13"/>
  <c r="B268" i="9"/>
  <c r="B154" i="11"/>
  <c r="B11" i="9"/>
  <c r="B123" i="13"/>
  <c r="B75" i="12"/>
  <c r="B76" i="12" s="1"/>
  <c r="B149" i="9"/>
  <c r="B310" i="10"/>
  <c r="B472" i="12"/>
  <c r="B348" i="12"/>
  <c r="B306" i="6"/>
  <c r="B134" i="12"/>
  <c r="B89" i="13"/>
  <c r="B146" i="6"/>
  <c r="B477" i="12"/>
  <c r="B188" i="11"/>
  <c r="B411" i="9"/>
  <c r="B224" i="6"/>
  <c r="B320" i="9"/>
  <c r="B422" i="11"/>
  <c r="B261" i="6"/>
  <c r="B245" i="11"/>
  <c r="B266" i="12"/>
  <c r="B128" i="11"/>
  <c r="B93" i="16"/>
  <c r="B531" i="14"/>
  <c r="B229" i="15"/>
  <c r="B248" i="15" s="1"/>
  <c r="B407" i="15"/>
  <c r="B84" i="15"/>
  <c r="B331" i="15"/>
  <c r="B194" i="15"/>
  <c r="B89" i="14"/>
  <c r="B192" i="15"/>
  <c r="B383" i="15"/>
  <c r="B197" i="15"/>
  <c r="B95" i="14"/>
  <c r="B625" i="17"/>
  <c r="B54" i="14"/>
  <c r="B92" i="14"/>
  <c r="B267" i="6"/>
  <c r="B112" i="9"/>
  <c r="B223" i="12"/>
  <c r="B235" i="9"/>
  <c r="B385" i="11"/>
  <c r="B99" i="9"/>
  <c r="B170" i="11"/>
  <c r="B21" i="9"/>
  <c r="B170" i="10"/>
  <c r="B108" i="6"/>
  <c r="B67" i="6"/>
  <c r="B272" i="6"/>
  <c r="B153" i="12"/>
  <c r="B154" i="12" s="1"/>
  <c r="B447" i="11"/>
  <c r="B19" i="12"/>
  <c r="B14" i="9"/>
  <c r="B449" i="11"/>
  <c r="B155" i="8"/>
  <c r="B173" i="8" s="1"/>
  <c r="B161" i="8"/>
  <c r="B409" i="10"/>
  <c r="B428" i="10" s="1"/>
  <c r="B188" i="9"/>
  <c r="B207" i="9" s="1"/>
  <c r="B23" i="13"/>
  <c r="B140" i="12"/>
  <c r="B69" i="10"/>
  <c r="B123" i="11"/>
  <c r="B431" i="9"/>
  <c r="B171" i="13"/>
  <c r="B110" i="6"/>
  <c r="B387" i="9"/>
  <c r="B15" i="12"/>
  <c r="B259" i="12"/>
  <c r="B319" i="10"/>
  <c r="B125" i="8"/>
  <c r="B340" i="12"/>
  <c r="B359" i="12" s="1"/>
  <c r="B361" i="12" s="1"/>
  <c r="B555" i="16"/>
  <c r="B164" i="17"/>
  <c r="B532" i="14"/>
  <c r="B33" i="15"/>
  <c r="B320" i="18"/>
  <c r="B624" i="13"/>
  <c r="B387" i="15"/>
  <c r="B330" i="15"/>
  <c r="B307" i="15"/>
  <c r="B61" i="13"/>
  <c r="B22" i="9"/>
  <c r="B312" i="11"/>
  <c r="B315" i="13"/>
  <c r="B265" i="9"/>
  <c r="B283" i="10"/>
  <c r="B394" i="13"/>
  <c r="B113" i="9"/>
  <c r="B79" i="10"/>
  <c r="B12" i="9"/>
  <c r="B12" i="11"/>
  <c r="B15" i="9"/>
  <c r="B266" i="8"/>
  <c r="B470" i="13"/>
  <c r="B185" i="14"/>
  <c r="B474" i="16"/>
  <c r="B56" i="13"/>
  <c r="B569" i="13"/>
  <c r="B66" i="9"/>
  <c r="B346" i="11"/>
  <c r="B203" i="8"/>
  <c r="B157" i="11"/>
  <c r="B127" i="8"/>
  <c r="B376" i="11"/>
  <c r="B244" i="16"/>
  <c r="B549" i="16"/>
  <c r="B202" i="17"/>
  <c r="B18" i="15"/>
  <c r="B480" i="14"/>
  <c r="B476" i="14"/>
  <c r="B204" i="15"/>
  <c r="B165" i="14"/>
  <c r="B327" i="16"/>
  <c r="B175" i="15"/>
  <c r="B391" i="15"/>
  <c r="B80" i="15"/>
  <c r="B147" i="9"/>
  <c r="B237" i="10"/>
  <c r="B378" i="13"/>
  <c r="B472" i="13"/>
  <c r="B164" i="8"/>
  <c r="B468" i="12"/>
  <c r="B11" i="11"/>
  <c r="B434" i="12"/>
  <c r="B126" i="13"/>
  <c r="B272" i="10"/>
  <c r="B90" i="12"/>
  <c r="B338" i="11"/>
  <c r="B50" i="17"/>
  <c r="B552" i="17"/>
  <c r="B165" i="13"/>
  <c r="B162" i="13"/>
  <c r="B21" i="18"/>
  <c r="B217" i="15"/>
  <c r="B244" i="13"/>
  <c r="B227" i="9"/>
  <c r="B269" i="8"/>
  <c r="B398" i="13"/>
  <c r="B478" i="13"/>
  <c r="B49" i="13"/>
  <c r="B146" i="11"/>
  <c r="B452" i="11"/>
  <c r="B126" i="11"/>
  <c r="B13" i="10"/>
  <c r="B163" i="8"/>
  <c r="B65" i="11"/>
  <c r="B235" i="6"/>
  <c r="B457" i="11"/>
  <c r="B548" i="17"/>
  <c r="B475" i="14"/>
  <c r="B471" i="17"/>
  <c r="B394" i="15"/>
  <c r="B270" i="15"/>
  <c r="B634" i="17"/>
  <c r="B207" i="14"/>
  <c r="B193" i="15"/>
  <c r="B54" i="18"/>
  <c r="B91" i="14"/>
  <c r="B56" i="16"/>
  <c r="B202" i="14"/>
  <c r="B318" i="14"/>
  <c r="B237" i="17"/>
  <c r="B255" i="17" s="1"/>
  <c r="B61" i="14"/>
  <c r="B237" i="16"/>
  <c r="B255" i="16" s="1"/>
  <c r="B24" i="14"/>
  <c r="B200" i="14"/>
  <c r="B324" i="14"/>
  <c r="B269" i="15"/>
  <c r="B102" i="10"/>
  <c r="B301" i="10"/>
  <c r="B238" i="11"/>
  <c r="B213" i="12"/>
  <c r="B315" i="12"/>
  <c r="B109" i="9"/>
  <c r="B55" i="13"/>
  <c r="B447" i="10"/>
  <c r="B391" i="13"/>
  <c r="B409" i="13" s="1"/>
  <c r="B97" i="17"/>
  <c r="B414" i="9"/>
  <c r="B100" i="10"/>
  <c r="B56" i="10"/>
  <c r="B231" i="9"/>
  <c r="B261" i="10"/>
  <c r="B280" i="10" s="1"/>
  <c r="B253" i="12"/>
  <c r="B272" i="12"/>
  <c r="B481" i="14"/>
  <c r="B191" i="15"/>
  <c r="B210" i="15" s="1"/>
  <c r="B201" i="15"/>
  <c r="B147" i="15"/>
  <c r="B686" i="17"/>
  <c r="B163" i="14"/>
  <c r="B384" i="15"/>
  <c r="B315" i="15"/>
  <c r="B315" i="16"/>
  <c r="B202" i="13"/>
  <c r="B56" i="14"/>
  <c r="B50" i="16"/>
  <c r="B98" i="14"/>
  <c r="B136" i="16"/>
  <c r="B136" i="14"/>
  <c r="B429" i="15"/>
  <c r="B203" i="13"/>
  <c r="B13" i="14"/>
  <c r="B203" i="14"/>
  <c r="B552" i="14"/>
  <c r="B378" i="14"/>
  <c r="B215" i="15"/>
  <c r="B113" i="10"/>
  <c r="B82" i="10"/>
  <c r="B311" i="11"/>
  <c r="B378" i="11"/>
  <c r="B136" i="12"/>
  <c r="B101" i="6"/>
  <c r="B302" i="12"/>
  <c r="B349" i="10"/>
  <c r="B275" i="10"/>
  <c r="B263" i="11"/>
  <c r="B423" i="9"/>
  <c r="B239" i="9"/>
  <c r="B201" i="9"/>
  <c r="B165" i="8"/>
  <c r="B141" i="8"/>
  <c r="B210" i="12"/>
  <c r="B468" i="14"/>
  <c r="B486" i="14" s="1"/>
  <c r="B385" i="15"/>
  <c r="B316" i="15"/>
  <c r="B281" i="15"/>
  <c r="B318" i="16"/>
  <c r="B164" i="14"/>
  <c r="B329" i="15"/>
  <c r="B169" i="16"/>
  <c r="B202" i="15"/>
  <c r="B457" i="15"/>
  <c r="B476" i="15" s="1"/>
  <c r="B56" i="18"/>
  <c r="B51" i="18"/>
  <c r="B546" i="17"/>
  <c r="B206" i="14"/>
  <c r="B392" i="15"/>
  <c r="B553" i="17"/>
  <c r="B244" i="14"/>
  <c r="B19" i="14"/>
  <c r="B629" i="14"/>
  <c r="B545" i="14"/>
  <c r="B563" i="14" s="1"/>
  <c r="B320" i="14"/>
  <c r="B608" i="13"/>
  <c r="B397" i="14"/>
  <c r="B277" i="15"/>
  <c r="B274" i="10"/>
  <c r="B413" i="11"/>
  <c r="B383" i="11"/>
  <c r="B141" i="12"/>
  <c r="B102" i="6"/>
  <c r="B478" i="12"/>
  <c r="B263" i="9"/>
  <c r="B447" i="9"/>
  <c r="B466" i="9" s="1"/>
  <c r="B308" i="10"/>
  <c r="B388" i="12"/>
  <c r="B306" i="12"/>
  <c r="B14" i="8"/>
  <c r="B11" i="8"/>
  <c r="B55" i="8"/>
  <c r="B422" i="9"/>
  <c r="B216" i="12"/>
  <c r="B545" i="16"/>
  <c r="B563" i="16" s="1"/>
  <c r="B167" i="14"/>
  <c r="B311" i="15"/>
  <c r="B23" i="18"/>
  <c r="B21" i="15"/>
  <c r="B382" i="15"/>
  <c r="B314" i="16"/>
  <c r="B332" i="16" s="1"/>
  <c r="B406" i="15"/>
  <c r="B395" i="15"/>
  <c r="B49" i="16"/>
  <c r="B250" i="14"/>
  <c r="B206" i="13"/>
  <c r="B14" i="14"/>
  <c r="B377" i="14"/>
  <c r="B455" i="16"/>
  <c r="B267" i="15"/>
  <c r="B286" i="15" s="1"/>
  <c r="B267" i="10"/>
  <c r="B226" i="11"/>
  <c r="B62" i="12"/>
  <c r="B130" i="8"/>
  <c r="B279" i="6"/>
  <c r="B168" i="12"/>
  <c r="B192" i="12" s="1"/>
  <c r="B192" i="9"/>
  <c r="B300" i="10"/>
  <c r="B283" i="9"/>
  <c r="B555" i="13"/>
  <c r="B477" i="13"/>
  <c r="B428" i="12"/>
  <c r="B376" i="10"/>
  <c r="B137" i="12"/>
  <c r="B238" i="16"/>
  <c r="B355" i="15"/>
  <c r="B171" i="14"/>
  <c r="B169" i="14"/>
  <c r="B377" i="16"/>
  <c r="B305" i="15"/>
  <c r="B324" i="15" s="1"/>
  <c r="B309" i="15"/>
  <c r="B327" i="14"/>
  <c r="B103" i="15"/>
  <c r="B88" i="14"/>
  <c r="B199" i="14"/>
  <c r="B85" i="17"/>
  <c r="B97" i="14"/>
  <c r="B127" i="16"/>
  <c r="B240" i="14"/>
  <c r="B394" i="14"/>
  <c r="B317" i="14"/>
  <c r="B316" i="14"/>
  <c r="B302" i="16"/>
  <c r="B191" i="10"/>
  <c r="B424" i="9"/>
  <c r="B59" i="10"/>
  <c r="B309" i="11"/>
  <c r="B177" i="12"/>
  <c r="B120" i="8"/>
  <c r="B199" i="9"/>
  <c r="B260" i="12"/>
  <c r="B474" i="14"/>
  <c r="B216" i="15"/>
  <c r="B23" i="14"/>
  <c r="B201" i="14"/>
  <c r="B321" i="14"/>
  <c r="B302" i="11"/>
  <c r="B169" i="6"/>
  <c r="B102" i="15"/>
  <c r="B69" i="15"/>
  <c r="B13" i="8"/>
  <c r="B24" i="12"/>
  <c r="B368" i="15"/>
  <c r="B148" i="6"/>
  <c r="B93" i="12"/>
  <c r="B23" i="8"/>
  <c r="B409" i="11"/>
  <c r="B428" i="11" s="1"/>
  <c r="B433" i="15"/>
  <c r="B59" i="9"/>
  <c r="B62" i="15"/>
  <c r="B59" i="15"/>
  <c r="B310" i="9"/>
  <c r="B299" i="9"/>
  <c r="B318" i="9" s="1"/>
  <c r="B191" i="9"/>
  <c r="B111" i="15"/>
  <c r="B231" i="15"/>
  <c r="B232" i="15"/>
  <c r="B112" i="10"/>
  <c r="B205" i="13"/>
  <c r="B109" i="11"/>
  <c r="B94" i="8"/>
  <c r="B249" i="14"/>
  <c r="B403" i="14"/>
  <c r="B552" i="13"/>
  <c r="B243" i="13"/>
  <c r="B264" i="11"/>
  <c r="B445" i="15"/>
  <c r="B468" i="9"/>
  <c r="B344" i="15"/>
  <c r="B629" i="13"/>
  <c r="B340" i="9"/>
  <c r="B413" i="10"/>
  <c r="B170" i="12"/>
  <c r="B343" i="12"/>
  <c r="B243" i="14"/>
  <c r="B241" i="13"/>
  <c r="B56" i="9"/>
  <c r="B297" i="6"/>
  <c r="B532" i="13"/>
  <c r="B144" i="9"/>
  <c r="B165" i="16"/>
  <c r="B58" i="17"/>
  <c r="B421" i="19"/>
  <c r="B314" i="17"/>
  <c r="B332" i="17" s="1"/>
  <c r="B227" i="11"/>
  <c r="B143" i="11"/>
  <c r="B89" i="16"/>
  <c r="B170" i="15"/>
  <c r="B17" i="16"/>
  <c r="B551" i="14"/>
  <c r="B61" i="18"/>
  <c r="B85" i="14"/>
  <c r="B302" i="18"/>
  <c r="B238" i="14"/>
  <c r="B211" i="14"/>
  <c r="B635" i="13"/>
  <c r="B280" i="15"/>
  <c r="B237" i="11"/>
  <c r="B97" i="12"/>
  <c r="B339" i="10"/>
  <c r="B25" i="15"/>
  <c r="B622" i="14"/>
  <c r="B640" i="14" s="1"/>
  <c r="B198" i="10"/>
  <c r="B391" i="14"/>
  <c r="B409" i="14" s="1"/>
  <c r="B272" i="9"/>
  <c r="B309" i="12"/>
  <c r="B157" i="10"/>
  <c r="B145" i="10"/>
  <c r="B353" i="15"/>
  <c r="B35" i="11"/>
  <c r="B17" i="11"/>
  <c r="B343" i="15"/>
  <c r="B362" i="15" s="1"/>
  <c r="B624" i="14"/>
  <c r="B239" i="14"/>
  <c r="B463" i="15"/>
  <c r="B558" i="13"/>
  <c r="B201" i="8"/>
  <c r="B85" i="13"/>
  <c r="B420" i="9"/>
  <c r="B349" i="11"/>
  <c r="B168" i="14"/>
  <c r="B211" i="13"/>
  <c r="B122" i="8"/>
  <c r="B144" i="10"/>
  <c r="B41" i="15"/>
  <c r="B487" i="12"/>
  <c r="B415" i="10"/>
  <c r="B432" i="12"/>
  <c r="B225" i="8"/>
  <c r="B243" i="8" s="1"/>
  <c r="B404" i="14"/>
  <c r="B547" i="14"/>
  <c r="B56" i="11"/>
  <c r="B68" i="11"/>
  <c r="B243" i="15"/>
  <c r="B399" i="14"/>
  <c r="B422" i="10"/>
  <c r="B15" i="11"/>
  <c r="B61" i="11"/>
  <c r="B546" i="13"/>
  <c r="B167" i="12"/>
  <c r="B222" i="12"/>
  <c r="B383" i="10"/>
  <c r="B549" i="13"/>
  <c r="B234" i="8"/>
  <c r="B385" i="10"/>
  <c r="B307" i="6"/>
  <c r="B301" i="13"/>
  <c r="B533" i="14"/>
  <c r="B297" i="12"/>
  <c r="B316" i="12" s="1"/>
  <c r="B318" i="12" s="1"/>
  <c r="B15" i="17"/>
  <c r="B391" i="17"/>
  <c r="B409" i="17" s="1"/>
  <c r="B13" i="18"/>
  <c r="B38" i="9"/>
  <c r="B558" i="18"/>
  <c r="B405" i="15"/>
  <c r="B18" i="14"/>
  <c r="B201" i="13"/>
  <c r="B49" i="18"/>
  <c r="B395" i="14"/>
  <c r="B410" i="9"/>
  <c r="B429" i="9" s="1"/>
  <c r="B385" i="12"/>
  <c r="B551" i="13"/>
  <c r="B58" i="15"/>
  <c r="B192" i="8"/>
  <c r="B123" i="15"/>
  <c r="B101" i="15"/>
  <c r="B268" i="15"/>
  <c r="B265" i="12"/>
  <c r="B175" i="12"/>
  <c r="B375" i="9"/>
  <c r="B425" i="12"/>
  <c r="B282" i="11"/>
  <c r="B383" i="9"/>
  <c r="B201" i="10"/>
  <c r="B146" i="15"/>
  <c r="B70" i="15"/>
  <c r="B199" i="11"/>
  <c r="B429" i="12"/>
  <c r="B21" i="11"/>
  <c r="B282" i="10"/>
  <c r="B245" i="14"/>
  <c r="B12" i="15"/>
  <c r="B461" i="15"/>
  <c r="B444" i="12"/>
  <c r="B193" i="11"/>
  <c r="B12" i="12"/>
  <c r="B450" i="9"/>
  <c r="B313" i="9"/>
  <c r="B131" i="14"/>
  <c r="B23" i="15"/>
  <c r="B398" i="14"/>
  <c r="B338" i="9"/>
  <c r="B126" i="14"/>
  <c r="B66" i="11"/>
  <c r="B91" i="8"/>
  <c r="B233" i="8"/>
  <c r="B480" i="12"/>
  <c r="B144" i="6"/>
  <c r="B99" i="12"/>
  <c r="B347" i="12"/>
  <c r="B425" i="20"/>
  <c r="B239" i="15"/>
  <c r="B360" i="10"/>
  <c r="B212" i="13"/>
  <c r="B58" i="10"/>
  <c r="B25" i="11"/>
  <c r="B386" i="12"/>
  <c r="B379" i="13"/>
  <c r="B358" i="12"/>
  <c r="B623" i="17"/>
  <c r="B207" i="16"/>
  <c r="B205" i="16"/>
  <c r="B255" i="21"/>
  <c r="B267" i="19"/>
  <c r="B286" i="19" s="1"/>
  <c r="B420" i="19"/>
  <c r="B263" i="12"/>
  <c r="B220" i="12"/>
  <c r="B202" i="22"/>
  <c r="B163" i="18"/>
  <c r="B173" i="14"/>
  <c r="B250" i="16"/>
  <c r="B249" i="16"/>
  <c r="B207" i="13"/>
  <c r="B546" i="14"/>
  <c r="B471" i="12"/>
  <c r="B347" i="9"/>
  <c r="B630" i="13"/>
  <c r="B237" i="14"/>
  <c r="B255" i="14" s="1"/>
  <c r="B227" i="8"/>
  <c r="B103" i="10"/>
  <c r="B129" i="15"/>
  <c r="B229" i="12"/>
  <c r="B186" i="12"/>
  <c r="B132" i="8"/>
  <c r="B626" i="13"/>
  <c r="B626" i="14"/>
  <c r="B261" i="11"/>
  <c r="B280" i="11" s="1"/>
  <c r="B96" i="8"/>
  <c r="B685" i="14"/>
  <c r="B191" i="11"/>
  <c r="B628" i="13"/>
  <c r="B22" i="11"/>
  <c r="B24" i="8"/>
  <c r="B339" i="9"/>
  <c r="B114" i="15"/>
  <c r="B135" i="14"/>
  <c r="B273" i="9"/>
  <c r="B55" i="11"/>
  <c r="B230" i="10"/>
  <c r="B274" i="11"/>
  <c r="B367" i="15"/>
  <c r="B171" i="15"/>
  <c r="B130" i="14"/>
  <c r="B553" i="13"/>
  <c r="B395" i="12"/>
  <c r="B164" i="13"/>
  <c r="B394" i="9"/>
  <c r="B356" i="10"/>
  <c r="B341" i="11"/>
  <c r="B312" i="9"/>
  <c r="B13" i="15"/>
  <c r="B347" i="15"/>
  <c r="B125" i="15"/>
  <c r="B23" i="11"/>
  <c r="B413" i="9"/>
  <c r="B211" i="12"/>
  <c r="B230" i="12" s="1"/>
  <c r="B232" i="12" s="1"/>
  <c r="B191" i="8"/>
  <c r="B95" i="12"/>
  <c r="B99" i="10"/>
  <c r="B349" i="15"/>
  <c r="B156" i="15"/>
  <c r="B34" i="11"/>
  <c r="B275" i="11"/>
  <c r="B18" i="13"/>
  <c r="AT41" i="1"/>
  <c r="B414" i="14" s="1"/>
  <c r="AU41" i="1"/>
  <c r="B415" i="14" s="1"/>
  <c r="AU28" i="1"/>
  <c r="B338" i="13" s="1"/>
  <c r="AT28" i="1"/>
  <c r="B337" i="13" s="1"/>
  <c r="B583" i="17"/>
  <c r="B279" i="15"/>
  <c r="B327" i="15"/>
  <c r="B236" i="15"/>
  <c r="B108" i="15"/>
  <c r="B377" i="17"/>
  <c r="B89" i="8"/>
  <c r="B167" i="13"/>
  <c r="B382" i="22"/>
  <c r="B401" i="22" s="1"/>
  <c r="B112" i="11"/>
  <c r="B415" i="11"/>
  <c r="B38" i="11"/>
  <c r="B195" i="15"/>
  <c r="B341" i="10"/>
  <c r="B303" i="9"/>
  <c r="B36" i="12"/>
  <c r="B37" i="12" s="1"/>
  <c r="B454" i="14"/>
  <c r="B374" i="9"/>
  <c r="B65" i="9"/>
  <c r="B82" i="11"/>
  <c r="B345" i="19"/>
  <c r="B129" i="22"/>
  <c r="B204" i="19"/>
  <c r="B147" i="20"/>
  <c r="B233" i="20"/>
  <c r="B238" i="17"/>
  <c r="B255" i="20"/>
  <c r="B302" i="14"/>
  <c r="B113" i="6"/>
  <c r="B446" i="10"/>
  <c r="B465" i="10" s="1"/>
  <c r="B393" i="13"/>
  <c r="B608" i="14"/>
  <c r="B261" i="12"/>
  <c r="B101" i="12"/>
  <c r="B335" i="11"/>
  <c r="B354" i="11" s="1"/>
  <c r="B159" i="15"/>
  <c r="B312" i="10"/>
  <c r="B168" i="15"/>
  <c r="B115" i="15"/>
  <c r="B163" i="13"/>
  <c r="B17" i="15"/>
  <c r="B69" i="9"/>
  <c r="B634" i="13"/>
  <c r="B208" i="10"/>
  <c r="B318" i="15"/>
  <c r="B336" i="11"/>
  <c r="B200" i="11"/>
  <c r="B459" i="9"/>
  <c r="B14" i="15"/>
  <c r="B471" i="15"/>
  <c r="B347" i="11"/>
  <c r="B119" i="8"/>
  <c r="B459" i="10"/>
  <c r="B411" i="10"/>
  <c r="B24" i="15"/>
  <c r="B128" i="8"/>
  <c r="B227" i="10"/>
  <c r="B322" i="14"/>
  <c r="B203" i="17"/>
  <c r="B17" i="14"/>
  <c r="B326" i="16"/>
  <c r="B161" i="14"/>
  <c r="B174" i="14"/>
  <c r="B163" i="17"/>
  <c r="B263" i="10"/>
  <c r="B440" i="20"/>
  <c r="B675" i="17"/>
  <c r="B113" i="15"/>
  <c r="B350" i="15"/>
  <c r="B63" i="15"/>
  <c r="B426" i="15"/>
  <c r="B48" i="13"/>
  <c r="B367" i="20"/>
  <c r="B226" i="8"/>
  <c r="B407" i="21"/>
  <c r="B111" i="21"/>
  <c r="B309" i="10"/>
  <c r="B103" i="9"/>
  <c r="B85" i="8"/>
  <c r="B86" i="15"/>
  <c r="B41" i="22"/>
  <c r="B173" i="12"/>
  <c r="B200" i="13"/>
  <c r="B443" i="15"/>
  <c r="B271" i="11"/>
  <c r="B378" i="10"/>
  <c r="B383" i="12"/>
  <c r="B407" i="12" s="1"/>
  <c r="B143" i="6"/>
  <c r="B456" i="10"/>
  <c r="B41" i="21"/>
  <c r="B170" i="20"/>
  <c r="B468" i="19"/>
  <c r="B125" i="19"/>
  <c r="B69" i="20"/>
  <c r="B356" i="19"/>
  <c r="B463" i="20"/>
  <c r="B315" i="17"/>
  <c r="B195" i="21"/>
  <c r="B470" i="20"/>
  <c r="B426" i="22"/>
  <c r="B175" i="19"/>
  <c r="B253" i="20"/>
  <c r="B165" i="18"/>
  <c r="B255" i="22"/>
  <c r="B174" i="16"/>
  <c r="B170" i="19"/>
  <c r="B13" i="20"/>
  <c r="B302" i="17"/>
  <c r="B115" i="21"/>
  <c r="B483" i="15"/>
  <c r="B190" i="8"/>
  <c r="B208" i="8" s="1"/>
  <c r="B337" i="9"/>
  <c r="B425" i="15"/>
  <c r="B56" i="12"/>
  <c r="B390" i="12"/>
  <c r="B78" i="15"/>
  <c r="B129" i="14"/>
  <c r="B421" i="9"/>
  <c r="B625" i="13"/>
  <c r="B419" i="15"/>
  <c r="B438" i="15" s="1"/>
  <c r="B189" i="10"/>
  <c r="B346" i="15"/>
  <c r="B379" i="14"/>
  <c r="B272" i="8"/>
  <c r="B557" i="14"/>
  <c r="B309" i="9"/>
  <c r="B272" i="11"/>
  <c r="B609" i="14"/>
  <c r="B553" i="14"/>
  <c r="B40" i="15"/>
  <c r="B200" i="8"/>
  <c r="B296" i="6"/>
  <c r="B315" i="6" s="1"/>
  <c r="B623" i="14"/>
  <c r="B420" i="11"/>
  <c r="B271" i="15"/>
  <c r="B234" i="10"/>
  <c r="B14" i="10"/>
  <c r="B314" i="14"/>
  <c r="B332" i="14" s="1"/>
  <c r="B88" i="17"/>
  <c r="B184" i="17"/>
  <c r="B48" i="14"/>
  <c r="B686" i="13"/>
  <c r="B319" i="15"/>
  <c r="B166" i="11"/>
  <c r="B526" i="14"/>
  <c r="B349" i="16"/>
  <c r="B593" i="16"/>
  <c r="B573" i="16"/>
  <c r="B578" i="17"/>
  <c r="B317" i="15"/>
  <c r="B678" i="17"/>
  <c r="B388" i="15"/>
  <c r="B492" i="16"/>
  <c r="B169" i="15"/>
  <c r="B13" i="13"/>
  <c r="B373" i="10"/>
  <c r="B79" i="9"/>
  <c r="B69" i="21"/>
  <c r="B233" i="19"/>
  <c r="B263" i="8"/>
  <c r="B24" i="11"/>
  <c r="B231" i="8"/>
  <c r="B329" i="22"/>
  <c r="B168" i="21"/>
  <c r="B65" i="10"/>
  <c r="B449" i="9"/>
  <c r="B375" i="10"/>
  <c r="B404" i="18"/>
  <c r="B50" i="12"/>
  <c r="B346" i="9"/>
  <c r="B124" i="14"/>
  <c r="B468" i="20"/>
  <c r="B421" i="21"/>
  <c r="B33" i="20"/>
  <c r="B316" i="22"/>
  <c r="B444" i="19"/>
  <c r="B39" i="19"/>
  <c r="B12" i="21"/>
  <c r="B271" i="21"/>
  <c r="B80" i="21"/>
  <c r="B229" i="21"/>
  <c r="B107" i="22"/>
  <c r="B85" i="20"/>
  <c r="B388" i="22"/>
  <c r="B326" i="17"/>
  <c r="B60" i="20"/>
  <c r="B378" i="17"/>
  <c r="B458" i="21"/>
  <c r="B306" i="22"/>
  <c r="B70" i="20"/>
  <c r="B60" i="19"/>
  <c r="B445" i="19"/>
  <c r="B168" i="18"/>
  <c r="B379" i="18"/>
  <c r="B129" i="21"/>
  <c r="B420" i="20"/>
  <c r="B133" i="18"/>
  <c r="B343" i="21"/>
  <c r="B362" i="21" s="1"/>
  <c r="B345" i="22"/>
  <c r="B292" i="22"/>
  <c r="B432" i="19"/>
  <c r="B56" i="22"/>
  <c r="B314" i="18"/>
  <c r="B332" i="18" s="1"/>
  <c r="B381" i="20"/>
  <c r="B400" i="20" s="1"/>
  <c r="B125" i="21"/>
  <c r="B127" i="18"/>
  <c r="B287" i="20"/>
  <c r="B145" i="6"/>
  <c r="B93" i="8"/>
  <c r="B634" i="14"/>
  <c r="B23" i="12"/>
  <c r="B687" i="13"/>
  <c r="B57" i="9"/>
  <c r="B78" i="11"/>
  <c r="B84" i="9"/>
  <c r="B456" i="11"/>
  <c r="B11" i="15"/>
  <c r="B174" i="13"/>
  <c r="B143" i="10"/>
  <c r="B356" i="15"/>
  <c r="B630" i="14"/>
  <c r="B382" i="10"/>
  <c r="B469" i="12"/>
  <c r="B498" i="12" s="1"/>
  <c r="B557" i="13"/>
  <c r="B107" i="15"/>
  <c r="B265" i="10"/>
  <c r="B402" i="19"/>
  <c r="B156" i="10"/>
  <c r="B270" i="6"/>
  <c r="B66" i="15"/>
  <c r="B261" i="8"/>
  <c r="B241" i="14"/>
  <c r="B348" i="10"/>
  <c r="B17" i="10"/>
  <c r="B549" i="14"/>
  <c r="B135" i="16"/>
  <c r="B551" i="17"/>
  <c r="B50" i="14"/>
  <c r="B369" i="15"/>
  <c r="B34" i="20"/>
  <c r="B470" i="15"/>
  <c r="B146" i="20"/>
  <c r="B426" i="12"/>
  <c r="B452" i="12" s="1"/>
  <c r="B604" i="16"/>
  <c r="B593" i="17"/>
  <c r="B606" i="17"/>
  <c r="B479" i="15"/>
  <c r="B667" i="17"/>
  <c r="B645" i="16"/>
  <c r="B478" i="19"/>
  <c r="B337" i="16"/>
  <c r="B261" i="16"/>
  <c r="B491" i="16"/>
  <c r="B132" i="12"/>
  <c r="B78" i="21"/>
  <c r="B236" i="8"/>
  <c r="B384" i="22"/>
  <c r="B308" i="15"/>
  <c r="B686" i="14"/>
  <c r="B237" i="8"/>
  <c r="B386" i="9"/>
  <c r="B460" i="22"/>
  <c r="B347" i="20"/>
  <c r="B307" i="22"/>
  <c r="B204" i="20"/>
  <c r="B101" i="9"/>
  <c r="B218" i="12"/>
  <c r="B57" i="11"/>
  <c r="B386" i="10"/>
  <c r="B101" i="22"/>
  <c r="B305" i="22"/>
  <c r="B324" i="22" s="1"/>
  <c r="B161" i="16"/>
  <c r="B190" i="9"/>
  <c r="B457" i="10"/>
  <c r="B401" i="14"/>
  <c r="B422" i="15"/>
  <c r="B197" i="21"/>
  <c r="B470" i="21"/>
  <c r="B471" i="19"/>
  <c r="B445" i="22"/>
  <c r="B367" i="19"/>
  <c r="B471" i="21"/>
  <c r="B21" i="20"/>
  <c r="B125" i="20"/>
  <c r="B70" i="19"/>
  <c r="B58" i="19"/>
  <c r="B35" i="19"/>
  <c r="B548" i="16"/>
  <c r="B86" i="20"/>
  <c r="B270" i="22"/>
  <c r="B78" i="20"/>
  <c r="B349" i="20"/>
  <c r="B345" i="20"/>
  <c r="B191" i="21"/>
  <c r="B210" i="21" s="1"/>
  <c r="B434" i="22"/>
  <c r="B136" i="18"/>
  <c r="B383" i="19"/>
  <c r="B457" i="20"/>
  <c r="B476" i="20" s="1"/>
  <c r="B467" i="21"/>
  <c r="B422" i="22"/>
  <c r="B194" i="19"/>
  <c r="B685" i="18"/>
  <c r="B114" i="22"/>
  <c r="B105" i="20"/>
  <c r="B459" i="19"/>
  <c r="B35" i="22"/>
  <c r="B305" i="19"/>
  <c r="B324" i="19" s="1"/>
  <c r="B432" i="21"/>
  <c r="B382" i="19"/>
  <c r="B292" i="20"/>
  <c r="B150" i="19"/>
  <c r="B239" i="20"/>
  <c r="B443" i="19"/>
  <c r="B623" i="18"/>
  <c r="B130" i="18"/>
  <c r="B345" i="21"/>
  <c r="B205" i="22"/>
  <c r="B422" i="20"/>
  <c r="B147" i="18"/>
  <c r="B368" i="21"/>
  <c r="B157" i="22"/>
  <c r="B201" i="21"/>
  <c r="B97" i="18"/>
  <c r="B472" i="17"/>
  <c r="B462" i="22"/>
  <c r="B395" i="20"/>
  <c r="B318" i="18"/>
  <c r="B105" i="21"/>
  <c r="B347" i="22"/>
  <c r="B57" i="21"/>
  <c r="B104" i="21"/>
  <c r="B300" i="18"/>
  <c r="B59" i="19"/>
  <c r="B432" i="15"/>
  <c r="B382" i="12"/>
  <c r="B59" i="11"/>
  <c r="B150" i="15"/>
  <c r="B335" i="10"/>
  <c r="B354" i="10" s="1"/>
  <c r="B336" i="10"/>
  <c r="B126" i="15"/>
  <c r="B17" i="12"/>
  <c r="B57" i="15"/>
  <c r="B13" i="11"/>
  <c r="B348" i="11"/>
  <c r="B157" i="15"/>
  <c r="B176" i="15"/>
  <c r="B436" i="12"/>
  <c r="B187" i="10"/>
  <c r="B206" i="10" s="1"/>
  <c r="B625" i="14"/>
  <c r="B468" i="15"/>
  <c r="B229" i="8"/>
  <c r="B555" i="14"/>
  <c r="B459" i="15"/>
  <c r="B154" i="10"/>
  <c r="B36" i="15"/>
  <c r="B262" i="9"/>
  <c r="B281" i="9" s="1"/>
  <c r="B102" i="12"/>
  <c r="B160" i="15"/>
  <c r="B376" i="9"/>
  <c r="B392" i="14"/>
  <c r="B273" i="6"/>
  <c r="B302" i="9"/>
  <c r="B15" i="14"/>
  <c r="B56" i="17"/>
  <c r="B123" i="17"/>
  <c r="B243" i="18"/>
  <c r="B381" i="15"/>
  <c r="B400" i="15" s="1"/>
  <c r="B11" i="16"/>
  <c r="B292" i="15"/>
  <c r="B430" i="19"/>
  <c r="B603" i="16"/>
  <c r="B598" i="17"/>
  <c r="B573" i="17"/>
  <c r="B677" i="17"/>
  <c r="B660" i="17"/>
  <c r="B681" i="17"/>
  <c r="B469" i="19"/>
  <c r="B464" i="15"/>
  <c r="B569" i="16"/>
  <c r="B431" i="20"/>
  <c r="B315" i="20"/>
  <c r="B467" i="11"/>
  <c r="B40" i="22"/>
  <c r="B379" i="9"/>
  <c r="B131" i="15"/>
  <c r="B686" i="18"/>
  <c r="B433" i="21"/>
  <c r="B685" i="13"/>
  <c r="B374" i="10"/>
  <c r="B200" i="10"/>
  <c r="B423" i="15"/>
  <c r="B17" i="22"/>
  <c r="B159" i="20"/>
  <c r="B40" i="21"/>
  <c r="B24" i="9"/>
  <c r="B609" i="18"/>
  <c r="B238" i="10"/>
  <c r="B311" i="9"/>
  <c r="B14" i="11"/>
  <c r="B635" i="14"/>
  <c r="B467" i="15"/>
  <c r="B98" i="16"/>
  <c r="B175" i="8"/>
  <c r="B33" i="21"/>
  <c r="B270" i="8"/>
  <c r="B461" i="21"/>
  <c r="B293" i="20"/>
  <c r="B395" i="21"/>
  <c r="B429" i="20"/>
  <c r="B394" i="16"/>
  <c r="B147" i="19"/>
  <c r="B306" i="19"/>
  <c r="B59" i="21"/>
  <c r="B463" i="19"/>
  <c r="B156" i="19"/>
  <c r="B461" i="19"/>
  <c r="B250" i="21"/>
  <c r="B231" i="20"/>
  <c r="B628" i="18"/>
  <c r="B233" i="22"/>
  <c r="B217" i="21"/>
  <c r="B80" i="20"/>
  <c r="B318" i="17"/>
  <c r="B131" i="20"/>
  <c r="B66" i="21"/>
  <c r="B424" i="22"/>
  <c r="B230" i="20"/>
  <c r="B635" i="18"/>
  <c r="B230" i="21"/>
  <c r="B204" i="21"/>
  <c r="B268" i="21"/>
  <c r="B277" i="20"/>
  <c r="B268" i="20"/>
  <c r="B425" i="21"/>
  <c r="B355" i="19"/>
  <c r="B443" i="21"/>
  <c r="B15" i="20"/>
  <c r="B291" i="19"/>
  <c r="B25" i="19"/>
  <c r="B430" i="22"/>
  <c r="B458" i="20"/>
  <c r="B157" i="19"/>
  <c r="B273" i="20"/>
  <c r="B271" i="19"/>
  <c r="B317" i="17"/>
  <c r="B124" i="18"/>
  <c r="B309" i="21"/>
  <c r="B175" i="22"/>
  <c r="B267" i="20"/>
  <c r="B286" i="20" s="1"/>
  <c r="B337" i="18"/>
  <c r="B12" i="18"/>
  <c r="B311" i="21"/>
  <c r="B212" i="20"/>
  <c r="B381" i="21"/>
  <c r="B400" i="21" s="1"/>
  <c r="B317" i="18"/>
  <c r="B167" i="16"/>
  <c r="B197" i="22"/>
  <c r="B622" i="18"/>
  <c r="B640" i="18" s="1"/>
  <c r="B123" i="18"/>
  <c r="B369" i="21"/>
  <c r="B70" i="22"/>
  <c r="B162" i="17"/>
  <c r="B322" i="18"/>
  <c r="B168" i="19"/>
  <c r="B420" i="15"/>
  <c r="B305" i="12"/>
  <c r="B14" i="13"/>
  <c r="B149" i="15"/>
  <c r="B146" i="10"/>
  <c r="B114" i="19"/>
  <c r="B84" i="8"/>
  <c r="B233" i="15"/>
  <c r="B20" i="12"/>
  <c r="B253" i="15"/>
  <c r="B437" i="12"/>
  <c r="B51" i="12"/>
  <c r="B456" i="14"/>
  <c r="B298" i="10"/>
  <c r="B317" i="10" s="1"/>
  <c r="B345" i="11"/>
  <c r="B15" i="15"/>
  <c r="B235" i="20"/>
  <c r="B337" i="11"/>
  <c r="B168" i="13"/>
  <c r="B460" i="15"/>
  <c r="B254" i="15"/>
  <c r="B202" i="8"/>
  <c r="B632" i="14"/>
  <c r="B153" i="10"/>
  <c r="B59" i="12"/>
  <c r="B174" i="15"/>
  <c r="B161" i="13"/>
  <c r="B262" i="12"/>
  <c r="B338" i="10"/>
  <c r="B11" i="14"/>
  <c r="B549" i="17"/>
  <c r="B205" i="17"/>
  <c r="B60" i="14"/>
  <c r="B245" i="18"/>
  <c r="B345" i="15"/>
  <c r="B241" i="17"/>
  <c r="B130" i="15"/>
  <c r="B391" i="12"/>
  <c r="B236" i="11"/>
  <c r="B231" i="6"/>
  <c r="AS4" i="1"/>
  <c r="B111" i="10"/>
  <c r="B415" i="16"/>
  <c r="B83" i="11"/>
  <c r="B458" i="10"/>
  <c r="B393" i="21"/>
  <c r="B155" i="11"/>
  <c r="AS24" i="1"/>
  <c r="B393" i="12" s="1"/>
  <c r="AP25" i="1"/>
  <c r="P25" i="1"/>
  <c r="Q25" i="1" s="1"/>
  <c r="B127" i="11"/>
  <c r="B301" i="16"/>
  <c r="B355" i="21"/>
  <c r="B111" i="9"/>
  <c r="B127" i="10"/>
  <c r="B464" i="20"/>
  <c r="CC38" i="1"/>
  <c r="B679" i="28" s="1"/>
  <c r="BU38" i="1"/>
  <c r="B671" i="28" s="1"/>
  <c r="BM38" i="1"/>
  <c r="B664" i="28" s="1"/>
  <c r="BE38" i="1"/>
  <c r="B656" i="28" s="1"/>
  <c r="AW38" i="1"/>
  <c r="B648" i="28" s="1"/>
  <c r="CB38" i="1"/>
  <c r="B678" i="28" s="1"/>
  <c r="BT38" i="1"/>
  <c r="B670" i="28" s="1"/>
  <c r="BL38" i="1"/>
  <c r="B663" i="28" s="1"/>
  <c r="BD38" i="1"/>
  <c r="B655" i="28" s="1"/>
  <c r="AV38" i="1"/>
  <c r="B647" i="28" s="1"/>
  <c r="CA38" i="1"/>
  <c r="B677" i="28" s="1"/>
  <c r="BS38" i="1"/>
  <c r="BK38" i="1"/>
  <c r="B662" i="28" s="1"/>
  <c r="BC38" i="1"/>
  <c r="B654" i="28" s="1"/>
  <c r="AU38" i="1"/>
  <c r="B646" i="28" s="1"/>
  <c r="CH38" i="1"/>
  <c r="B684" i="28" s="1"/>
  <c r="BZ38" i="1"/>
  <c r="BR38" i="1"/>
  <c r="B668" i="28" s="1"/>
  <c r="BJ38" i="1"/>
  <c r="B661" i="28" s="1"/>
  <c r="BB38" i="1"/>
  <c r="B653" i="28" s="1"/>
  <c r="AT38" i="1"/>
  <c r="B645" i="28" s="1"/>
  <c r="CG38" i="1"/>
  <c r="B683" i="28" s="1"/>
  <c r="BY38" i="1"/>
  <c r="B675" i="28" s="1"/>
  <c r="BQ38" i="1"/>
  <c r="B667" i="28" s="1"/>
  <c r="BI38" i="1"/>
  <c r="B660" i="28" s="1"/>
  <c r="BA38" i="1"/>
  <c r="B652" i="28" s="1"/>
  <c r="CF38" i="1"/>
  <c r="BX38" i="1"/>
  <c r="B674" i="28" s="1"/>
  <c r="BP38" i="1"/>
  <c r="B666" i="28" s="1"/>
  <c r="BH38" i="1"/>
  <c r="B659" i="28" s="1"/>
  <c r="AZ38" i="1"/>
  <c r="B651" i="28" s="1"/>
  <c r="CE38" i="1"/>
  <c r="B681" i="28" s="1"/>
  <c r="BW38" i="1"/>
  <c r="B673" i="28" s="1"/>
  <c r="BO38" i="1"/>
  <c r="B665" i="28" s="1"/>
  <c r="BG38" i="1"/>
  <c r="B658" i="28" s="1"/>
  <c r="AY38" i="1"/>
  <c r="B650" i="28" s="1"/>
  <c r="CD38" i="1"/>
  <c r="B680" i="28" s="1"/>
  <c r="BV38" i="1"/>
  <c r="B672" i="28" s="1"/>
  <c r="BN38" i="1"/>
  <c r="BF38" i="1"/>
  <c r="B657" i="28" s="1"/>
  <c r="AX38" i="1"/>
  <c r="B649" i="28" s="1"/>
  <c r="AS38" i="1"/>
  <c r="B210" i="28" s="1"/>
  <c r="B23" i="22"/>
  <c r="B83" i="10"/>
  <c r="B393" i="19"/>
  <c r="P49" i="1"/>
  <c r="B348" i="15" s="1"/>
  <c r="B16" i="14"/>
  <c r="B35" i="14" s="1"/>
  <c r="B62" i="11"/>
  <c r="B379" i="11"/>
  <c r="P20" i="1"/>
  <c r="B229" i="11" s="1"/>
  <c r="AC77" i="1"/>
  <c r="B426" i="20" s="1"/>
  <c r="B130" i="12"/>
  <c r="B298" i="12"/>
  <c r="B470" i="12"/>
  <c r="AC83" i="1"/>
  <c r="B18" i="22" s="1"/>
  <c r="B427" i="12"/>
  <c r="B255" i="12"/>
  <c r="AC4" i="1"/>
  <c r="B63" i="6" s="1"/>
  <c r="B18" i="9"/>
  <c r="P11" i="1"/>
  <c r="B341" i="9" s="1"/>
  <c r="AP11" i="1"/>
  <c r="B195" i="9"/>
  <c r="B343" i="9"/>
  <c r="B303" i="12"/>
  <c r="P26" i="1"/>
  <c r="B133" i="12" s="1"/>
  <c r="B155" i="12" s="1"/>
  <c r="B475" i="12"/>
  <c r="B135" i="12"/>
  <c r="AC73" i="1"/>
  <c r="B108" i="19" s="1"/>
  <c r="B236" i="22"/>
  <c r="B389" i="22"/>
  <c r="B63" i="22"/>
  <c r="AP84" i="1"/>
  <c r="B87" i="22" s="1"/>
  <c r="B212" i="12"/>
  <c r="B384" i="12"/>
  <c r="B52" i="12"/>
  <c r="B125" i="6"/>
  <c r="AC5" i="1"/>
  <c r="B106" i="6" s="1"/>
  <c r="P74" i="1"/>
  <c r="B310" i="19" s="1"/>
  <c r="AP74" i="1"/>
  <c r="B464" i="19"/>
  <c r="B312" i="19"/>
  <c r="B153" i="19"/>
  <c r="AC79" i="1"/>
  <c r="B341" i="12"/>
  <c r="B13" i="12"/>
  <c r="B169" i="12"/>
  <c r="B236" i="21"/>
  <c r="B63" i="21"/>
  <c r="B388" i="21"/>
  <c r="AP7" i="1"/>
  <c r="P7" i="1"/>
  <c r="Q7" i="1" s="1"/>
  <c r="AL7" i="1" s="1"/>
  <c r="B174" i="8" s="1"/>
  <c r="B18" i="8"/>
  <c r="B162" i="8"/>
  <c r="B106" i="9"/>
  <c r="AP13" i="1"/>
  <c r="P13" i="1"/>
  <c r="B104" i="9" s="1"/>
  <c r="B130" i="9" s="1"/>
  <c r="B269" i="9"/>
  <c r="B417" i="9"/>
  <c r="B125" i="10"/>
  <c r="AC17" i="1"/>
  <c r="B106" i="10" s="1"/>
  <c r="AC75" i="1"/>
  <c r="AP75" i="1" s="1"/>
  <c r="B312" i="22"/>
  <c r="B153" i="22"/>
  <c r="AC18" i="1"/>
  <c r="B346" i="12"/>
  <c r="B174" i="12"/>
  <c r="B18" i="12"/>
  <c r="AP23" i="1"/>
  <c r="P23" i="1"/>
  <c r="B172" i="12" s="1"/>
  <c r="AC81" i="1"/>
  <c r="AP81" i="1" s="1"/>
  <c r="B232" i="8"/>
  <c r="P9" i="1"/>
  <c r="B88" i="8" s="1"/>
  <c r="B107" i="8" s="1"/>
  <c r="AP9" i="1"/>
  <c r="B90" i="8"/>
  <c r="AC19" i="1"/>
  <c r="AP19" i="1" s="1"/>
  <c r="P24" i="1"/>
  <c r="B387" i="12" s="1"/>
  <c r="AP24" i="1"/>
  <c r="B57" i="12"/>
  <c r="B217" i="12"/>
  <c r="AC71" i="1"/>
  <c r="B198" i="19" s="1"/>
  <c r="B19" i="19"/>
  <c r="AU54" i="1"/>
  <c r="B338" i="16" s="1"/>
  <c r="B421" i="10"/>
  <c r="B273" i="10"/>
  <c r="B68" i="21"/>
  <c r="B241" i="21"/>
  <c r="B113" i="20"/>
  <c r="B158" i="15"/>
  <c r="B469" i="15"/>
  <c r="B393" i="15"/>
  <c r="B68" i="19"/>
  <c r="B241" i="19"/>
  <c r="B236" i="10"/>
  <c r="B155" i="10"/>
  <c r="B23" i="9"/>
  <c r="B556" i="14"/>
  <c r="B172" i="14"/>
  <c r="B402" i="14"/>
  <c r="B96" i="14"/>
  <c r="B663" i="14"/>
  <c r="B670" i="14"/>
  <c r="B672" i="14"/>
  <c r="B659" i="14"/>
  <c r="B683" i="14"/>
  <c r="B654" i="14"/>
  <c r="B678" i="14"/>
  <c r="B681" i="14"/>
  <c r="B651" i="14"/>
  <c r="B680" i="14"/>
  <c r="B645" i="14"/>
  <c r="B662" i="14"/>
  <c r="B657" i="14"/>
  <c r="B675" i="14"/>
  <c r="B646" i="14"/>
  <c r="B666" i="14"/>
  <c r="B648" i="14"/>
  <c r="B650" i="14"/>
  <c r="B674" i="14"/>
  <c r="B653" i="14"/>
  <c r="B669" i="14"/>
  <c r="B669" i="28"/>
  <c r="B656" i="14"/>
  <c r="B684" i="14"/>
  <c r="B658" i="14"/>
  <c r="B682" i="14"/>
  <c r="B682" i="28"/>
  <c r="B661" i="14"/>
  <c r="B677" i="14"/>
  <c r="B664" i="14"/>
  <c r="B652" i="14"/>
  <c r="B647" i="14"/>
  <c r="B667" i="14"/>
  <c r="B665" i="14"/>
  <c r="B668" i="14"/>
  <c r="B671" i="14"/>
  <c r="B649" i="14"/>
  <c r="B673" i="14"/>
  <c r="B660" i="14"/>
  <c r="B676" i="14"/>
  <c r="B676" i="28"/>
  <c r="B655" i="14"/>
  <c r="B679" i="14"/>
  <c r="B477" i="16"/>
  <c r="AS56" i="1"/>
  <c r="B479" i="16" s="1"/>
  <c r="B430" i="12"/>
  <c r="B198" i="21"/>
  <c r="B426" i="19"/>
  <c r="B229" i="6"/>
  <c r="B158" i="21"/>
  <c r="B469" i="21"/>
  <c r="B241" i="20"/>
  <c r="B68" i="20"/>
  <c r="B61" i="12"/>
  <c r="B317" i="21"/>
  <c r="B431" i="21"/>
  <c r="B279" i="19"/>
  <c r="B25" i="6"/>
  <c r="B197" i="6"/>
  <c r="B431" i="29"/>
  <c r="B279" i="29"/>
  <c r="B458" i="11"/>
  <c r="B441" i="15"/>
  <c r="B357" i="9"/>
  <c r="B356" i="11"/>
  <c r="B212" i="19"/>
  <c r="P63" i="1" l="1"/>
  <c r="Q63" i="1" s="1"/>
  <c r="AL63" i="1" s="1"/>
  <c r="B212" i="9"/>
  <c r="B404" i="15"/>
  <c r="B246" i="11"/>
  <c r="B231" i="12"/>
  <c r="B471" i="10"/>
  <c r="B471" i="9"/>
  <c r="B364" i="15"/>
  <c r="B290" i="15"/>
  <c r="B360" i="11"/>
  <c r="B396" i="11"/>
  <c r="B396" i="10"/>
  <c r="B286" i="10"/>
  <c r="B283" i="11"/>
  <c r="B433" i="9"/>
  <c r="B317" i="12"/>
  <c r="B284" i="11"/>
  <c r="B357" i="11"/>
  <c r="B358" i="9"/>
  <c r="B321" i="11"/>
  <c r="B358" i="11"/>
  <c r="B359" i="9"/>
  <c r="B132" i="21"/>
  <c r="B478" i="15"/>
  <c r="B432" i="9"/>
  <c r="B435" i="9"/>
  <c r="B366" i="15"/>
  <c r="B41" i="10"/>
  <c r="B211" i="10"/>
  <c r="B360" i="12"/>
  <c r="B285" i="10"/>
  <c r="B286" i="11"/>
  <c r="B41" i="9"/>
  <c r="B210" i="10"/>
  <c r="B251" i="21"/>
  <c r="B395" i="9"/>
  <c r="B286" i="9"/>
  <c r="B247" i="10"/>
  <c r="B440" i="15"/>
  <c r="B285" i="11"/>
  <c r="B397" i="9"/>
  <c r="B171" i="6"/>
  <c r="B41" i="11"/>
  <c r="B398" i="9"/>
  <c r="B284" i="10"/>
  <c r="B249" i="10"/>
  <c r="B247" i="11"/>
  <c r="B213" i="9"/>
  <c r="B567" i="16"/>
  <c r="B321" i="10"/>
  <c r="B322" i="11"/>
  <c r="B322" i="9"/>
  <c r="B397" i="11"/>
  <c r="B468" i="11"/>
  <c r="B396" i="9"/>
  <c r="B359" i="11"/>
  <c r="B177" i="19"/>
  <c r="B323" i="11"/>
  <c r="B394" i="10"/>
  <c r="B324" i="9"/>
  <c r="B144" i="17"/>
  <c r="B250" i="15"/>
  <c r="B470" i="10"/>
  <c r="B328" i="15"/>
  <c r="B129" i="9"/>
  <c r="B210" i="16"/>
  <c r="B164" i="16"/>
  <c r="B168" i="16"/>
  <c r="B456" i="17"/>
  <c r="B399" i="16"/>
  <c r="B61" i="16"/>
  <c r="B20" i="17"/>
  <c r="B168" i="20"/>
  <c r="B473" i="16"/>
  <c r="B429" i="21"/>
  <c r="B378" i="18"/>
  <c r="B133" i="17"/>
  <c r="B475" i="17"/>
  <c r="B126" i="17"/>
  <c r="B404" i="17"/>
  <c r="B50" i="18"/>
  <c r="B551" i="16"/>
  <c r="B413" i="16"/>
  <c r="B393" i="16"/>
  <c r="B15" i="18"/>
  <c r="B400" i="17"/>
  <c r="B313" i="19"/>
  <c r="B531" i="16"/>
  <c r="B88" i="16"/>
  <c r="B51" i="17"/>
  <c r="B643" i="17"/>
  <c r="B634" i="16"/>
  <c r="B221" i="17"/>
  <c r="B476" i="16"/>
  <c r="B635" i="16"/>
  <c r="B33" i="16"/>
  <c r="B109" i="16"/>
  <c r="B131" i="16"/>
  <c r="B629" i="17"/>
  <c r="B456" i="16"/>
  <c r="B241" i="16"/>
  <c r="B33" i="17"/>
  <c r="B300" i="17"/>
  <c r="B70" i="17"/>
  <c r="B124" i="17"/>
  <c r="B335" i="17"/>
  <c r="B623" i="16"/>
  <c r="B182" i="17"/>
  <c r="B622" i="16"/>
  <c r="B640" i="16" s="1"/>
  <c r="B123" i="21"/>
  <c r="B202" i="16"/>
  <c r="B555" i="17"/>
  <c r="B52" i="17"/>
  <c r="B60" i="17"/>
  <c r="B337" i="17"/>
  <c r="B392" i="22"/>
  <c r="B89" i="17"/>
  <c r="B212" i="17"/>
  <c r="B258" i="17"/>
  <c r="B19" i="17"/>
  <c r="B33" i="18"/>
  <c r="B406" i="20"/>
  <c r="B201" i="16"/>
  <c r="B124" i="16"/>
  <c r="B162" i="16"/>
  <c r="B393" i="17"/>
  <c r="B62" i="20"/>
  <c r="B321" i="18"/>
  <c r="B407" i="19"/>
  <c r="B104" i="19"/>
  <c r="B315" i="18"/>
  <c r="B217" i="22"/>
  <c r="B557" i="17"/>
  <c r="B291" i="21"/>
  <c r="B363" i="19"/>
  <c r="B277" i="22"/>
  <c r="B432" i="20"/>
  <c r="B318" i="22"/>
  <c r="B39" i="21"/>
  <c r="B316" i="18"/>
  <c r="B161" i="18"/>
  <c r="B584" i="16"/>
  <c r="B103" i="22"/>
  <c r="B81" i="20"/>
  <c r="B127" i="22"/>
  <c r="B330" i="22"/>
  <c r="B41" i="19"/>
  <c r="B445" i="20"/>
  <c r="B308" i="22"/>
  <c r="B346" i="19"/>
  <c r="B319" i="17"/>
  <c r="B392" i="16"/>
  <c r="B155" i="19"/>
  <c r="B237" i="19"/>
  <c r="B481" i="16"/>
  <c r="B131" i="17"/>
  <c r="B24" i="16"/>
  <c r="B240" i="16"/>
  <c r="B48" i="18"/>
  <c r="B21" i="16"/>
  <c r="B12" i="16"/>
  <c r="B200" i="17"/>
  <c r="B317" i="16"/>
  <c r="B397" i="16"/>
  <c r="B488" i="16"/>
  <c r="B130" i="17"/>
  <c r="B97" i="16"/>
  <c r="B552" i="16"/>
  <c r="B630" i="16"/>
  <c r="B398" i="17"/>
  <c r="B161" i="17"/>
  <c r="B346" i="22"/>
  <c r="B399" i="17"/>
  <c r="B454" i="17"/>
  <c r="B258" i="18"/>
  <c r="B206" i="17"/>
  <c r="B55" i="17"/>
  <c r="B241" i="18"/>
  <c r="B557" i="16"/>
  <c r="B609" i="17"/>
  <c r="B52" i="18"/>
  <c r="B383" i="20"/>
  <c r="B387" i="19"/>
  <c r="B533" i="18"/>
  <c r="B407" i="22"/>
  <c r="B326" i="18"/>
  <c r="B150" i="20"/>
  <c r="B167" i="17"/>
  <c r="B327" i="17"/>
  <c r="B599" i="16"/>
  <c r="B406" i="19"/>
  <c r="B25" i="21"/>
  <c r="B111" i="20"/>
  <c r="B481" i="17"/>
  <c r="B213" i="20"/>
  <c r="B70" i="16"/>
  <c r="B123" i="16"/>
  <c r="B95" i="16"/>
  <c r="B411" i="16"/>
  <c r="B400" i="16"/>
  <c r="B21" i="17"/>
  <c r="B468" i="16"/>
  <c r="B486" i="16" s="1"/>
  <c r="B247" i="17"/>
  <c r="B377" i="18"/>
  <c r="B201" i="17"/>
  <c r="B378" i="16"/>
  <c r="B635" i="17"/>
  <c r="B608" i="17"/>
  <c r="B327" i="18"/>
  <c r="B160" i="20"/>
  <c r="B628" i="17"/>
  <c r="B109" i="22"/>
  <c r="B558" i="17"/>
  <c r="B131" i="21"/>
  <c r="B321" i="16"/>
  <c r="B168" i="17"/>
  <c r="B476" i="17"/>
  <c r="B18" i="17"/>
  <c r="B135" i="17"/>
  <c r="B334" i="16"/>
  <c r="B54" i="16"/>
  <c r="B60" i="16"/>
  <c r="B145" i="16"/>
  <c r="B685" i="16"/>
  <c r="B245" i="17"/>
  <c r="B245" i="16"/>
  <c r="B395" i="16"/>
  <c r="B475" i="18"/>
  <c r="B470" i="17"/>
  <c r="B392" i="17"/>
  <c r="B249" i="17"/>
  <c r="B169" i="17"/>
  <c r="B200" i="16"/>
  <c r="B480" i="17"/>
  <c r="B17" i="17"/>
  <c r="B239" i="22"/>
  <c r="B454" i="16"/>
  <c r="B581" i="16"/>
  <c r="B131" i="19"/>
  <c r="B439" i="20"/>
  <c r="B191" i="19"/>
  <c r="B210" i="19" s="1"/>
  <c r="B365" i="22"/>
  <c r="B356" i="21"/>
  <c r="B546" i="18"/>
  <c r="B645" i="17"/>
  <c r="B414" i="16"/>
  <c r="B104" i="20"/>
  <c r="B383" i="21"/>
  <c r="B281" i="21"/>
  <c r="B216" i="21"/>
  <c r="B130" i="19"/>
  <c r="B163" i="16"/>
  <c r="B11" i="21"/>
  <c r="B249" i="22"/>
  <c r="B329" i="19"/>
  <c r="B60" i="22"/>
  <c r="B350" i="22"/>
  <c r="B11" i="17"/>
  <c r="B129" i="16"/>
  <c r="B132" i="16"/>
  <c r="B87" i="16"/>
  <c r="B52" i="16"/>
  <c r="B687" i="16"/>
  <c r="B130" i="16"/>
  <c r="B642" i="16"/>
  <c r="B125" i="16"/>
  <c r="B174" i="17"/>
  <c r="B335" i="18"/>
  <c r="B69" i="16"/>
  <c r="B475" i="16"/>
  <c r="B92" i="16"/>
  <c r="B558" i="16"/>
  <c r="B209" i="16"/>
  <c r="B532" i="16"/>
  <c r="B628" i="16"/>
  <c r="B93" i="17"/>
  <c r="B301" i="17"/>
  <c r="B625" i="16"/>
  <c r="B238" i="18"/>
  <c r="B240" i="18"/>
  <c r="B23" i="16"/>
  <c r="B55" i="16"/>
  <c r="B237" i="18"/>
  <c r="B255" i="18" s="1"/>
  <c r="B610" i="17"/>
  <c r="B207" i="17"/>
  <c r="B474" i="17"/>
  <c r="B324" i="17"/>
  <c r="B146" i="17"/>
  <c r="B566" i="17"/>
  <c r="B14" i="17"/>
  <c r="B243" i="16"/>
  <c r="B403" i="16"/>
  <c r="B11" i="18"/>
  <c r="B78" i="19"/>
  <c r="B240" i="17"/>
  <c r="B165" i="17"/>
  <c r="B344" i="19"/>
  <c r="B580" i="16"/>
  <c r="B57" i="22"/>
  <c r="B483" i="19"/>
  <c r="B369" i="22"/>
  <c r="B102" i="19"/>
  <c r="B24" i="20"/>
  <c r="B469" i="17"/>
  <c r="B287" i="22"/>
  <c r="B194" i="20"/>
  <c r="B648" i="17"/>
  <c r="B260" i="16"/>
  <c r="B423" i="21"/>
  <c r="B347" i="21"/>
  <c r="B84" i="19"/>
  <c r="B129" i="20"/>
  <c r="B307" i="19"/>
  <c r="B102" i="20"/>
  <c r="B269" i="22"/>
  <c r="B11" i="19"/>
  <c r="B242" i="20"/>
  <c r="B401" i="20"/>
  <c r="B11" i="20"/>
  <c r="B199" i="17"/>
  <c r="B576" i="17"/>
  <c r="B308" i="19"/>
  <c r="B37" i="22"/>
  <c r="B353" i="19"/>
  <c r="B349" i="19"/>
  <c r="B217" i="19"/>
  <c r="B387" i="21"/>
  <c r="B243" i="17"/>
  <c r="B471" i="16"/>
  <c r="B644" i="16"/>
  <c r="B86" i="16"/>
  <c r="B147" i="17"/>
  <c r="B300" i="16"/>
  <c r="B470" i="16"/>
  <c r="B411" i="18"/>
  <c r="B19" i="16"/>
  <c r="B246" i="17"/>
  <c r="B398" i="16"/>
  <c r="B401" i="16"/>
  <c r="B608" i="16"/>
  <c r="B206" i="16"/>
  <c r="B12" i="17"/>
  <c r="B171" i="16"/>
  <c r="B609" i="16"/>
  <c r="B357" i="22"/>
  <c r="B320" i="16"/>
  <c r="B54" i="17"/>
  <c r="B108" i="17"/>
  <c r="B547" i="16"/>
  <c r="B13" i="16"/>
  <c r="B81" i="22"/>
  <c r="B69" i="17"/>
  <c r="B533" i="16"/>
  <c r="B203" i="16"/>
  <c r="B385" i="20"/>
  <c r="B133" i="16"/>
  <c r="B18" i="16"/>
  <c r="B127" i="17"/>
  <c r="B183" i="17"/>
  <c r="B531" i="17"/>
  <c r="B127" i="21"/>
  <c r="B136" i="17"/>
  <c r="B455" i="17"/>
  <c r="B624" i="17"/>
  <c r="B397" i="17"/>
  <c r="B60" i="18"/>
  <c r="B250" i="18"/>
  <c r="B250" i="17"/>
  <c r="B622" i="17"/>
  <c r="B640" i="17" s="1"/>
  <c r="B156" i="22"/>
  <c r="B212" i="16"/>
  <c r="B267" i="21"/>
  <c r="B286" i="21" s="1"/>
  <c r="B212" i="21"/>
  <c r="B553" i="16"/>
  <c r="B55" i="18"/>
  <c r="B580" i="17"/>
  <c r="B483" i="20"/>
  <c r="B193" i="19"/>
  <c r="B160" i="19"/>
  <c r="B239" i="17"/>
  <c r="B666" i="17"/>
  <c r="B59" i="20"/>
  <c r="B392" i="19"/>
  <c r="B316" i="19"/>
  <c r="B232" i="21"/>
  <c r="B445" i="21"/>
  <c r="B39" i="20"/>
  <c r="B634" i="18"/>
  <c r="B103" i="21"/>
  <c r="B395" i="17"/>
  <c r="B24" i="18"/>
  <c r="B330" i="21"/>
  <c r="B354" i="16"/>
  <c r="B644" i="17"/>
  <c r="B481" i="21"/>
  <c r="B240" i="22"/>
  <c r="B12" i="22"/>
  <c r="B423" i="20"/>
  <c r="B39" i="22"/>
  <c r="B114" i="20"/>
  <c r="B126" i="20"/>
  <c r="B420" i="21"/>
  <c r="B386" i="22"/>
  <c r="B36" i="20"/>
  <c r="B229" i="19"/>
  <c r="B248" i="19" s="1"/>
  <c r="B686" i="16"/>
  <c r="B552" i="18"/>
  <c r="B672" i="17"/>
  <c r="B78" i="22"/>
  <c r="B12" i="19"/>
  <c r="B90" i="16"/>
  <c r="B110" i="16" s="1"/>
  <c r="B244" i="17"/>
  <c r="B14" i="16"/>
  <c r="B478" i="16"/>
  <c r="B129" i="17"/>
  <c r="B92" i="17"/>
  <c r="B391" i="16"/>
  <c r="B409" i="16" s="1"/>
  <c r="B211" i="17"/>
  <c r="B260" i="17"/>
  <c r="B624" i="16"/>
  <c r="B532" i="17"/>
  <c r="B610" i="16"/>
  <c r="B458" i="22"/>
  <c r="B477" i="22" s="1"/>
  <c r="B338" i="18"/>
  <c r="B61" i="17"/>
  <c r="B349" i="21"/>
  <c r="B145" i="17"/>
  <c r="B239" i="18"/>
  <c r="B144" i="16"/>
  <c r="B215" i="19"/>
  <c r="B403" i="20"/>
  <c r="B546" i="16"/>
  <c r="B171" i="17"/>
  <c r="B629" i="16"/>
  <c r="B239" i="16"/>
  <c r="B85" i="16"/>
  <c r="B565" i="18"/>
  <c r="B247" i="18"/>
  <c r="B86" i="17"/>
  <c r="B404" i="16"/>
  <c r="B32" i="18"/>
  <c r="B412" i="18"/>
  <c r="B316" i="16"/>
  <c r="B25" i="20"/>
  <c r="B318" i="19"/>
  <c r="B624" i="18"/>
  <c r="B316" i="17"/>
  <c r="B468" i="17"/>
  <c r="B486" i="17" s="1"/>
  <c r="B24" i="19"/>
  <c r="B13" i="17"/>
  <c r="B48" i="16"/>
  <c r="B320" i="17"/>
  <c r="B173" i="16"/>
  <c r="B69" i="18"/>
  <c r="B679" i="17"/>
  <c r="B13" i="22"/>
  <c r="B384" i="19"/>
  <c r="B115" i="22"/>
  <c r="B184" i="16"/>
  <c r="B14" i="22"/>
  <c r="B344" i="20"/>
  <c r="B273" i="21"/>
  <c r="B443" i="20"/>
  <c r="B271" i="22"/>
  <c r="B35" i="20"/>
  <c r="B193" i="21"/>
  <c r="B69" i="22"/>
  <c r="B257" i="17"/>
  <c r="B589" i="16"/>
  <c r="B668" i="17"/>
  <c r="B268" i="22"/>
  <c r="B110" i="20"/>
  <c r="B200" i="22"/>
  <c r="B551" i="18"/>
  <c r="B352" i="21"/>
  <c r="B125" i="18"/>
  <c r="B109" i="21"/>
  <c r="B390" i="21"/>
  <c r="B240" i="20"/>
  <c r="B202" i="20"/>
  <c r="B112" i="21"/>
  <c r="B207" i="18"/>
  <c r="B237" i="21"/>
  <c r="B67" i="20"/>
  <c r="B204" i="22"/>
  <c r="B150" i="22"/>
  <c r="B124" i="21"/>
  <c r="B314" i="19"/>
  <c r="B37" i="20"/>
  <c r="B154" i="22"/>
  <c r="B351" i="20"/>
  <c r="B114" i="21"/>
  <c r="B318" i="20"/>
  <c r="B216" i="20"/>
  <c r="B395" i="18"/>
  <c r="B231" i="19"/>
  <c r="B327" i="21"/>
  <c r="B545" i="18"/>
  <c r="B563" i="18" s="1"/>
  <c r="B319" i="20"/>
  <c r="B553" i="18"/>
  <c r="B173" i="22"/>
  <c r="B401" i="18"/>
  <c r="B329" i="20"/>
  <c r="B87" i="18"/>
  <c r="B454" i="18"/>
  <c r="B382" i="21"/>
  <c r="B368" i="20"/>
  <c r="B211" i="22"/>
  <c r="B482" i="22"/>
  <c r="B205" i="21"/>
  <c r="B126" i="22"/>
  <c r="B468" i="22"/>
  <c r="B37" i="19"/>
  <c r="B343" i="19"/>
  <c r="B362" i="19" s="1"/>
  <c r="B239" i="19"/>
  <c r="B169" i="22"/>
  <c r="B205" i="19"/>
  <c r="B93" i="18"/>
  <c r="B194" i="21"/>
  <c r="B292" i="21"/>
  <c r="B405" i="19"/>
  <c r="B81" i="21"/>
  <c r="B405" i="20"/>
  <c r="B423" i="22"/>
  <c r="B213" i="21"/>
  <c r="B444" i="22"/>
  <c r="B687" i="18"/>
  <c r="B353" i="20"/>
  <c r="B319" i="22"/>
  <c r="B36" i="21"/>
  <c r="B308" i="20"/>
  <c r="B12" i="20"/>
  <c r="B428" i="22"/>
  <c r="B155" i="21"/>
  <c r="B351" i="21"/>
  <c r="B167" i="18"/>
  <c r="B470" i="18"/>
  <c r="B13" i="19"/>
  <c r="B555" i="18"/>
  <c r="B159" i="22"/>
  <c r="B148" i="22"/>
  <c r="B468" i="18"/>
  <c r="B486" i="18" s="1"/>
  <c r="B81" i="19"/>
  <c r="B355" i="22"/>
  <c r="B95" i="18"/>
  <c r="B455" i="18"/>
  <c r="B21" i="22"/>
  <c r="B384" i="20"/>
  <c r="B175" i="20"/>
  <c r="B476" i="18"/>
  <c r="B59" i="22"/>
  <c r="B106" i="18"/>
  <c r="B205" i="20"/>
  <c r="B159" i="21"/>
  <c r="B174" i="18"/>
  <c r="B331" i="20"/>
  <c r="B148" i="21"/>
  <c r="B446" i="22"/>
  <c r="B192" i="20"/>
  <c r="B11" i="22"/>
  <c r="B160" i="21"/>
  <c r="B325" i="19"/>
  <c r="B270" i="19"/>
  <c r="B102" i="22"/>
  <c r="B22" i="21"/>
  <c r="B384" i="21"/>
  <c r="B169" i="18"/>
  <c r="B422" i="19"/>
  <c r="B316" i="21"/>
  <c r="B216" i="19"/>
  <c r="B356" i="20"/>
  <c r="B347" i="19"/>
  <c r="B105" i="22"/>
  <c r="B461" i="20"/>
  <c r="B268" i="19"/>
  <c r="B457" i="19"/>
  <c r="B476" i="19" s="1"/>
  <c r="B14" i="19"/>
  <c r="B610" i="18"/>
  <c r="B309" i="22"/>
  <c r="B115" i="19"/>
  <c r="B174" i="19"/>
  <c r="B40" i="20"/>
  <c r="B458" i="19"/>
  <c r="B254" i="20"/>
  <c r="B56" i="19"/>
  <c r="B477" i="19"/>
  <c r="B14" i="20"/>
  <c r="B352" i="22"/>
  <c r="B200" i="20"/>
  <c r="B313" i="22"/>
  <c r="B427" i="20"/>
  <c r="B64" i="19"/>
  <c r="B211" i="18"/>
  <c r="B80" i="22"/>
  <c r="B213" i="19"/>
  <c r="B483" i="22"/>
  <c r="B240" i="19"/>
  <c r="B174" i="22"/>
  <c r="B83" i="21"/>
  <c r="B235" i="22"/>
  <c r="B428" i="20"/>
  <c r="B365" i="21"/>
  <c r="B176" i="20"/>
  <c r="B173" i="21"/>
  <c r="B98" i="18"/>
  <c r="B88" i="18"/>
  <c r="B206" i="18"/>
  <c r="B243" i="22"/>
  <c r="B156" i="20"/>
  <c r="B126" i="18"/>
  <c r="B383" i="22"/>
  <c r="B480" i="18"/>
  <c r="B195" i="19"/>
  <c r="B146" i="21"/>
  <c r="B221" i="18"/>
  <c r="B488" i="18"/>
  <c r="B144" i="18"/>
  <c r="B370" i="22"/>
  <c r="B387" i="20"/>
  <c r="B366" i="22"/>
  <c r="B126" i="21"/>
  <c r="B107" i="19"/>
  <c r="B457" i="21"/>
  <c r="B476" i="21" s="1"/>
  <c r="B433" i="22"/>
  <c r="B460" i="21"/>
  <c r="B176" i="21"/>
  <c r="B357" i="19"/>
  <c r="B169" i="20"/>
  <c r="B348" i="22"/>
  <c r="B182" i="18"/>
  <c r="B21" i="19"/>
  <c r="B101" i="20"/>
  <c r="B17" i="19"/>
  <c r="B385" i="21"/>
  <c r="B131" i="22"/>
  <c r="B357" i="20"/>
  <c r="B275" i="19"/>
  <c r="B275" i="21"/>
  <c r="B109" i="20"/>
  <c r="B313" i="20"/>
  <c r="B65" i="22"/>
  <c r="B19" i="20"/>
  <c r="B237" i="20"/>
  <c r="B203" i="19"/>
  <c r="B427" i="19"/>
  <c r="B62" i="22"/>
  <c r="B130" i="21"/>
  <c r="B92" i="18"/>
  <c r="B84" i="22"/>
  <c r="B306" i="21"/>
  <c r="B200" i="19"/>
  <c r="B109" i="19"/>
  <c r="B358" i="22"/>
  <c r="B389" i="20"/>
  <c r="B311" i="20"/>
  <c r="B396" i="22"/>
  <c r="B67" i="19"/>
  <c r="B101" i="21"/>
  <c r="B200" i="18"/>
  <c r="B402" i="22"/>
  <c r="B478" i="22"/>
  <c r="B280" i="21"/>
  <c r="B557" i="18"/>
  <c r="B547" i="18"/>
  <c r="B216" i="22"/>
  <c r="B85" i="18"/>
  <c r="B67" i="22"/>
  <c r="B149" i="20"/>
  <c r="B531" i="18"/>
  <c r="B215" i="22"/>
  <c r="B270" i="20"/>
  <c r="B160" i="22"/>
  <c r="B102" i="21"/>
  <c r="B131" i="18"/>
  <c r="B441" i="21"/>
  <c r="B408" i="22"/>
  <c r="B233" i="21"/>
  <c r="B269" i="20"/>
  <c r="B404" i="22"/>
  <c r="B86" i="19"/>
  <c r="B37" i="21"/>
  <c r="B461" i="22"/>
  <c r="B278" i="19"/>
  <c r="B217" i="20"/>
  <c r="B203" i="18"/>
  <c r="B183" i="18"/>
  <c r="B470" i="19"/>
  <c r="B111" i="19"/>
  <c r="B123" i="20"/>
  <c r="B176" i="19"/>
  <c r="B419" i="20"/>
  <c r="B438" i="20" s="1"/>
  <c r="B289" i="22"/>
  <c r="B82" i="19"/>
  <c r="B174" i="20"/>
  <c r="B459" i="20"/>
  <c r="B288" i="20"/>
  <c r="B481" i="18"/>
  <c r="B425" i="19"/>
  <c r="B17" i="20"/>
  <c r="B433" i="19"/>
  <c r="B104" i="22"/>
  <c r="B230" i="22"/>
  <c r="B154" i="20"/>
  <c r="B428" i="19"/>
  <c r="B238" i="20"/>
  <c r="B238" i="19"/>
  <c r="B390" i="20"/>
  <c r="B237" i="22"/>
  <c r="B200" i="21"/>
  <c r="B19" i="21"/>
  <c r="B472" i="22"/>
  <c r="B201" i="22"/>
  <c r="B148" i="20"/>
  <c r="B314" i="21"/>
  <c r="B173" i="20"/>
  <c r="B240" i="21"/>
  <c r="B382" i="20"/>
  <c r="B67" i="21"/>
  <c r="B394" i="20"/>
  <c r="B79" i="22"/>
  <c r="B346" i="21"/>
  <c r="B407" i="20"/>
  <c r="B472" i="18"/>
  <c r="B212" i="18"/>
  <c r="B211" i="20"/>
  <c r="B171" i="18"/>
  <c r="B222" i="18"/>
  <c r="B34" i="22"/>
  <c r="B173" i="18"/>
  <c r="B281" i="19"/>
  <c r="B625" i="18"/>
  <c r="B281" i="22"/>
  <c r="B482" i="20"/>
  <c r="B103" i="20"/>
  <c r="B197" i="20"/>
  <c r="B25" i="22"/>
  <c r="B327" i="20"/>
  <c r="B271" i="20"/>
  <c r="B103" i="19"/>
  <c r="B305" i="20"/>
  <c r="B324" i="20" s="1"/>
  <c r="B391" i="19"/>
  <c r="B101" i="19"/>
  <c r="B107" i="20"/>
  <c r="B289" i="21"/>
  <c r="B148" i="19"/>
  <c r="B171" i="19"/>
  <c r="B330" i="20"/>
  <c r="B331" i="19"/>
  <c r="B273" i="22"/>
  <c r="B327" i="22"/>
  <c r="B327" i="19"/>
  <c r="B481" i="20"/>
  <c r="B363" i="20"/>
  <c r="B291" i="22"/>
  <c r="B201" i="18"/>
  <c r="B124" i="19"/>
  <c r="B351" i="19"/>
  <c r="B390" i="19"/>
  <c r="B389" i="19"/>
  <c r="B275" i="22"/>
  <c r="B352" i="20"/>
  <c r="B466" i="21"/>
  <c r="B20" i="21"/>
  <c r="B199" i="22"/>
  <c r="B465" i="19"/>
  <c r="B385" i="22"/>
  <c r="B397" i="18"/>
  <c r="B145" i="18"/>
  <c r="B170" i="22"/>
  <c r="B276" i="21"/>
  <c r="B315" i="21"/>
  <c r="B199" i="18"/>
  <c r="B191" i="20"/>
  <c r="B210" i="20" s="1"/>
  <c r="B174" i="21"/>
  <c r="B532" i="18"/>
  <c r="B471" i="22"/>
  <c r="B548" i="18"/>
  <c r="B394" i="18"/>
  <c r="B363" i="21"/>
  <c r="B391" i="18"/>
  <c r="B409" i="18" s="1"/>
  <c r="B325" i="21"/>
  <c r="B149" i="22"/>
  <c r="B474" i="18"/>
  <c r="B471" i="18"/>
  <c r="B469" i="18"/>
  <c r="B127" i="20"/>
  <c r="B129" i="19"/>
  <c r="B162" i="18"/>
  <c r="B381" i="19"/>
  <c r="B400" i="19" s="1"/>
  <c r="B293" i="19"/>
  <c r="B231" i="21"/>
  <c r="B232" i="22"/>
  <c r="B369" i="20"/>
  <c r="B468" i="21"/>
  <c r="B171" i="20"/>
  <c r="B464" i="22"/>
  <c r="B353" i="21"/>
  <c r="B307" i="21"/>
  <c r="B566" i="18"/>
  <c r="B392" i="20"/>
  <c r="B172" i="22"/>
  <c r="B344" i="22"/>
  <c r="B363" i="22" s="1"/>
  <c r="B254" i="21"/>
  <c r="B289" i="20"/>
  <c r="B123" i="22"/>
  <c r="B482" i="21"/>
  <c r="B159" i="19"/>
  <c r="B399" i="18"/>
  <c r="B280" i="20"/>
  <c r="B129" i="18"/>
  <c r="B276" i="19"/>
  <c r="B20" i="22"/>
  <c r="B199" i="20"/>
  <c r="B466" i="22"/>
  <c r="B391" i="22"/>
  <c r="B352" i="19"/>
  <c r="B199" i="19"/>
  <c r="B65" i="21"/>
  <c r="B276" i="22"/>
  <c r="B314" i="20"/>
  <c r="B123" i="19"/>
  <c r="B465" i="21"/>
  <c r="B82" i="20"/>
  <c r="B83" i="22"/>
  <c r="B213" i="22"/>
  <c r="B64" i="20"/>
  <c r="B91" i="18"/>
  <c r="B175" i="21"/>
  <c r="B429" i="22"/>
  <c r="B254" i="19"/>
  <c r="B489" i="18"/>
  <c r="B367" i="21"/>
  <c r="B152" i="20"/>
  <c r="B194" i="22"/>
  <c r="B307" i="20"/>
  <c r="B254" i="22"/>
  <c r="B478" i="18"/>
  <c r="B201" i="20"/>
  <c r="B184" i="18"/>
  <c r="B58" i="22"/>
  <c r="B33" i="22"/>
  <c r="B66" i="20"/>
  <c r="B325" i="20"/>
  <c r="B89" i="18"/>
  <c r="B86" i="18"/>
  <c r="B156" i="21"/>
  <c r="B393" i="18"/>
  <c r="B368" i="19"/>
  <c r="B232" i="19"/>
  <c r="B130" i="22"/>
  <c r="B343" i="20"/>
  <c r="B362" i="20" s="1"/>
  <c r="B395" i="19"/>
  <c r="B251" i="22"/>
  <c r="B173" i="19"/>
  <c r="B205" i="18"/>
  <c r="B152" i="22"/>
  <c r="B107" i="21"/>
  <c r="B403" i="18"/>
  <c r="B354" i="22"/>
  <c r="B484" i="22"/>
  <c r="B169" i="21"/>
  <c r="B170" i="21"/>
  <c r="B192" i="19"/>
  <c r="B394" i="19"/>
  <c r="B459" i="21"/>
  <c r="B406" i="21"/>
  <c r="B62" i="21"/>
  <c r="B319" i="19"/>
  <c r="B23" i="21"/>
  <c r="B79" i="21"/>
  <c r="B421" i="20"/>
  <c r="B305" i="21"/>
  <c r="B324" i="21" s="1"/>
  <c r="B13" i="21"/>
  <c r="B251" i="20"/>
  <c r="B15" i="22"/>
  <c r="B191" i="22"/>
  <c r="B210" i="22" s="1"/>
  <c r="B154" i="21"/>
  <c r="B110" i="21"/>
  <c r="B479" i="19"/>
  <c r="B328" i="22"/>
  <c r="B645" i="18"/>
  <c r="B441" i="22"/>
  <c r="B657" i="18"/>
  <c r="B64" i="22"/>
  <c r="B390" i="22"/>
  <c r="B65" i="20"/>
  <c r="B427" i="21"/>
  <c r="B301" i="18"/>
  <c r="B460" i="20"/>
  <c r="B319" i="21"/>
  <c r="B168" i="22"/>
  <c r="B126" i="19"/>
  <c r="B253" i="21"/>
  <c r="B440" i="22"/>
  <c r="B84" i="20"/>
  <c r="B59" i="17"/>
  <c r="B402" i="17"/>
  <c r="B681" i="18"/>
  <c r="B656" i="18"/>
  <c r="B669" i="18"/>
  <c r="B683" i="18"/>
  <c r="B659" i="18"/>
  <c r="B579" i="18"/>
  <c r="B580" i="18"/>
  <c r="B592" i="18"/>
  <c r="B606" i="18"/>
  <c r="B582" i="18"/>
  <c r="B279" i="22"/>
  <c r="B673" i="18"/>
  <c r="B648" i="18"/>
  <c r="B501" i="18"/>
  <c r="B515" i="18"/>
  <c r="B529" i="18"/>
  <c r="B505" i="18"/>
  <c r="B466" i="19"/>
  <c r="B19" i="22"/>
  <c r="B238" i="22"/>
  <c r="B394" i="21"/>
  <c r="B401" i="19"/>
  <c r="B642" i="17"/>
  <c r="B242" i="21"/>
  <c r="B467" i="20"/>
  <c r="B15" i="21"/>
  <c r="B687" i="17"/>
  <c r="B177" i="20"/>
  <c r="B646" i="18"/>
  <c r="B665" i="18"/>
  <c r="B678" i="18"/>
  <c r="B654" i="18"/>
  <c r="B667" i="18"/>
  <c r="B314" i="22"/>
  <c r="B154" i="19"/>
  <c r="B428" i="21"/>
  <c r="B193" i="22"/>
  <c r="B172" i="20"/>
  <c r="B36" i="19"/>
  <c r="B365" i="19"/>
  <c r="B289" i="19"/>
  <c r="B482" i="19"/>
  <c r="B429" i="19"/>
  <c r="B333" i="17"/>
  <c r="B177" i="22"/>
  <c r="B608" i="18"/>
  <c r="B329" i="21"/>
  <c r="B171" i="21"/>
  <c r="B57" i="19"/>
  <c r="B152" i="19"/>
  <c r="B293" i="21"/>
  <c r="B419" i="19"/>
  <c r="B438" i="19" s="1"/>
  <c r="B330" i="19"/>
  <c r="B87" i="21"/>
  <c r="B672" i="18"/>
  <c r="B650" i="18"/>
  <c r="B663" i="18"/>
  <c r="B676" i="18"/>
  <c r="B652" i="18"/>
  <c r="B465" i="20"/>
  <c r="B155" i="22"/>
  <c r="B64" i="21"/>
  <c r="B466" i="20"/>
  <c r="B467" i="22"/>
  <c r="B389" i="21"/>
  <c r="B626" i="17"/>
  <c r="B346" i="20"/>
  <c r="B255" i="19"/>
  <c r="B151" i="22"/>
  <c r="B178" i="22" s="1"/>
  <c r="B679" i="18"/>
  <c r="B655" i="18"/>
  <c r="B668" i="18"/>
  <c r="B682" i="18"/>
  <c r="B94" i="18"/>
  <c r="B256" i="18"/>
  <c r="B353" i="22"/>
  <c r="B275" i="20"/>
  <c r="B276" i="20"/>
  <c r="B20" i="20"/>
  <c r="B199" i="21"/>
  <c r="B238" i="21"/>
  <c r="B459" i="22"/>
  <c r="B477" i="21"/>
  <c r="B277" i="21"/>
  <c r="B483" i="21"/>
  <c r="B244" i="18"/>
  <c r="B385" i="19"/>
  <c r="B208" i="18"/>
  <c r="B96" i="17"/>
  <c r="B649" i="18"/>
  <c r="B664" i="18"/>
  <c r="B677" i="18"/>
  <c r="B653" i="18"/>
  <c r="B666" i="18"/>
  <c r="B479" i="22"/>
  <c r="B438" i="18"/>
  <c r="B416" i="18"/>
  <c r="B436" i="18"/>
  <c r="B450" i="18"/>
  <c r="AC76" i="1"/>
  <c r="B83" i="20"/>
  <c r="Q13" i="1"/>
  <c r="AL13" i="1" s="1"/>
  <c r="B109" i="13"/>
  <c r="P73" i="1"/>
  <c r="B106" i="19" s="1"/>
  <c r="B133" i="19" s="1"/>
  <c r="B39" i="11"/>
  <c r="P19" i="1"/>
  <c r="Q19" i="1" s="1"/>
  <c r="AL19" i="1" s="1"/>
  <c r="B127" i="9"/>
  <c r="B633" i="13"/>
  <c r="B210" i="13"/>
  <c r="P67" i="1"/>
  <c r="B109" i="18"/>
  <c r="B550" i="13"/>
  <c r="Q31" i="1"/>
  <c r="AL31" i="1" s="1"/>
  <c r="B564" i="13" s="1"/>
  <c r="B166" i="13"/>
  <c r="B187" i="13" s="1"/>
  <c r="B402" i="13"/>
  <c r="B96" i="13"/>
  <c r="B22" i="14"/>
  <c r="B248" i="14"/>
  <c r="B355" i="20"/>
  <c r="B23" i="20"/>
  <c r="B203" i="20"/>
  <c r="B273" i="11"/>
  <c r="B111" i="11"/>
  <c r="B111" i="6"/>
  <c r="B271" i="6"/>
  <c r="B185" i="13"/>
  <c r="B195" i="6"/>
  <c r="B24" i="6"/>
  <c r="B40" i="6"/>
  <c r="B187" i="6"/>
  <c r="P81" i="1"/>
  <c r="B424" i="21" s="1"/>
  <c r="B301" i="12"/>
  <c r="AP73" i="1"/>
  <c r="B132" i="19" s="1"/>
  <c r="B355" i="10"/>
  <c r="B122" i="6"/>
  <c r="B191" i="6"/>
  <c r="B36" i="6"/>
  <c r="B21" i="6"/>
  <c r="B41" i="6"/>
  <c r="B14" i="6"/>
  <c r="B16" i="6"/>
  <c r="B13" i="6"/>
  <c r="B267" i="9"/>
  <c r="B633" i="28"/>
  <c r="Q42" i="1"/>
  <c r="AL42" i="1" s="1"/>
  <c r="B487" i="14" s="1"/>
  <c r="B208" i="13"/>
  <c r="B186" i="6"/>
  <c r="B23" i="6"/>
  <c r="AS44" i="1"/>
  <c r="B147" i="16"/>
  <c r="AS31" i="1"/>
  <c r="B26" i="6"/>
  <c r="B274" i="21"/>
  <c r="B134" i="16"/>
  <c r="B108" i="21"/>
  <c r="AH66" i="1"/>
  <c r="P66" i="1" s="1"/>
  <c r="B53" i="18" s="1"/>
  <c r="AG66" i="1"/>
  <c r="AS66" i="1" s="1"/>
  <c r="B59" i="18" s="1"/>
  <c r="AH64" i="1"/>
  <c r="P64" i="1"/>
  <c r="B204" i="17" s="1"/>
  <c r="AG64" i="1"/>
  <c r="AS64" i="1" s="1"/>
  <c r="AG54" i="1"/>
  <c r="AS54" i="1" s="1"/>
  <c r="B59" i="16" s="1"/>
  <c r="AH54" i="1"/>
  <c r="B71" i="16" s="1"/>
  <c r="AO57" i="1"/>
  <c r="P57" i="1"/>
  <c r="Q57" i="1" s="1"/>
  <c r="AL57" i="1" s="1"/>
  <c r="B564" i="16" s="1"/>
  <c r="P69" i="1"/>
  <c r="B166" i="18" s="1"/>
  <c r="AN69" i="1"/>
  <c r="B310" i="20"/>
  <c r="B440" i="19"/>
  <c r="B440" i="21"/>
  <c r="B241" i="22"/>
  <c r="B326" i="22"/>
  <c r="B208" i="16"/>
  <c r="B94" i="17"/>
  <c r="B554" i="17"/>
  <c r="B288" i="21"/>
  <c r="B479" i="17"/>
  <c r="B605" i="17"/>
  <c r="B170" i="17"/>
  <c r="B113" i="19"/>
  <c r="B134" i="17"/>
  <c r="B567" i="18"/>
  <c r="B575" i="16"/>
  <c r="B655" i="17"/>
  <c r="B403" i="22"/>
  <c r="B20" i="18"/>
  <c r="B158" i="22"/>
  <c r="B490" i="18"/>
  <c r="B248" i="18"/>
  <c r="B112" i="22"/>
  <c r="B607" i="17"/>
  <c r="B250" i="22"/>
  <c r="B402" i="20"/>
  <c r="B462" i="20"/>
  <c r="B246" i="18"/>
  <c r="B326" i="21"/>
  <c r="B470" i="22"/>
  <c r="B22" i="19"/>
  <c r="B662" i="17"/>
  <c r="B250" i="20"/>
  <c r="B151" i="20"/>
  <c r="B178" i="20" s="1"/>
  <c r="B57" i="17"/>
  <c r="B185" i="18"/>
  <c r="B478" i="21"/>
  <c r="B317" i="22"/>
  <c r="B581" i="17"/>
  <c r="B323" i="17"/>
  <c r="B20" i="16"/>
  <c r="B394" i="22"/>
  <c r="B204" i="18"/>
  <c r="B671" i="18"/>
  <c r="B647" i="18"/>
  <c r="B68" i="22"/>
  <c r="B246" i="16"/>
  <c r="AP68" i="1"/>
  <c r="P68" i="1"/>
  <c r="Q68" i="1" s="1"/>
  <c r="AL68" i="1" s="1"/>
  <c r="AP53" i="1"/>
  <c r="P53" i="1"/>
  <c r="B631" i="16"/>
  <c r="B288" i="19"/>
  <c r="B481" i="22"/>
  <c r="B518" i="18"/>
  <c r="B571" i="18"/>
  <c r="B572" i="18"/>
  <c r="B585" i="18"/>
  <c r="B598" i="18"/>
  <c r="B574" i="18"/>
  <c r="B453" i="17"/>
  <c r="B444" i="17"/>
  <c r="B435" i="17"/>
  <c r="B418" i="17"/>
  <c r="B432" i="17"/>
  <c r="B493" i="18"/>
  <c r="B508" i="18"/>
  <c r="B521" i="18"/>
  <c r="B497" i="18"/>
  <c r="B564" i="17"/>
  <c r="B434" i="17"/>
  <c r="B422" i="17"/>
  <c r="B428" i="17"/>
  <c r="B448" i="17"/>
  <c r="B424" i="17"/>
  <c r="B431" i="19"/>
  <c r="B431" i="18"/>
  <c r="B453" i="18"/>
  <c r="B429" i="18"/>
  <c r="B442" i="18"/>
  <c r="B418" i="18"/>
  <c r="B554" i="16"/>
  <c r="B662" i="18"/>
  <c r="B675" i="18"/>
  <c r="B651" i="18"/>
  <c r="B525" i="18"/>
  <c r="B500" i="18"/>
  <c r="B513" i="18"/>
  <c r="B527" i="18"/>
  <c r="B503" i="18"/>
  <c r="B602" i="18"/>
  <c r="B601" i="18"/>
  <c r="B577" i="18"/>
  <c r="B590" i="18"/>
  <c r="B604" i="18"/>
  <c r="B22" i="18"/>
  <c r="B452" i="17"/>
  <c r="B442" i="17"/>
  <c r="B420" i="17"/>
  <c r="B440" i="17"/>
  <c r="B416" i="17"/>
  <c r="B423" i="18"/>
  <c r="B445" i="18"/>
  <c r="B421" i="18"/>
  <c r="B434" i="18"/>
  <c r="B448" i="18"/>
  <c r="B491" i="18"/>
  <c r="B517" i="18"/>
  <c r="B530" i="18"/>
  <c r="B506" i="18"/>
  <c r="B519" i="18"/>
  <c r="B495" i="18"/>
  <c r="B594" i="18"/>
  <c r="B593" i="18"/>
  <c r="B607" i="18"/>
  <c r="B583" i="18"/>
  <c r="B596" i="18"/>
  <c r="B325" i="17"/>
  <c r="B430" i="17"/>
  <c r="B421" i="17"/>
  <c r="B419" i="17"/>
  <c r="B433" i="17"/>
  <c r="B446" i="17"/>
  <c r="B446" i="18"/>
  <c r="B437" i="18"/>
  <c r="B451" i="18"/>
  <c r="B427" i="18"/>
  <c r="B357" i="17"/>
  <c r="B641" i="18"/>
  <c r="B680" i="18"/>
  <c r="B658" i="18"/>
  <c r="B670" i="18"/>
  <c r="B684" i="18"/>
  <c r="B660" i="18"/>
  <c r="B510" i="18"/>
  <c r="B522" i="18"/>
  <c r="B498" i="18"/>
  <c r="B511" i="18"/>
  <c r="B492" i="18"/>
  <c r="B587" i="18"/>
  <c r="B586" i="18"/>
  <c r="B599" i="18"/>
  <c r="B575" i="18"/>
  <c r="B588" i="18"/>
  <c r="B450" i="17"/>
  <c r="B437" i="17"/>
  <c r="B449" i="17"/>
  <c r="B425" i="17"/>
  <c r="B438" i="17"/>
  <c r="B393" i="20"/>
  <c r="B447" i="18"/>
  <c r="B430" i="18"/>
  <c r="B443" i="18"/>
  <c r="B419" i="18"/>
  <c r="B433" i="18"/>
  <c r="B491" i="17"/>
  <c r="B505" i="17"/>
  <c r="B521" i="17"/>
  <c r="B496" i="17"/>
  <c r="B510" i="17"/>
  <c r="AS63" i="1"/>
  <c r="B524" i="18"/>
  <c r="B502" i="18"/>
  <c r="B514" i="18"/>
  <c r="B528" i="18"/>
  <c r="B504" i="18"/>
  <c r="B603" i="18"/>
  <c r="B578" i="18"/>
  <c r="B591" i="18"/>
  <c r="B605" i="18"/>
  <c r="B581" i="18"/>
  <c r="B429" i="17"/>
  <c r="B436" i="17"/>
  <c r="B441" i="17"/>
  <c r="B417" i="17"/>
  <c r="B431" i="17"/>
  <c r="B439" i="18"/>
  <c r="B422" i="18"/>
  <c r="B435" i="18"/>
  <c r="B449" i="18"/>
  <c r="B425" i="18"/>
  <c r="B516" i="18"/>
  <c r="B494" i="18"/>
  <c r="B507" i="18"/>
  <c r="B520" i="18"/>
  <c r="B496" i="18"/>
  <c r="B569" i="18"/>
  <c r="B595" i="18"/>
  <c r="B570" i="18"/>
  <c r="B584" i="18"/>
  <c r="B597" i="18"/>
  <c r="B573" i="18"/>
  <c r="B414" i="17"/>
  <c r="B445" i="17"/>
  <c r="B451" i="17"/>
  <c r="B447" i="17"/>
  <c r="B423" i="17"/>
  <c r="B414" i="18"/>
  <c r="B432" i="18"/>
  <c r="B452" i="18"/>
  <c r="B428" i="18"/>
  <c r="B441" i="18"/>
  <c r="B417" i="18"/>
  <c r="B661" i="18"/>
  <c r="B674" i="18"/>
  <c r="B509" i="18"/>
  <c r="B523" i="18"/>
  <c r="B499" i="18"/>
  <c r="B512" i="18"/>
  <c r="B526" i="18"/>
  <c r="B568" i="18"/>
  <c r="B600" i="18"/>
  <c r="B576" i="18"/>
  <c r="B589" i="18"/>
  <c r="B633" i="16"/>
  <c r="B627" i="18"/>
  <c r="B415" i="17"/>
  <c r="B427" i="17"/>
  <c r="B443" i="17"/>
  <c r="B426" i="17"/>
  <c r="B439" i="17"/>
  <c r="B415" i="18"/>
  <c r="B424" i="18"/>
  <c r="B444" i="18"/>
  <c r="B420" i="18"/>
  <c r="B111" i="16"/>
  <c r="B42" i="10"/>
  <c r="B278" i="12"/>
  <c r="B273" i="12"/>
  <c r="B275" i="12" s="1"/>
  <c r="B283" i="12"/>
  <c r="B276" i="12"/>
  <c r="B282" i="12"/>
  <c r="B284" i="12"/>
  <c r="B281" i="12"/>
  <c r="B279" i="12"/>
  <c r="B277" i="12"/>
  <c r="B196" i="15"/>
  <c r="Q49" i="1"/>
  <c r="AL49" i="1" s="1"/>
  <c r="B149" i="14"/>
  <c r="B149" i="13"/>
  <c r="P8" i="1"/>
  <c r="B197" i="8"/>
  <c r="AP8" i="1"/>
  <c r="B54" i="8"/>
  <c r="AP10" i="1"/>
  <c r="P10" i="1"/>
  <c r="B265" i="8" s="1"/>
  <c r="B126" i="8"/>
  <c r="B267" i="8"/>
  <c r="B242" i="13"/>
  <c r="B16" i="13"/>
  <c r="B36" i="13" s="1"/>
  <c r="Q27" i="1"/>
  <c r="AL27" i="1" s="1"/>
  <c r="B256" i="13" s="1"/>
  <c r="B198" i="12"/>
  <c r="B197" i="12"/>
  <c r="B18" i="11"/>
  <c r="B258" i="12"/>
  <c r="B190" i="12"/>
  <c r="B344" i="12"/>
  <c r="B384" i="10"/>
  <c r="B193" i="12"/>
  <c r="B194" i="12"/>
  <c r="Q9" i="1"/>
  <c r="AL9" i="1" s="1"/>
  <c r="B244" i="8" s="1"/>
  <c r="B94" i="12"/>
  <c r="B116" i="12" s="1"/>
  <c r="B148" i="9"/>
  <c r="B195" i="12"/>
  <c r="B196" i="12"/>
  <c r="B191" i="12"/>
  <c r="B416" i="10"/>
  <c r="B320" i="12"/>
  <c r="B411" i="12"/>
  <c r="B321" i="12"/>
  <c r="B363" i="12"/>
  <c r="B365" i="12"/>
  <c r="B381" i="11"/>
  <c r="B108" i="10"/>
  <c r="B152" i="10"/>
  <c r="B95" i="17"/>
  <c r="B19" i="9"/>
  <c r="B234" i="9"/>
  <c r="B466" i="15"/>
  <c r="B454" i="11"/>
  <c r="B354" i="19"/>
  <c r="B158" i="19"/>
  <c r="B495" i="14"/>
  <c r="B421" i="14"/>
  <c r="B413" i="14"/>
  <c r="B209" i="13"/>
  <c r="B508" i="13"/>
  <c r="B112" i="20"/>
  <c r="B21" i="14"/>
  <c r="B430" i="20"/>
  <c r="B317" i="20"/>
  <c r="B53" i="14"/>
  <c r="B652" i="17"/>
  <c r="B665" i="17"/>
  <c r="B602" i="17"/>
  <c r="B661" i="17"/>
  <c r="B595" i="17"/>
  <c r="B278" i="13"/>
  <c r="B298" i="13"/>
  <c r="B584" i="13"/>
  <c r="B581" i="13"/>
  <c r="B276" i="13"/>
  <c r="B502" i="13"/>
  <c r="B429" i="13"/>
  <c r="B453" i="13"/>
  <c r="B284" i="14"/>
  <c r="B264" i="14"/>
  <c r="B297" i="14"/>
  <c r="B20" i="8"/>
  <c r="B517" i="13"/>
  <c r="B110" i="22"/>
  <c r="B195" i="10"/>
  <c r="B71" i="13"/>
  <c r="B430" i="15"/>
  <c r="B196" i="10"/>
  <c r="B380" i="11"/>
  <c r="B151" i="9"/>
  <c r="B469" i="22"/>
  <c r="B202" i="19"/>
  <c r="B94" i="16"/>
  <c r="B418" i="13"/>
  <c r="B336" i="17"/>
  <c r="B490" i="13"/>
  <c r="B356" i="22"/>
  <c r="B278" i="15"/>
  <c r="B112" i="15"/>
  <c r="B319" i="14"/>
  <c r="B274" i="9"/>
  <c r="B656" i="17"/>
  <c r="B585" i="17"/>
  <c r="B587" i="17"/>
  <c r="B590" i="17"/>
  <c r="B604" i="13"/>
  <c r="B295" i="13"/>
  <c r="B280" i="13"/>
  <c r="B589" i="13"/>
  <c r="B289" i="13"/>
  <c r="B495" i="13"/>
  <c r="B452" i="13"/>
  <c r="B435" i="13"/>
  <c r="B263" i="14"/>
  <c r="B283" i="14"/>
  <c r="B351" i="14"/>
  <c r="B350" i="14"/>
  <c r="B450" i="16"/>
  <c r="B344" i="10"/>
  <c r="B343" i="11"/>
  <c r="B389" i="15"/>
  <c r="B418" i="9"/>
  <c r="B455" i="9"/>
  <c r="B316" i="20"/>
  <c r="B112" i="19"/>
  <c r="B478" i="14"/>
  <c r="B430" i="21"/>
  <c r="B418" i="14"/>
  <c r="B336" i="13"/>
  <c r="B203" i="22"/>
  <c r="B594" i="17"/>
  <c r="B650" i="17"/>
  <c r="B571" i="17"/>
  <c r="B664" i="17"/>
  <c r="B589" i="17"/>
  <c r="B597" i="13"/>
  <c r="B592" i="13"/>
  <c r="B277" i="13"/>
  <c r="B265" i="13"/>
  <c r="B601" i="13"/>
  <c r="B572" i="13"/>
  <c r="B451" i="13"/>
  <c r="B433" i="13"/>
  <c r="B296" i="14"/>
  <c r="B298" i="14"/>
  <c r="B268" i="14"/>
  <c r="B365" i="14"/>
  <c r="B110" i="19"/>
  <c r="B569" i="14"/>
  <c r="B65" i="19"/>
  <c r="B196" i="11"/>
  <c r="B107" i="10"/>
  <c r="B308" i="9"/>
  <c r="B209" i="17"/>
  <c r="B575" i="17"/>
  <c r="B133" i="14"/>
  <c r="B341" i="13"/>
  <c r="B170" i="14"/>
  <c r="B401" i="17"/>
  <c r="B22" i="20"/>
  <c r="B200" i="9"/>
  <c r="B597" i="17"/>
  <c r="B647" i="17"/>
  <c r="B599" i="17"/>
  <c r="B680" i="17"/>
  <c r="B570" i="17"/>
  <c r="B580" i="13"/>
  <c r="B262" i="13"/>
  <c r="B282" i="13"/>
  <c r="B270" i="13"/>
  <c r="B291" i="13"/>
  <c r="B576" i="13"/>
  <c r="B491" i="13"/>
  <c r="B439" i="13"/>
  <c r="B432" i="13"/>
  <c r="B299" i="14"/>
  <c r="B280" i="14"/>
  <c r="B282" i="14"/>
  <c r="B417" i="10"/>
  <c r="B151" i="10"/>
  <c r="B324" i="16"/>
  <c r="B354" i="21"/>
  <c r="B652" i="16"/>
  <c r="B463" i="22"/>
  <c r="B94" i="14"/>
  <c r="B278" i="22"/>
  <c r="B22" i="15"/>
  <c r="B71" i="14"/>
  <c r="B158" i="20"/>
  <c r="B185" i="16"/>
  <c r="B279" i="20"/>
  <c r="B582" i="17"/>
  <c r="B659" i="17"/>
  <c r="B600" i="17"/>
  <c r="B651" i="17"/>
  <c r="B604" i="17"/>
  <c r="B590" i="13"/>
  <c r="B296" i="13"/>
  <c r="B600" i="13"/>
  <c r="B285" i="13"/>
  <c r="B606" i="13"/>
  <c r="B595" i="13"/>
  <c r="B442" i="13"/>
  <c r="B434" i="13"/>
  <c r="B267" i="14"/>
  <c r="B270" i="14"/>
  <c r="B288" i="22"/>
  <c r="B109" i="15"/>
  <c r="B19" i="15"/>
  <c r="B454" i="10"/>
  <c r="B132" i="17"/>
  <c r="B58" i="18"/>
  <c r="B202" i="21"/>
  <c r="B498" i="16"/>
  <c r="B575" i="14"/>
  <c r="B412" i="16"/>
  <c r="B247" i="14"/>
  <c r="B354" i="20"/>
  <c r="B317" i="19"/>
  <c r="B147" i="14"/>
  <c r="B113" i="22"/>
  <c r="B579" i="17"/>
  <c r="B676" i="17"/>
  <c r="B577" i="17"/>
  <c r="B649" i="17"/>
  <c r="B588" i="17"/>
  <c r="B607" i="13"/>
  <c r="B287" i="13"/>
  <c r="B596" i="13"/>
  <c r="B272" i="13"/>
  <c r="B567" i="13"/>
  <c r="B598" i="13"/>
  <c r="B440" i="13"/>
  <c r="B441" i="13"/>
  <c r="B269" i="14"/>
  <c r="B288" i="14"/>
  <c r="B285" i="14"/>
  <c r="B289" i="14"/>
  <c r="B430" i="16"/>
  <c r="B237" i="15"/>
  <c r="B232" i="11"/>
  <c r="B419" i="9"/>
  <c r="B456" i="9"/>
  <c r="B352" i="15"/>
  <c r="B209" i="18"/>
  <c r="B381" i="9"/>
  <c r="B155" i="15"/>
  <c r="B151" i="11"/>
  <c r="B324" i="13"/>
  <c r="B259" i="14"/>
  <c r="B632" i="17"/>
  <c r="B344" i="16"/>
  <c r="B344" i="17"/>
  <c r="B498" i="14"/>
  <c r="B632" i="18"/>
  <c r="B259" i="17"/>
  <c r="B586" i="13"/>
  <c r="B413" i="18"/>
  <c r="B567" i="17"/>
  <c r="B431" i="22"/>
  <c r="B278" i="20"/>
  <c r="B22" i="22"/>
  <c r="B432" i="22"/>
  <c r="B574" i="17"/>
  <c r="B683" i="17"/>
  <c r="B591" i="17"/>
  <c r="B669" i="17"/>
  <c r="B603" i="17"/>
  <c r="B267" i="13"/>
  <c r="B264" i="13"/>
  <c r="B573" i="13"/>
  <c r="B587" i="13"/>
  <c r="B585" i="13"/>
  <c r="B293" i="13"/>
  <c r="B430" i="13"/>
  <c r="B428" i="13"/>
  <c r="B287" i="14"/>
  <c r="B266" i="14"/>
  <c r="B275" i="14"/>
  <c r="B568" i="14"/>
  <c r="AB3" i="1"/>
  <c r="B38" i="6"/>
  <c r="B406" i="12"/>
  <c r="B408" i="12"/>
  <c r="B405" i="12"/>
  <c r="B410" i="12"/>
  <c r="B413" i="12"/>
  <c r="B409" i="12"/>
  <c r="B402" i="12"/>
  <c r="B404" i="12" s="1"/>
  <c r="B412" i="12"/>
  <c r="B492" i="17"/>
  <c r="B523" i="17"/>
  <c r="B529" i="17"/>
  <c r="B504" i="17"/>
  <c r="B517" i="17"/>
  <c r="B493" i="17"/>
  <c r="B134" i="13"/>
  <c r="B140" i="13" s="1"/>
  <c r="B333" i="14"/>
  <c r="B487" i="18"/>
  <c r="B272" i="15"/>
  <c r="B338" i="14"/>
  <c r="B631" i="18"/>
  <c r="B368" i="18"/>
  <c r="B340" i="18"/>
  <c r="B437" i="13"/>
  <c r="B426" i="18"/>
  <c r="B514" i="17"/>
  <c r="B522" i="17"/>
  <c r="B513" i="17"/>
  <c r="B526" i="17"/>
  <c r="B502" i="17"/>
  <c r="B337" i="14"/>
  <c r="B473" i="17"/>
  <c r="B20" i="13"/>
  <c r="B170" i="18"/>
  <c r="B357" i="14"/>
  <c r="B512" i="17"/>
  <c r="B500" i="17"/>
  <c r="B506" i="17"/>
  <c r="B518" i="17"/>
  <c r="B494" i="17"/>
  <c r="B492" i="13"/>
  <c r="B22" i="16"/>
  <c r="B109" i="17"/>
  <c r="B352" i="18"/>
  <c r="B374" i="14"/>
  <c r="B530" i="16"/>
  <c r="B506" i="16"/>
  <c r="B494" i="16"/>
  <c r="B529" i="14"/>
  <c r="B530" i="17"/>
  <c r="B520" i="17"/>
  <c r="B498" i="17"/>
  <c r="B524" i="17"/>
  <c r="B550" i="16"/>
  <c r="B185" i="17"/>
  <c r="B34" i="14"/>
  <c r="B400" i="18"/>
  <c r="B491" i="14"/>
  <c r="B223" i="18"/>
  <c r="B204" i="13"/>
  <c r="B216" i="13" s="1"/>
  <c r="B341" i="14"/>
  <c r="B361" i="14"/>
  <c r="B345" i="14"/>
  <c r="B450" i="14"/>
  <c r="B440" i="18"/>
  <c r="B508" i="17"/>
  <c r="B499" i="17"/>
  <c r="B527" i="17"/>
  <c r="B503" i="17"/>
  <c r="B516" i="17"/>
  <c r="B410" i="16"/>
  <c r="B554" i="14"/>
  <c r="B57" i="13"/>
  <c r="B323" i="18"/>
  <c r="B361" i="18"/>
  <c r="B585" i="14"/>
  <c r="B530" i="13"/>
  <c r="B506" i="13"/>
  <c r="B511" i="13"/>
  <c r="B511" i="16"/>
  <c r="B528" i="17"/>
  <c r="B515" i="17"/>
  <c r="B519" i="17"/>
  <c r="B495" i="17"/>
  <c r="B509" i="17"/>
  <c r="B260" i="13"/>
  <c r="B569" i="17"/>
  <c r="B242" i="18"/>
  <c r="B94" i="13"/>
  <c r="B246" i="14"/>
  <c r="B277" i="14"/>
  <c r="B265" i="14"/>
  <c r="B598" i="14"/>
  <c r="B574" i="14"/>
  <c r="B601" i="14"/>
  <c r="B509" i="13"/>
  <c r="B346" i="17"/>
  <c r="B507" i="17"/>
  <c r="B497" i="17"/>
  <c r="B511" i="17"/>
  <c r="B525" i="17"/>
  <c r="B501" i="17"/>
  <c r="B261" i="14"/>
  <c r="B261" i="13"/>
  <c r="B568" i="17"/>
  <c r="B325" i="16"/>
  <c r="B53" i="17"/>
  <c r="B421" i="13"/>
  <c r="B349" i="17"/>
  <c r="AS69" i="1"/>
  <c r="B556" i="18" s="1"/>
  <c r="B16" i="18"/>
  <c r="AS67" i="1"/>
  <c r="B96" i="18" s="1"/>
  <c r="B319" i="12"/>
  <c r="B327" i="12"/>
  <c r="B325" i="12"/>
  <c r="B322" i="12"/>
  <c r="B323" i="12"/>
  <c r="B550" i="17"/>
  <c r="B324" i="12"/>
  <c r="B554" i="18"/>
  <c r="B314" i="12"/>
  <c r="B326" i="12"/>
  <c r="B185" i="12"/>
  <c r="B271" i="12"/>
  <c r="B633" i="14"/>
  <c r="B210" i="14"/>
  <c r="B281" i="11"/>
  <c r="B429" i="11"/>
  <c r="AN29" i="1"/>
  <c r="P29" i="1"/>
  <c r="B221" i="12"/>
  <c r="B124" i="8"/>
  <c r="B143" i="8" s="1"/>
  <c r="B415" i="9"/>
  <c r="Q23" i="1"/>
  <c r="Q14" i="1"/>
  <c r="AL14" i="1" s="1"/>
  <c r="AS57" i="1"/>
  <c r="B627" i="13"/>
  <c r="B303" i="6"/>
  <c r="B187" i="12"/>
  <c r="B189" i="12" s="1"/>
  <c r="Q10" i="1"/>
  <c r="AL10" i="1" s="1"/>
  <c r="B279" i="8" s="1"/>
  <c r="B452" i="9"/>
  <c r="B170" i="16"/>
  <c r="P6" i="1"/>
  <c r="Q81" i="1"/>
  <c r="AL81" i="1" s="1"/>
  <c r="B290" i="21" s="1"/>
  <c r="Q69" i="1"/>
  <c r="AL69" i="1" s="1"/>
  <c r="B564" i="18" s="1"/>
  <c r="AH41" i="1"/>
  <c r="B109" i="14" s="1"/>
  <c r="P41" i="1"/>
  <c r="B396" i="14" s="1"/>
  <c r="AN84" i="1"/>
  <c r="B85" i="22" s="1"/>
  <c r="P84" i="1"/>
  <c r="AS70" i="1"/>
  <c r="B633" i="18" s="1"/>
  <c r="B323" i="16"/>
  <c r="B128" i="17"/>
  <c r="B60" i="10"/>
  <c r="B166" i="16"/>
  <c r="B57" i="16"/>
  <c r="Q32" i="1"/>
  <c r="AL32" i="1" s="1"/>
  <c r="B641" i="13" s="1"/>
  <c r="Q62" i="1"/>
  <c r="AL62" i="1" s="1"/>
  <c r="B487" i="17" s="1"/>
  <c r="B229" i="10"/>
  <c r="B479" i="13"/>
  <c r="P54" i="1"/>
  <c r="B319" i="16" s="1"/>
  <c r="P83" i="1"/>
  <c r="B349" i="22" s="1"/>
  <c r="B160" i="8"/>
  <c r="B169" i="8" s="1"/>
  <c r="P4" i="1"/>
  <c r="Q4" i="1" s="1"/>
  <c r="AL4" i="1" s="1"/>
  <c r="B244" i="6" s="1"/>
  <c r="Q11" i="1"/>
  <c r="AL11" i="1" s="1"/>
  <c r="B439" i="16"/>
  <c r="B503" i="13"/>
  <c r="B259" i="16"/>
  <c r="B343" i="18"/>
  <c r="B195" i="11"/>
  <c r="B64" i="9"/>
  <c r="B64" i="15"/>
  <c r="B34" i="16"/>
  <c r="B418" i="10"/>
  <c r="B455" i="10"/>
  <c r="B232" i="20"/>
  <c r="B419" i="16"/>
  <c r="B420" i="16"/>
  <c r="B437" i="16"/>
  <c r="B500" i="16"/>
  <c r="B576" i="14"/>
  <c r="B223" i="13"/>
  <c r="B200" i="15"/>
  <c r="B20" i="11"/>
  <c r="B147" i="13"/>
  <c r="B324" i="18"/>
  <c r="B382" i="9"/>
  <c r="B351" i="15"/>
  <c r="B269" i="11"/>
  <c r="B306" i="11"/>
  <c r="B344" i="9"/>
  <c r="B63" i="10"/>
  <c r="B270" i="10"/>
  <c r="B291" i="16"/>
  <c r="B153" i="20"/>
  <c r="B593" i="13"/>
  <c r="B436" i="16"/>
  <c r="B524" i="16"/>
  <c r="B373" i="14"/>
  <c r="B367" i="18"/>
  <c r="B307" i="11"/>
  <c r="B196" i="9"/>
  <c r="B344" i="11"/>
  <c r="B477" i="17"/>
  <c r="B223" i="17"/>
  <c r="B232" i="10"/>
  <c r="B247" i="13"/>
  <c r="B276" i="15"/>
  <c r="B108" i="11"/>
  <c r="B314" i="15"/>
  <c r="B152" i="11"/>
  <c r="B197" i="9"/>
  <c r="B157" i="21"/>
  <c r="B71" i="17"/>
  <c r="B380" i="10"/>
  <c r="B354" i="15"/>
  <c r="B110" i="15"/>
  <c r="B107" i="11"/>
  <c r="B427" i="16"/>
  <c r="B353" i="17"/>
  <c r="B570" i="14"/>
  <c r="B426" i="13"/>
  <c r="B154" i="15"/>
  <c r="B20" i="9"/>
  <c r="B64" i="10"/>
  <c r="B270" i="9"/>
  <c r="B418" i="11"/>
  <c r="B307" i="9"/>
  <c r="B455" i="11"/>
  <c r="B19" i="10"/>
  <c r="B67" i="15"/>
  <c r="B233" i="10"/>
  <c r="B428" i="15"/>
  <c r="B417" i="11"/>
  <c r="B430" i="10"/>
  <c r="B425" i="16"/>
  <c r="B367" i="14"/>
  <c r="B523" i="13"/>
  <c r="B366" i="18"/>
  <c r="B360" i="18"/>
  <c r="B345" i="9"/>
  <c r="B20" i="19"/>
  <c r="B157" i="20"/>
  <c r="B58" i="16"/>
  <c r="B381" i="10"/>
  <c r="B108" i="9"/>
  <c r="B199" i="15"/>
  <c r="B152" i="9"/>
  <c r="B343" i="10"/>
  <c r="B313" i="15"/>
  <c r="B65" i="15"/>
  <c r="B63" i="11"/>
  <c r="B107" i="9"/>
  <c r="B270" i="11"/>
  <c r="B665" i="13"/>
  <c r="B275" i="13"/>
  <c r="B347" i="17"/>
  <c r="B350" i="17"/>
  <c r="B342" i="14"/>
  <c r="B422" i="13"/>
  <c r="B341" i="18"/>
  <c r="B242" i="22"/>
  <c r="B294" i="13"/>
  <c r="B273" i="13"/>
  <c r="B451" i="16"/>
  <c r="B431" i="16"/>
  <c r="B354" i="18"/>
  <c r="B20" i="10"/>
  <c r="B427" i="15"/>
  <c r="B238" i="15"/>
  <c r="B64" i="11"/>
  <c r="B34" i="18"/>
  <c r="B269" i="10"/>
  <c r="B306" i="10"/>
  <c r="B20" i="15"/>
  <c r="B19" i="11"/>
  <c r="B465" i="15"/>
  <c r="B63" i="9"/>
  <c r="B233" i="11"/>
  <c r="B271" i="9"/>
  <c r="B275" i="15"/>
  <c r="B376" i="18"/>
  <c r="B344" i="18"/>
  <c r="B373" i="18"/>
  <c r="B349" i="18"/>
  <c r="B370" i="18"/>
  <c r="B424" i="13"/>
  <c r="B427" i="13"/>
  <c r="B448" i="13"/>
  <c r="B281" i="14"/>
  <c r="B295" i="14"/>
  <c r="B590" i="14"/>
  <c r="B604" i="14"/>
  <c r="B580" i="14"/>
  <c r="B593" i="14"/>
  <c r="B577" i="14"/>
  <c r="B501" i="13"/>
  <c r="B522" i="13"/>
  <c r="B498" i="13"/>
  <c r="B496" i="13"/>
  <c r="B370" i="14"/>
  <c r="B354" i="14"/>
  <c r="B349" i="14"/>
  <c r="B366" i="14"/>
  <c r="B376" i="17"/>
  <c r="B504" i="16"/>
  <c r="B501" i="16"/>
  <c r="B432" i="16"/>
  <c r="B433" i="14"/>
  <c r="B416" i="14"/>
  <c r="B445" i="14"/>
  <c r="P76" i="1"/>
  <c r="B374" i="18"/>
  <c r="B365" i="18"/>
  <c r="B362" i="18"/>
  <c r="B446" i="13"/>
  <c r="B443" i="13"/>
  <c r="B419" i="13"/>
  <c r="B278" i="14"/>
  <c r="B286" i="14"/>
  <c r="B290" i="14"/>
  <c r="B274" i="14"/>
  <c r="B583" i="14"/>
  <c r="B596" i="14"/>
  <c r="B572" i="14"/>
  <c r="B586" i="14"/>
  <c r="B607" i="14"/>
  <c r="B514" i="13"/>
  <c r="B528" i="13"/>
  <c r="B519" i="13"/>
  <c r="B372" i="14"/>
  <c r="B362" i="14"/>
  <c r="B346" i="14"/>
  <c r="B358" i="14"/>
  <c r="B371" i="17"/>
  <c r="B514" i="16"/>
  <c r="B528" i="16"/>
  <c r="B433" i="16"/>
  <c r="B574" i="13"/>
  <c r="B441" i="14"/>
  <c r="B351" i="13"/>
  <c r="B295" i="18"/>
  <c r="B346" i="18"/>
  <c r="B357" i="18"/>
  <c r="B355" i="18"/>
  <c r="B438" i="13"/>
  <c r="B588" i="14"/>
  <c r="B602" i="14"/>
  <c r="B578" i="14"/>
  <c r="B599" i="14"/>
  <c r="B494" i="13"/>
  <c r="B507" i="13"/>
  <c r="B520" i="13"/>
  <c r="B504" i="13"/>
  <c r="B371" i="14"/>
  <c r="B355" i="14"/>
  <c r="B359" i="17"/>
  <c r="B363" i="17"/>
  <c r="B360" i="17"/>
  <c r="B523" i="16"/>
  <c r="B423" i="16"/>
  <c r="B443" i="16"/>
  <c r="B571" i="13"/>
  <c r="B268" i="17"/>
  <c r="B298" i="16"/>
  <c r="B348" i="9"/>
  <c r="B310" i="22"/>
  <c r="B375" i="18"/>
  <c r="B350" i="18"/>
  <c r="B371" i="18"/>
  <c r="B347" i="18"/>
  <c r="B431" i="13"/>
  <c r="B425" i="13"/>
  <c r="B262" i="14"/>
  <c r="B272" i="14"/>
  <c r="B605" i="14"/>
  <c r="B581" i="14"/>
  <c r="B594" i="14"/>
  <c r="B591" i="14"/>
  <c r="B510" i="13"/>
  <c r="B499" i="13"/>
  <c r="B512" i="13"/>
  <c r="B526" i="13"/>
  <c r="B363" i="14"/>
  <c r="B347" i="14"/>
  <c r="B376" i="14"/>
  <c r="B358" i="17"/>
  <c r="B352" i="17"/>
  <c r="B356" i="17"/>
  <c r="B339" i="17"/>
  <c r="B499" i="16"/>
  <c r="B512" i="16"/>
  <c r="B444" i="16"/>
  <c r="B353" i="18"/>
  <c r="B358" i="18"/>
  <c r="B342" i="18"/>
  <c r="B363" i="18"/>
  <c r="B339" i="18"/>
  <c r="B416" i="13"/>
  <c r="B423" i="13"/>
  <c r="B444" i="13"/>
  <c r="B420" i="13"/>
  <c r="B417" i="13"/>
  <c r="B597" i="14"/>
  <c r="B573" i="14"/>
  <c r="B587" i="14"/>
  <c r="B584" i="14"/>
  <c r="B525" i="13"/>
  <c r="B515" i="13"/>
  <c r="B529" i="13"/>
  <c r="B505" i="13"/>
  <c r="B518" i="13"/>
  <c r="B356" i="14"/>
  <c r="B339" i="14"/>
  <c r="B368" i="14"/>
  <c r="B359" i="14"/>
  <c r="B351" i="17"/>
  <c r="B426" i="16"/>
  <c r="B283" i="13"/>
  <c r="B667" i="16"/>
  <c r="P33" i="1"/>
  <c r="Q33" i="1" s="1"/>
  <c r="AL33" i="1" s="1"/>
  <c r="B345" i="18"/>
  <c r="B351" i="18"/>
  <c r="B372" i="18"/>
  <c r="B356" i="18"/>
  <c r="B447" i="13"/>
  <c r="B436" i="13"/>
  <c r="B450" i="13"/>
  <c r="B449" i="13"/>
  <c r="B415" i="13"/>
  <c r="B292" i="14"/>
  <c r="B276" i="14"/>
  <c r="B271" i="14"/>
  <c r="B260" i="14"/>
  <c r="B589" i="14"/>
  <c r="B603" i="14"/>
  <c r="B579" i="14"/>
  <c r="B600" i="14"/>
  <c r="B171" i="11"/>
  <c r="B524" i="13"/>
  <c r="B521" i="13"/>
  <c r="B497" i="13"/>
  <c r="B348" i="14"/>
  <c r="B364" i="14"/>
  <c r="B352" i="14"/>
  <c r="B364" i="17"/>
  <c r="B345" i="17"/>
  <c r="B418" i="16"/>
  <c r="B368" i="13"/>
  <c r="B371" i="13"/>
  <c r="B502" i="14"/>
  <c r="B291" i="18"/>
  <c r="B673" i="17"/>
  <c r="B22" i="6"/>
  <c r="AH38" i="1"/>
  <c r="P38" i="1" s="1"/>
  <c r="Q38" i="1" s="1"/>
  <c r="AL38" i="1" s="1"/>
  <c r="B39" i="10"/>
  <c r="B369" i="18"/>
  <c r="B359" i="18"/>
  <c r="B364" i="18"/>
  <c r="B348" i="18"/>
  <c r="B445" i="13"/>
  <c r="B294" i="14"/>
  <c r="B273" i="14"/>
  <c r="B606" i="14"/>
  <c r="B582" i="14"/>
  <c r="B595" i="14"/>
  <c r="B571" i="14"/>
  <c r="B592" i="14"/>
  <c r="B516" i="13"/>
  <c r="B500" i="13"/>
  <c r="B513" i="13"/>
  <c r="B527" i="13"/>
  <c r="B340" i="14"/>
  <c r="B369" i="14"/>
  <c r="B353" i="14"/>
  <c r="B374" i="17"/>
  <c r="B370" i="17"/>
  <c r="B354" i="17"/>
  <c r="B516" i="16"/>
  <c r="B526" i="16"/>
  <c r="B502" i="16"/>
  <c r="B288" i="13"/>
  <c r="B268" i="13"/>
  <c r="B448" i="14"/>
  <c r="B432" i="14"/>
  <c r="B270" i="17"/>
  <c r="B267" i="17"/>
  <c r="B281" i="17"/>
  <c r="B295" i="17"/>
  <c r="B649" i="13"/>
  <c r="B663" i="13"/>
  <c r="B668" i="13"/>
  <c r="B527" i="14"/>
  <c r="B288" i="16"/>
  <c r="P43" i="1"/>
  <c r="B39" i="6"/>
  <c r="AC3" i="1"/>
  <c r="AP3" i="1" s="1"/>
  <c r="B42" i="6" s="1"/>
  <c r="B128" i="22"/>
  <c r="AC85" i="1"/>
  <c r="AC72" i="1"/>
  <c r="B83" i="19"/>
  <c r="B347" i="10"/>
  <c r="B199" i="10"/>
  <c r="B23" i="10"/>
  <c r="B223" i="16"/>
  <c r="P58" i="1"/>
  <c r="B633" i="17"/>
  <c r="B210" i="17"/>
  <c r="AC12" i="1"/>
  <c r="B380" i="9" s="1"/>
  <c r="B81" i="9"/>
  <c r="B34" i="17"/>
  <c r="P59" i="1"/>
  <c r="AC22" i="1"/>
  <c r="B169" i="11"/>
  <c r="P5" i="1"/>
  <c r="B264" i="6" s="1"/>
  <c r="AG35" i="1"/>
  <c r="AS35" i="1" s="1"/>
  <c r="B266" i="6"/>
  <c r="Q26" i="1"/>
  <c r="B350" i="20"/>
  <c r="B248" i="16"/>
  <c r="B565" i="17"/>
  <c r="P45" i="1"/>
  <c r="Q45" i="1" s="1"/>
  <c r="AL45" i="1" s="1"/>
  <c r="B198" i="20"/>
  <c r="AP4" i="1"/>
  <c r="B85" i="6" s="1"/>
  <c r="B16" i="8"/>
  <c r="B35" i="8" s="1"/>
  <c r="P80" i="1"/>
  <c r="B223" i="14"/>
  <c r="P35" i="1"/>
  <c r="Q35" i="1" s="1"/>
  <c r="AL35" i="1" s="1"/>
  <c r="B172" i="18"/>
  <c r="B20" i="14"/>
  <c r="B480" i="20"/>
  <c r="B328" i="20"/>
  <c r="Q24" i="1"/>
  <c r="B55" i="12"/>
  <c r="B77" i="12" s="1"/>
  <c r="B462" i="19"/>
  <c r="Q74" i="1"/>
  <c r="AL74" i="1" s="1"/>
  <c r="B328" i="19" s="1"/>
  <c r="B151" i="19"/>
  <c r="B179" i="19" s="1"/>
  <c r="B430" i="9"/>
  <c r="B282" i="9"/>
  <c r="P71" i="1"/>
  <c r="AP71" i="1"/>
  <c r="B42" i="19" s="1"/>
  <c r="B350" i="19"/>
  <c r="B18" i="19"/>
  <c r="B350" i="21"/>
  <c r="AP79" i="1"/>
  <c r="B42" i="21" s="1"/>
  <c r="B274" i="20"/>
  <c r="B108" i="20"/>
  <c r="P77" i="1"/>
  <c r="AP77" i="1"/>
  <c r="B132" i="20" s="1"/>
  <c r="B150" i="10"/>
  <c r="P18" i="1"/>
  <c r="B305" i="10"/>
  <c r="AP18" i="1"/>
  <c r="B173" i="10" s="1"/>
  <c r="P17" i="1"/>
  <c r="AP17" i="1"/>
  <c r="B129" i="10" s="1"/>
  <c r="B268" i="10"/>
  <c r="B453" i="10"/>
  <c r="Q44" i="1"/>
  <c r="AL44" i="1" s="1"/>
  <c r="B641" i="14" s="1"/>
  <c r="B204" i="14"/>
  <c r="B224" i="14" s="1"/>
  <c r="B627" i="14"/>
  <c r="B128" i="16"/>
  <c r="B149" i="16" s="1"/>
  <c r="Q56" i="1"/>
  <c r="AL56" i="1" s="1"/>
  <c r="B487" i="16" s="1"/>
  <c r="B272" i="21"/>
  <c r="AP5" i="1"/>
  <c r="B128" i="6" s="1"/>
  <c r="B16" i="12"/>
  <c r="B38" i="12" s="1"/>
  <c r="B16" i="15"/>
  <c r="B44" i="15" s="1"/>
  <c r="B210" i="18"/>
  <c r="B60" i="11"/>
  <c r="B87" i="11" s="1"/>
  <c r="B166" i="17"/>
  <c r="Q16" i="1"/>
  <c r="AL16" i="1" s="1"/>
  <c r="B244" i="10" s="1"/>
  <c r="B473" i="12"/>
  <c r="B325" i="18"/>
  <c r="Q20" i="1"/>
  <c r="AL20" i="1" s="1"/>
  <c r="P75" i="1"/>
  <c r="Q75" i="1" s="1"/>
  <c r="AL75" i="1" s="1"/>
  <c r="B366" i="17"/>
  <c r="B373" i="17"/>
  <c r="B342" i="17"/>
  <c r="B340" i="17"/>
  <c r="B369" i="17"/>
  <c r="B496" i="16"/>
  <c r="B521" i="16"/>
  <c r="B520" i="16"/>
  <c r="B495" i="16"/>
  <c r="B449" i="16"/>
  <c r="B446" i="16"/>
  <c r="B453" i="16"/>
  <c r="B422" i="16"/>
  <c r="B429" i="16"/>
  <c r="B435" i="16"/>
  <c r="B442" i="16"/>
  <c r="B448" i="16"/>
  <c r="B417" i="16"/>
  <c r="B424" i="16"/>
  <c r="B286" i="13"/>
  <c r="B599" i="13"/>
  <c r="B426" i="14"/>
  <c r="B417" i="14"/>
  <c r="B446" i="14"/>
  <c r="B430" i="14"/>
  <c r="B443" i="14"/>
  <c r="B286" i="17"/>
  <c r="B290" i="17"/>
  <c r="B264" i="17"/>
  <c r="B265" i="17"/>
  <c r="B369" i="13"/>
  <c r="B373" i="13"/>
  <c r="B372" i="13"/>
  <c r="B355" i="13"/>
  <c r="B660" i="13"/>
  <c r="B680" i="13"/>
  <c r="B671" i="13"/>
  <c r="B647" i="13"/>
  <c r="B682" i="13"/>
  <c r="B511" i="14"/>
  <c r="B521" i="14"/>
  <c r="B293" i="16"/>
  <c r="B283" i="16"/>
  <c r="B289" i="16"/>
  <c r="B280" i="16"/>
  <c r="B269" i="16"/>
  <c r="B231" i="11"/>
  <c r="B266" i="18"/>
  <c r="B351" i="16"/>
  <c r="B605" i="16"/>
  <c r="B600" i="16"/>
  <c r="B663" i="17"/>
  <c r="B66" i="22"/>
  <c r="AH34" i="1"/>
  <c r="B525" i="16"/>
  <c r="B290" i="13"/>
  <c r="B266" i="13"/>
  <c r="B299" i="13"/>
  <c r="B594" i="13"/>
  <c r="B578" i="13"/>
  <c r="B583" i="13"/>
  <c r="B588" i="13"/>
  <c r="B442" i="14"/>
  <c r="B438" i="14"/>
  <c r="B422" i="14"/>
  <c r="B435" i="14"/>
  <c r="B279" i="17"/>
  <c r="B282" i="17"/>
  <c r="B296" i="17"/>
  <c r="B271" i="17"/>
  <c r="B262" i="17"/>
  <c r="B353" i="13"/>
  <c r="B344" i="13"/>
  <c r="B364" i="13"/>
  <c r="B363" i="13"/>
  <c r="B347" i="13"/>
  <c r="B664" i="13"/>
  <c r="B677" i="13"/>
  <c r="B674" i="13"/>
  <c r="B504" i="14"/>
  <c r="B520" i="14"/>
  <c r="B512" i="14"/>
  <c r="B285" i="16"/>
  <c r="B275" i="16"/>
  <c r="B281" i="16"/>
  <c r="B298" i="18"/>
  <c r="B285" i="18"/>
  <c r="B284" i="18"/>
  <c r="B664" i="16"/>
  <c r="B277" i="19"/>
  <c r="B250" i="19"/>
  <c r="B89" i="12"/>
  <c r="AN80" i="1"/>
  <c r="B85" i="21" s="1"/>
  <c r="AS59" i="1"/>
  <c r="B22" i="17" s="1"/>
  <c r="B172" i="19"/>
  <c r="B343" i="14"/>
  <c r="B375" i="17"/>
  <c r="B365" i="17"/>
  <c r="B372" i="17"/>
  <c r="B362" i="17"/>
  <c r="B519" i="16"/>
  <c r="B493" i="16"/>
  <c r="B513" i="16"/>
  <c r="B505" i="16"/>
  <c r="B517" i="16"/>
  <c r="B438" i="16"/>
  <c r="B445" i="16"/>
  <c r="B452" i="16"/>
  <c r="B421" i="16"/>
  <c r="B428" i="16"/>
  <c r="B434" i="16"/>
  <c r="B440" i="16"/>
  <c r="B447" i="16"/>
  <c r="B416" i="16"/>
  <c r="B284" i="13"/>
  <c r="B292" i="13"/>
  <c r="B570" i="13"/>
  <c r="B591" i="13"/>
  <c r="B447" i="14"/>
  <c r="B431" i="14"/>
  <c r="B452" i="14"/>
  <c r="B428" i="14"/>
  <c r="B299" i="17"/>
  <c r="B275" i="17"/>
  <c r="B288" i="17"/>
  <c r="B261" i="17"/>
  <c r="B346" i="13"/>
  <c r="B345" i="13"/>
  <c r="B365" i="13"/>
  <c r="B339" i="13"/>
  <c r="B672" i="13"/>
  <c r="B656" i="13"/>
  <c r="B669" i="13"/>
  <c r="B666" i="13"/>
  <c r="B496" i="14"/>
  <c r="B524" i="14"/>
  <c r="B522" i="14"/>
  <c r="B513" i="14"/>
  <c r="B277" i="16"/>
  <c r="B276" i="16"/>
  <c r="B274" i="16"/>
  <c r="B297" i="18"/>
  <c r="B288" i="18"/>
  <c r="B264" i="18"/>
  <c r="B672" i="16"/>
  <c r="B24" i="22"/>
  <c r="B66" i="19"/>
  <c r="B497" i="16"/>
  <c r="B297" i="13"/>
  <c r="B271" i="13"/>
  <c r="B603" i="13"/>
  <c r="B582" i="13"/>
  <c r="B427" i="14"/>
  <c r="B439" i="14"/>
  <c r="B423" i="14"/>
  <c r="B444" i="14"/>
  <c r="B420" i="14"/>
  <c r="B291" i="17"/>
  <c r="B266" i="17"/>
  <c r="B280" i="17"/>
  <c r="B375" i="13"/>
  <c r="B349" i="13"/>
  <c r="B348" i="13"/>
  <c r="B658" i="13"/>
  <c r="B648" i="13"/>
  <c r="B654" i="13"/>
  <c r="B659" i="13"/>
  <c r="B505" i="14"/>
  <c r="B516" i="14"/>
  <c r="B515" i="14"/>
  <c r="B514" i="14"/>
  <c r="B267" i="16"/>
  <c r="B266" i="16"/>
  <c r="B264" i="16"/>
  <c r="B295" i="16"/>
  <c r="B282" i="18"/>
  <c r="B280" i="18"/>
  <c r="B278" i="18"/>
  <c r="B369" i="16"/>
  <c r="B606" i="16"/>
  <c r="B337" i="10"/>
  <c r="B17" i="21"/>
  <c r="B87" i="13"/>
  <c r="B419" i="14"/>
  <c r="B436" i="14"/>
  <c r="B283" i="17"/>
  <c r="B297" i="17"/>
  <c r="B272" i="17"/>
  <c r="B284" i="17"/>
  <c r="B340" i="10"/>
  <c r="B376" i="13"/>
  <c r="B366" i="13"/>
  <c r="B357" i="13"/>
  <c r="B667" i="13"/>
  <c r="B683" i="13"/>
  <c r="B678" i="13"/>
  <c r="B684" i="13"/>
  <c r="B651" i="13"/>
  <c r="B517" i="14"/>
  <c r="B507" i="14"/>
  <c r="B286" i="16"/>
  <c r="B296" i="16"/>
  <c r="B287" i="16"/>
  <c r="B465" i="22"/>
  <c r="B289" i="18"/>
  <c r="B675" i="16"/>
  <c r="B584" i="17"/>
  <c r="B199" i="8"/>
  <c r="B32" i="17"/>
  <c r="B410" i="11"/>
  <c r="AG68" i="1"/>
  <c r="AS55" i="1"/>
  <c r="B508" i="16"/>
  <c r="B507" i="16"/>
  <c r="B518" i="16"/>
  <c r="B281" i="13"/>
  <c r="B449" i="14"/>
  <c r="B440" i="14"/>
  <c r="B424" i="14"/>
  <c r="B453" i="14"/>
  <c r="B276" i="17"/>
  <c r="B289" i="17"/>
  <c r="B263" i="17"/>
  <c r="B278" i="17"/>
  <c r="B277" i="17"/>
  <c r="B359" i="13"/>
  <c r="B358" i="13"/>
  <c r="B370" i="13"/>
  <c r="B657" i="13"/>
  <c r="B670" i="13"/>
  <c r="B676" i="13"/>
  <c r="B528" i="14"/>
  <c r="B501" i="14"/>
  <c r="B508" i="14"/>
  <c r="B262" i="16"/>
  <c r="B279" i="16"/>
  <c r="B271" i="16"/>
  <c r="B388" i="19"/>
  <c r="B275" i="18"/>
  <c r="B279" i="18"/>
  <c r="B370" i="16"/>
  <c r="B607" i="16"/>
  <c r="B228" i="8"/>
  <c r="B419" i="21"/>
  <c r="B438" i="21" s="1"/>
  <c r="B104" i="8"/>
  <c r="P34" i="1"/>
  <c r="Q34" i="1" s="1"/>
  <c r="AL34" i="1" s="1"/>
  <c r="P37" i="1"/>
  <c r="Q37" i="1" s="1"/>
  <c r="AL37" i="1" s="1"/>
  <c r="B313" i="21"/>
  <c r="B269" i="13"/>
  <c r="B274" i="13"/>
  <c r="B602" i="13"/>
  <c r="B425" i="14"/>
  <c r="B434" i="14"/>
  <c r="B437" i="14"/>
  <c r="B451" i="14"/>
  <c r="B294" i="17"/>
  <c r="B298" i="17"/>
  <c r="B274" i="17"/>
  <c r="B287" i="17"/>
  <c r="B269" i="17"/>
  <c r="B361" i="13"/>
  <c r="B352" i="13"/>
  <c r="B342" i="13"/>
  <c r="B356" i="13"/>
  <c r="B679" i="13"/>
  <c r="B655" i="13"/>
  <c r="B661" i="13"/>
  <c r="B519" i="14"/>
  <c r="B493" i="14"/>
  <c r="B500" i="14"/>
  <c r="B312" i="20"/>
  <c r="B294" i="16"/>
  <c r="B292" i="16"/>
  <c r="B290" i="16"/>
  <c r="B63" i="19"/>
  <c r="B274" i="18"/>
  <c r="B267" i="18"/>
  <c r="B287" i="18"/>
  <c r="B292" i="18"/>
  <c r="B663" i="16"/>
  <c r="B682" i="17"/>
  <c r="B568" i="16"/>
  <c r="B269" i="19"/>
  <c r="B91" i="12"/>
  <c r="AS23" i="1"/>
  <c r="B22" i="12" s="1"/>
  <c r="P48" i="1"/>
  <c r="Q48" i="1" s="1"/>
  <c r="AL48" i="1" s="1"/>
  <c r="B207" i="11"/>
  <c r="B355" i="11"/>
  <c r="B356" i="9"/>
  <c r="B208" i="9"/>
  <c r="B363" i="15"/>
  <c r="B211" i="15"/>
  <c r="B392" i="11"/>
  <c r="B244" i="11"/>
  <c r="B480" i="19"/>
  <c r="B106" i="21"/>
  <c r="B133" i="21" s="1"/>
  <c r="Q5" i="1"/>
  <c r="AL5" i="1" s="1"/>
  <c r="B281" i="6" s="1"/>
  <c r="Q73" i="1"/>
  <c r="AL73" i="1" s="1"/>
  <c r="B272" i="19"/>
  <c r="B104" i="6"/>
  <c r="B129" i="6" s="1"/>
  <c r="AP83" i="1"/>
  <c r="B42" i="22" s="1"/>
  <c r="B194" i="11"/>
  <c r="B342" i="11"/>
  <c r="B234" i="6"/>
  <c r="B68" i="6"/>
  <c r="B196" i="22"/>
  <c r="B192" i="11"/>
  <c r="B272" i="20"/>
  <c r="Q83" i="1"/>
  <c r="AL83" i="1" s="1"/>
  <c r="B340" i="11"/>
  <c r="B351" i="22"/>
  <c r="B18" i="21"/>
  <c r="P79" i="1"/>
  <c r="B198" i="22"/>
  <c r="B230" i="8"/>
  <c r="B16" i="22"/>
  <c r="B44" i="22" s="1"/>
  <c r="B16" i="11"/>
  <c r="B42" i="11" s="1"/>
  <c r="B18" i="20"/>
  <c r="B193" i="9"/>
  <c r="B16" i="9"/>
  <c r="B43" i="9" s="1"/>
  <c r="B424" i="19"/>
  <c r="B279" i="21"/>
  <c r="B113" i="21"/>
  <c r="Q51" i="1"/>
  <c r="AL51" i="1" s="1"/>
  <c r="B424" i="15"/>
  <c r="B106" i="15"/>
  <c r="Q41" i="1"/>
  <c r="AL41" i="1" s="1"/>
  <c r="B410" i="14" s="1"/>
  <c r="AN50" i="1"/>
  <c r="B85" i="15" s="1"/>
  <c r="P50" i="1"/>
  <c r="AP22" i="1"/>
  <c r="B173" i="11" s="1"/>
  <c r="P22" i="1"/>
  <c r="B312" i="21"/>
  <c r="B153" i="21"/>
  <c r="AP82" i="1"/>
  <c r="B177" i="21" s="1"/>
  <c r="P82" i="1"/>
  <c r="AP61" i="1"/>
  <c r="P61" i="1"/>
  <c r="B59" i="14"/>
  <c r="B325" i="14"/>
  <c r="Q67" i="1"/>
  <c r="AL67" i="1" s="1"/>
  <c r="B410" i="18" s="1"/>
  <c r="B90" i="18"/>
  <c r="B396" i="18"/>
  <c r="B377" i="11"/>
  <c r="B215" i="12"/>
  <c r="B426" i="21"/>
  <c r="B427" i="22"/>
  <c r="B274" i="19"/>
  <c r="B134" i="14"/>
  <c r="B479" i="14"/>
  <c r="B319" i="13"/>
  <c r="B53" i="13"/>
  <c r="B473" i="13"/>
  <c r="Q30" i="1"/>
  <c r="AL30" i="1" s="1"/>
  <c r="B487" i="13" s="1"/>
  <c r="B323" i="14"/>
  <c r="B57" i="14"/>
  <c r="B467" i="9"/>
  <c r="B319" i="9"/>
  <c r="B248" i="13"/>
  <c r="AG36" i="1"/>
  <c r="AS36" i="1" s="1"/>
  <c r="AH36" i="1"/>
  <c r="B147" i="28" s="1"/>
  <c r="B550" i="18"/>
  <c r="AP51" i="1"/>
  <c r="B132" i="15" s="1"/>
  <c r="B274" i="15"/>
  <c r="B18" i="18"/>
  <c r="P47" i="1"/>
  <c r="Q47" i="1" s="1"/>
  <c r="AL47" i="1" s="1"/>
  <c r="AP47" i="1"/>
  <c r="B132" i="29" s="1"/>
  <c r="AS26" i="1"/>
  <c r="B215" i="21"/>
  <c r="B644" i="18"/>
  <c r="B413" i="17"/>
  <c r="B547" i="17"/>
  <c r="B105" i="15"/>
  <c r="B431" i="12"/>
  <c r="B439" i="12" s="1"/>
  <c r="B558" i="14"/>
  <c r="B33" i="19"/>
  <c r="B357" i="21"/>
  <c r="B215" i="20"/>
  <c r="B35" i="21"/>
  <c r="B311" i="22"/>
  <c r="B58" i="21"/>
  <c r="B41" i="20"/>
  <c r="B315" i="22"/>
  <c r="B85" i="19"/>
  <c r="B40" i="19"/>
  <c r="B36" i="22"/>
  <c r="B84" i="11"/>
  <c r="B315" i="14"/>
  <c r="B391" i="21"/>
  <c r="B393" i="14"/>
  <c r="B24" i="17"/>
  <c r="B106" i="16"/>
  <c r="B657" i="17"/>
  <c r="B654" i="17"/>
  <c r="B670" i="17"/>
  <c r="B326" i="20"/>
  <c r="B572" i="17"/>
  <c r="B352" i="16"/>
  <c r="B345" i="16"/>
  <c r="B376" i="16"/>
  <c r="B363" i="16"/>
  <c r="B665" i="16"/>
  <c r="B676" i="16"/>
  <c r="B677" i="16"/>
  <c r="B649" i="16"/>
  <c r="B660" i="16"/>
  <c r="B268" i="18"/>
  <c r="B481" i="19"/>
  <c r="B405" i="21"/>
  <c r="B490" i="17"/>
  <c r="B258" i="16"/>
  <c r="B15" i="13"/>
  <c r="B32" i="14"/>
  <c r="B481" i="15"/>
  <c r="B394" i="12"/>
  <c r="B146" i="19"/>
  <c r="B149" i="19"/>
  <c r="B149" i="21"/>
  <c r="B15" i="19"/>
  <c r="B421" i="22"/>
  <c r="B197" i="19"/>
  <c r="B56" i="21"/>
  <c r="B391" i="20"/>
  <c r="B230" i="19"/>
  <c r="B287" i="21"/>
  <c r="B58" i="9"/>
  <c r="B171" i="22"/>
  <c r="B12" i="14"/>
  <c r="B410" i="10"/>
  <c r="B239" i="21"/>
  <c r="B203" i="21"/>
  <c r="B431" i="15"/>
  <c r="B574" i="16"/>
  <c r="B389" i="12"/>
  <c r="B359" i="16"/>
  <c r="B353" i="16"/>
  <c r="B340" i="16"/>
  <c r="B371" i="16"/>
  <c r="B682" i="16"/>
  <c r="B684" i="16"/>
  <c r="B656" i="16"/>
  <c r="B657" i="16"/>
  <c r="B155" i="20"/>
  <c r="B334" i="18"/>
  <c r="B190" i="11"/>
  <c r="B58" i="11"/>
  <c r="B240" i="13"/>
  <c r="B164" i="18"/>
  <c r="B202" i="18"/>
  <c r="B630" i="17"/>
  <c r="B287" i="19"/>
  <c r="B235" i="19"/>
  <c r="B549" i="18"/>
  <c r="B70" i="21"/>
  <c r="B291" i="20"/>
  <c r="B249" i="21"/>
  <c r="B402" i="21"/>
  <c r="B412" i="10"/>
  <c r="B55" i="9"/>
  <c r="B49" i="17"/>
  <c r="B365" i="15"/>
  <c r="B176" i="22"/>
  <c r="B583" i="16"/>
  <c r="B576" i="16"/>
  <c r="B577" i="16"/>
  <c r="B570" i="16"/>
  <c r="B339" i="16"/>
  <c r="B357" i="16"/>
  <c r="B358" i="16"/>
  <c r="B293" i="22"/>
  <c r="B455" i="14"/>
  <c r="B482" i="15"/>
  <c r="B310" i="11"/>
  <c r="B135" i="18"/>
  <c r="B237" i="13"/>
  <c r="B255" i="13" s="1"/>
  <c r="B197" i="10"/>
  <c r="B69" i="11"/>
  <c r="B131" i="12"/>
  <c r="B98" i="17"/>
  <c r="B309" i="20"/>
  <c r="B60" i="21"/>
  <c r="B229" i="20"/>
  <c r="B248" i="20" s="1"/>
  <c r="B632" i="16"/>
  <c r="B86" i="21"/>
  <c r="B56" i="20"/>
  <c r="B247" i="16"/>
  <c r="B292" i="19"/>
  <c r="B58" i="20"/>
  <c r="B305" i="9"/>
  <c r="B622" i="13"/>
  <c r="B640" i="13" s="1"/>
  <c r="B220" i="18"/>
  <c r="B478" i="17"/>
  <c r="B342" i="9"/>
  <c r="B198" i="15"/>
  <c r="B579" i="16"/>
  <c r="B582" i="16"/>
  <c r="B367" i="16"/>
  <c r="B360" i="16"/>
  <c r="B348" i="16"/>
  <c r="B651" i="16"/>
  <c r="B653" i="16"/>
  <c r="B644" i="13"/>
  <c r="B86" i="22"/>
  <c r="B548" i="14"/>
  <c r="B373" i="9"/>
  <c r="B392" i="9" s="1"/>
  <c r="B56" i="15"/>
  <c r="B449" i="10"/>
  <c r="B152" i="21"/>
  <c r="B147" i="22"/>
  <c r="B201" i="19"/>
  <c r="B105" i="19"/>
  <c r="B192" i="21"/>
  <c r="B422" i="21"/>
  <c r="B629" i="18"/>
  <c r="B125" i="22"/>
  <c r="B460" i="19"/>
  <c r="B463" i="21"/>
  <c r="B126" i="16"/>
  <c r="B278" i="21"/>
  <c r="B372" i="10"/>
  <c r="B391" i="10" s="1"/>
  <c r="B260" i="18"/>
  <c r="B588" i="16"/>
  <c r="B590" i="16"/>
  <c r="B585" i="16"/>
  <c r="B578" i="16"/>
  <c r="B346" i="16"/>
  <c r="B365" i="16"/>
  <c r="B331" i="22"/>
  <c r="B444" i="20"/>
  <c r="B392" i="18"/>
  <c r="B189" i="11"/>
  <c r="B458" i="15"/>
  <c r="B144" i="14"/>
  <c r="B14" i="12"/>
  <c r="B231" i="22"/>
  <c r="B308" i="21"/>
  <c r="B393" i="22"/>
  <c r="B199" i="16"/>
  <c r="B267" i="22"/>
  <c r="B286" i="22" s="1"/>
  <c r="B467" i="19"/>
  <c r="B14" i="18"/>
  <c r="B80" i="19"/>
  <c r="B130" i="20"/>
  <c r="B280" i="22"/>
  <c r="B195" i="22"/>
  <c r="B229" i="9"/>
  <c r="B269" i="21"/>
  <c r="B404" i="13"/>
  <c r="B68" i="9"/>
  <c r="B153" i="15"/>
  <c r="B107" i="18"/>
  <c r="B658" i="17"/>
  <c r="B586" i="17"/>
  <c r="B591" i="16"/>
  <c r="B587" i="16"/>
  <c r="B364" i="16"/>
  <c r="B375" i="16"/>
  <c r="B368" i="16"/>
  <c r="B356" i="16"/>
  <c r="B658" i="16"/>
  <c r="B659" i="16"/>
  <c r="B669" i="16"/>
  <c r="B670" i="16"/>
  <c r="B299" i="18"/>
  <c r="B271" i="18"/>
  <c r="B272" i="18"/>
  <c r="B273" i="18"/>
  <c r="B248" i="17"/>
  <c r="B344" i="21"/>
  <c r="B545" i="13"/>
  <c r="B563" i="13" s="1"/>
  <c r="B250" i="13"/>
  <c r="B77" i="9"/>
  <c r="B476" i="12"/>
  <c r="B195" i="20"/>
  <c r="B306" i="20"/>
  <c r="B17" i="18"/>
  <c r="B57" i="20"/>
  <c r="B249" i="18"/>
  <c r="B281" i="20"/>
  <c r="B364" i="20"/>
  <c r="B280" i="19"/>
  <c r="B23" i="19"/>
  <c r="B172" i="9"/>
  <c r="B243" i="21"/>
  <c r="B51" i="14"/>
  <c r="B115" i="20"/>
  <c r="B150" i="21"/>
  <c r="B421" i="11"/>
  <c r="B261" i="18"/>
  <c r="B326" i="19"/>
  <c r="B108" i="16"/>
  <c r="B107" i="17"/>
  <c r="B674" i="17"/>
  <c r="B646" i="17"/>
  <c r="B596" i="16"/>
  <c r="B598" i="16"/>
  <c r="B592" i="16"/>
  <c r="B586" i="16"/>
  <c r="B597" i="16"/>
  <c r="B362" i="16"/>
  <c r="P52" i="1"/>
  <c r="B310" i="15" s="1"/>
  <c r="AP52" i="1"/>
  <c r="B177" i="15" s="1"/>
  <c r="P46" i="1"/>
  <c r="Q46" i="1" s="1"/>
  <c r="AL46" i="1" s="1"/>
  <c r="AP46" i="1"/>
  <c r="B87" i="29" s="1"/>
  <c r="AS34" i="1"/>
  <c r="AP45" i="1"/>
  <c r="B42" i="29" s="1"/>
  <c r="B609" i="13"/>
  <c r="AN43" i="1"/>
  <c r="AN36" i="1"/>
  <c r="B81" i="10"/>
  <c r="B291" i="15"/>
  <c r="B444" i="21"/>
  <c r="B233" i="12"/>
  <c r="B448" i="12"/>
  <c r="B453" i="12"/>
  <c r="B364" i="12"/>
  <c r="B370" i="12"/>
  <c r="B368" i="12"/>
  <c r="B369" i="12"/>
  <c r="B362" i="12"/>
  <c r="B366" i="12"/>
  <c r="B367" i="12"/>
  <c r="B241" i="12"/>
  <c r="B449" i="12"/>
  <c r="B455" i="12"/>
  <c r="B450" i="12"/>
  <c r="B445" i="12"/>
  <c r="B447" i="12" s="1"/>
  <c r="B486" i="12"/>
  <c r="B488" i="12"/>
  <c r="B490" i="12" s="1"/>
  <c r="B491" i="12"/>
  <c r="B499" i="12"/>
  <c r="B495" i="12"/>
  <c r="B443" i="12"/>
  <c r="B494" i="12"/>
  <c r="B456" i="12"/>
  <c r="B454" i="12"/>
  <c r="B497" i="12"/>
  <c r="B451" i="12"/>
  <c r="B496" i="12"/>
  <c r="B493" i="12"/>
  <c r="B492" i="12"/>
  <c r="B357" i="12"/>
  <c r="B131" i="9"/>
  <c r="B238" i="12"/>
  <c r="B130" i="11"/>
  <c r="B400" i="12"/>
  <c r="B267" i="12"/>
  <c r="B240" i="12"/>
  <c r="B235" i="12"/>
  <c r="B35" i="13"/>
  <c r="B228" i="12"/>
  <c r="B239" i="12"/>
  <c r="B106" i="8"/>
  <c r="B236" i="12"/>
  <c r="B237" i="12"/>
  <c r="B234" i="12"/>
  <c r="B198" i="6"/>
  <c r="B196" i="6"/>
  <c r="B194" i="6"/>
  <c r="B188" i="6"/>
  <c r="B193" i="6"/>
  <c r="B185" i="6"/>
  <c r="B331" i="21"/>
  <c r="B685" i="17"/>
  <c r="B259" i="18"/>
  <c r="B471" i="13"/>
  <c r="B48" i="17"/>
  <c r="B108" i="14"/>
  <c r="B326" i="14"/>
  <c r="B265" i="11"/>
  <c r="B300" i="14"/>
  <c r="B379" i="17"/>
  <c r="B253" i="19"/>
  <c r="B406" i="22"/>
  <c r="B384" i="11"/>
  <c r="B413" i="13"/>
  <c r="B259" i="13"/>
  <c r="B643" i="16"/>
  <c r="B230" i="11"/>
  <c r="B212" i="14"/>
  <c r="B71" i="12"/>
  <c r="B129" i="12"/>
  <c r="B148" i="15"/>
  <c r="B687" i="14"/>
  <c r="B60" i="15"/>
  <c r="B149" i="12"/>
  <c r="B104" i="15"/>
  <c r="B471" i="20"/>
  <c r="B318" i="21"/>
  <c r="B147" i="21"/>
  <c r="B403" i="17"/>
  <c r="B369" i="19"/>
  <c r="B420" i="22"/>
  <c r="B439" i="22" s="1"/>
  <c r="B311" i="19"/>
  <c r="B392" i="21"/>
  <c r="B24" i="21"/>
  <c r="B211" i="21"/>
  <c r="B626" i="18"/>
  <c r="B322" i="17"/>
  <c r="B211" i="19"/>
  <c r="B193" i="20"/>
  <c r="B23" i="17"/>
  <c r="B630" i="18"/>
  <c r="B15" i="16"/>
  <c r="B311" i="10"/>
  <c r="B86" i="14"/>
  <c r="B51" i="16"/>
  <c r="B33" i="8"/>
  <c r="B173" i="13"/>
  <c r="B444" i="15"/>
  <c r="B610" i="14"/>
  <c r="B312" i="15"/>
  <c r="B646" i="16"/>
  <c r="B684" i="17"/>
  <c r="B653" i="17"/>
  <c r="B478" i="20"/>
  <c r="B601" i="16"/>
  <c r="B594" i="16"/>
  <c r="B347" i="16"/>
  <c r="B341" i="16"/>
  <c r="B342" i="16"/>
  <c r="B373" i="16"/>
  <c r="B366" i="16"/>
  <c r="B673" i="16"/>
  <c r="B666" i="16"/>
  <c r="B661" i="16"/>
  <c r="B654" i="16"/>
  <c r="B647" i="16"/>
  <c r="B678" i="16"/>
  <c r="B671" i="16"/>
  <c r="B276" i="18"/>
  <c r="B269" i="18"/>
  <c r="B262" i="18"/>
  <c r="B293" i="18"/>
  <c r="B286" i="18"/>
  <c r="B272" i="16"/>
  <c r="B499" i="14"/>
  <c r="B530" i="14"/>
  <c r="B523" i="14"/>
  <c r="B509" i="14"/>
  <c r="B494" i="14"/>
  <c r="B525" i="14"/>
  <c r="B518" i="14"/>
  <c r="B681" i="13"/>
  <c r="B273" i="17"/>
  <c r="B292" i="17"/>
  <c r="B285" i="17"/>
  <c r="B429" i="14"/>
  <c r="B87" i="17"/>
  <c r="B235" i="15"/>
  <c r="B19" i="13"/>
  <c r="B255" i="15"/>
  <c r="B78" i="9"/>
  <c r="B623" i="13"/>
  <c r="B12" i="8"/>
  <c r="B196" i="8"/>
  <c r="B394" i="17"/>
  <c r="B411" i="17"/>
  <c r="B19" i="18"/>
  <c r="B62" i="19"/>
  <c r="B315" i="19"/>
  <c r="B69" i="19"/>
  <c r="B368" i="22"/>
  <c r="B229" i="22"/>
  <c r="B235" i="21"/>
  <c r="B111" i="22"/>
  <c r="B242" i="19"/>
  <c r="B249" i="20"/>
  <c r="B243" i="19"/>
  <c r="B34" i="19"/>
  <c r="B243" i="20"/>
  <c r="B423" i="10"/>
  <c r="B395" i="22"/>
  <c r="B349" i="9"/>
  <c r="B19" i="8"/>
  <c r="B14" i="21"/>
  <c r="B87" i="8"/>
  <c r="B100" i="8" s="1"/>
  <c r="B21" i="21"/>
  <c r="B193" i="8"/>
  <c r="B91" i="17"/>
  <c r="B469" i="20"/>
  <c r="B671" i="17"/>
  <c r="B596" i="17"/>
  <c r="B572" i="16"/>
  <c r="B571" i="16"/>
  <c r="B602" i="16"/>
  <c r="B361" i="16"/>
  <c r="B355" i="16"/>
  <c r="B350" i="16"/>
  <c r="B343" i="16"/>
  <c r="B374" i="16"/>
  <c r="B650" i="16"/>
  <c r="B681" i="16"/>
  <c r="B674" i="16"/>
  <c r="B668" i="16"/>
  <c r="B662" i="16"/>
  <c r="B655" i="16"/>
  <c r="B648" i="16"/>
  <c r="B679" i="16"/>
  <c r="B283" i="18"/>
  <c r="B277" i="18"/>
  <c r="B270" i="18"/>
  <c r="B263" i="18"/>
  <c r="B294" i="18"/>
  <c r="B268" i="16"/>
  <c r="B545" i="17"/>
  <c r="B155" i="6"/>
  <c r="B138" i="12"/>
  <c r="B11" i="12"/>
  <c r="B448" i="10"/>
  <c r="B421" i="15"/>
  <c r="B146" i="22"/>
  <c r="B84" i="21"/>
  <c r="B212" i="22"/>
  <c r="B433" i="20"/>
  <c r="B398" i="18"/>
  <c r="B273" i="19"/>
  <c r="B321" i="17"/>
  <c r="B309" i="19"/>
  <c r="B423" i="19"/>
  <c r="B270" i="21"/>
  <c r="B253" i="22"/>
  <c r="B377" i="9"/>
  <c r="B156" i="6"/>
  <c r="B131" i="8"/>
  <c r="B192" i="22"/>
  <c r="B86" i="13"/>
  <c r="B190" i="10"/>
  <c r="B601" i="17"/>
  <c r="B592" i="17"/>
  <c r="B595" i="16"/>
  <c r="B372" i="16"/>
  <c r="B680" i="16"/>
  <c r="B683" i="16"/>
  <c r="B265" i="18"/>
  <c r="B296" i="18"/>
  <c r="B290" i="18"/>
  <c r="B281" i="18"/>
  <c r="B270" i="16"/>
  <c r="B273" i="16"/>
  <c r="B263" i="16"/>
  <c r="B297" i="16"/>
  <c r="B282" i="16"/>
  <c r="B265" i="16"/>
  <c r="B299" i="16"/>
  <c r="B284" i="16"/>
  <c r="B278" i="16"/>
  <c r="B169" i="9"/>
  <c r="B464" i="21"/>
  <c r="B497" i="14"/>
  <c r="B510" i="14"/>
  <c r="B503" i="14"/>
  <c r="B650" i="13"/>
  <c r="B673" i="13"/>
  <c r="B675" i="13"/>
  <c r="B362" i="13"/>
  <c r="B340" i="13"/>
  <c r="B350" i="13"/>
  <c r="B343" i="13"/>
  <c r="B374" i="13"/>
  <c r="B367" i="13"/>
  <c r="B360" i="13"/>
  <c r="B354" i="13"/>
  <c r="B293" i="17"/>
  <c r="B575" i="13"/>
  <c r="B279" i="13"/>
  <c r="B490" i="16"/>
  <c r="B441" i="16"/>
  <c r="B510" i="16"/>
  <c r="B503" i="16"/>
  <c r="B529" i="16"/>
  <c r="B522" i="16"/>
  <c r="B515" i="16"/>
  <c r="B509" i="16"/>
  <c r="B527" i="16"/>
  <c r="B338" i="17"/>
  <c r="B368" i="17"/>
  <c r="B361" i="17"/>
  <c r="B355" i="17"/>
  <c r="B348" i="17"/>
  <c r="B341" i="17"/>
  <c r="B367" i="17"/>
  <c r="B343" i="17"/>
  <c r="B344" i="14"/>
  <c r="B375" i="14"/>
  <c r="B360" i="14"/>
  <c r="B493" i="13"/>
  <c r="B36" i="14"/>
  <c r="B482" i="16"/>
  <c r="B184" i="14"/>
  <c r="B529" i="28"/>
  <c r="B203" i="28"/>
  <c r="B349" i="29"/>
  <c r="B494" i="28"/>
  <c r="B442" i="29"/>
  <c r="B398" i="28"/>
  <c r="B530" i="28"/>
  <c r="B427" i="28"/>
  <c r="B447" i="28"/>
  <c r="B37" i="29"/>
  <c r="B363" i="28"/>
  <c r="B347" i="28"/>
  <c r="B221" i="28"/>
  <c r="B509" i="28"/>
  <c r="B462" i="29"/>
  <c r="B264" i="28"/>
  <c r="B423" i="28"/>
  <c r="B112" i="29"/>
  <c r="B499" i="28"/>
  <c r="B290" i="28"/>
  <c r="B238" i="28"/>
  <c r="B552" i="28"/>
  <c r="B525" i="28"/>
  <c r="B369" i="28"/>
  <c r="B108" i="28"/>
  <c r="B109" i="28"/>
  <c r="B515" i="28"/>
  <c r="B556" i="28"/>
  <c r="B490" i="28"/>
  <c r="B421" i="29"/>
  <c r="B248" i="21"/>
  <c r="B533" i="17"/>
  <c r="B468" i="10"/>
  <c r="B168" i="6"/>
  <c r="B37" i="6"/>
  <c r="B146" i="18"/>
  <c r="B105" i="8"/>
  <c r="B505" i="28"/>
  <c r="B518" i="28"/>
  <c r="B504" i="28"/>
  <c r="B573" i="28"/>
  <c r="B604" i="28"/>
  <c r="B597" i="28"/>
  <c r="B590" i="28"/>
  <c r="B576" i="28"/>
  <c r="B607" i="28"/>
  <c r="B592" i="28"/>
  <c r="B586" i="28"/>
  <c r="B579" i="28"/>
  <c r="B572" i="28"/>
  <c r="B366" i="28"/>
  <c r="B350" i="28"/>
  <c r="B349" i="28"/>
  <c r="B294" i="28"/>
  <c r="B278" i="28"/>
  <c r="B430" i="28"/>
  <c r="B425" i="28"/>
  <c r="B451" i="28"/>
  <c r="B246" i="28"/>
  <c r="B126" i="28"/>
  <c r="B566" i="28"/>
  <c r="B220" i="28"/>
  <c r="B223" i="28"/>
  <c r="B475" i="28"/>
  <c r="B250" i="28"/>
  <c r="B129" i="28"/>
  <c r="B146" i="28"/>
  <c r="B164" i="28"/>
  <c r="B628" i="28"/>
  <c r="B60" i="29"/>
  <c r="B395" i="29"/>
  <c r="B105" i="29"/>
  <c r="B113" i="29"/>
  <c r="B456" i="18"/>
  <c r="B206" i="6"/>
  <c r="B251" i="19"/>
  <c r="B34" i="21"/>
  <c r="B108" i="18"/>
  <c r="B498" i="28"/>
  <c r="B526" i="28"/>
  <c r="B511" i="28"/>
  <c r="B581" i="28"/>
  <c r="B574" i="28"/>
  <c r="B605" i="28"/>
  <c r="B598" i="28"/>
  <c r="B584" i="28"/>
  <c r="B569" i="28"/>
  <c r="B600" i="28"/>
  <c r="B593" i="28"/>
  <c r="B587" i="28"/>
  <c r="B580" i="28"/>
  <c r="B367" i="28"/>
  <c r="B351" i="28"/>
  <c r="B266" i="28"/>
  <c r="B270" i="28"/>
  <c r="B284" i="28"/>
  <c r="B429" i="28"/>
  <c r="B432" i="28"/>
  <c r="B426" i="28"/>
  <c r="B420" i="28"/>
  <c r="B532" i="28"/>
  <c r="B204" i="28"/>
  <c r="B91" i="28"/>
  <c r="B478" i="28"/>
  <c r="B135" i="28"/>
  <c r="B133" i="28"/>
  <c r="B324" i="28"/>
  <c r="B166" i="28"/>
  <c r="B411" i="28"/>
  <c r="B548" i="28"/>
  <c r="B33" i="28"/>
  <c r="B394" i="29"/>
  <c r="B366" i="29"/>
  <c r="B313" i="29"/>
  <c r="B364" i="21"/>
  <c r="B84" i="29"/>
  <c r="B627" i="28"/>
  <c r="B247" i="28"/>
  <c r="B183" i="28"/>
  <c r="B136" i="28"/>
  <c r="B239" i="28"/>
  <c r="B404" i="29"/>
  <c r="B199" i="29"/>
  <c r="B191" i="29"/>
  <c r="B210" i="29" s="1"/>
  <c r="B419" i="29"/>
  <c r="B438" i="29" s="1"/>
  <c r="B229" i="29"/>
  <c r="B248" i="29" s="1"/>
  <c r="B168" i="29"/>
  <c r="B110" i="29"/>
  <c r="B331" i="29"/>
  <c r="B126" i="29"/>
  <c r="B238" i="29"/>
  <c r="B367" i="29"/>
  <c r="B83" i="29"/>
  <c r="B85" i="29"/>
  <c r="B231" i="29"/>
  <c r="B346" i="29"/>
  <c r="B459" i="29"/>
  <c r="B15" i="29"/>
  <c r="B128" i="29"/>
  <c r="B293" i="29"/>
  <c r="B390" i="29"/>
  <c r="B70" i="29"/>
  <c r="B241" i="29"/>
  <c r="B383" i="29"/>
  <c r="B357" i="29"/>
  <c r="B68" i="29"/>
  <c r="B309" i="29"/>
  <c r="B441" i="29"/>
  <c r="B103" i="29"/>
  <c r="B277" i="29"/>
  <c r="B429" i="29"/>
  <c r="B49" i="28"/>
  <c r="B14" i="28"/>
  <c r="B20" i="28"/>
  <c r="B185" i="28"/>
  <c r="B333" i="28"/>
  <c r="B564" i="28"/>
  <c r="B89" i="28"/>
  <c r="B554" i="28"/>
  <c r="B52" i="28"/>
  <c r="B145" i="28"/>
  <c r="B302" i="28"/>
  <c r="B555" i="28"/>
  <c r="B454" i="28"/>
  <c r="B476" i="28"/>
  <c r="B202" i="28"/>
  <c r="B168" i="28"/>
  <c r="B353" i="28"/>
  <c r="B127" i="28"/>
  <c r="B237" i="28"/>
  <c r="B255" i="28" s="1"/>
  <c r="B364" i="19"/>
  <c r="B470" i="29"/>
  <c r="B482" i="29"/>
  <c r="B40" i="29"/>
  <c r="B626" i="28"/>
  <c r="B631" i="28"/>
  <c r="B300" i="28"/>
  <c r="B252" i="29"/>
  <c r="B102" i="29"/>
  <c r="B193" i="29"/>
  <c r="B127" i="29"/>
  <c r="B365" i="29"/>
  <c r="B147" i="29"/>
  <c r="B254" i="29"/>
  <c r="B388" i="29"/>
  <c r="B311" i="29"/>
  <c r="B114" i="29"/>
  <c r="B239" i="29"/>
  <c r="B354" i="29"/>
  <c r="B467" i="29"/>
  <c r="B23" i="29"/>
  <c r="B149" i="29"/>
  <c r="B306" i="29"/>
  <c r="B403" i="29"/>
  <c r="B24" i="29"/>
  <c r="B253" i="29"/>
  <c r="B391" i="29"/>
  <c r="B384" i="29"/>
  <c r="B81" i="29"/>
  <c r="B317" i="29"/>
  <c r="B463" i="29"/>
  <c r="B111" i="29"/>
  <c r="B318" i="29"/>
  <c r="B464" i="29"/>
  <c r="B61" i="28"/>
  <c r="B16" i="28"/>
  <c r="B289" i="15"/>
  <c r="B465" i="29"/>
  <c r="B326" i="29"/>
  <c r="B275" i="29"/>
  <c r="B250" i="29"/>
  <c r="B242" i="29"/>
  <c r="B212" i="29"/>
  <c r="B86" i="29"/>
  <c r="B623" i="28"/>
  <c r="B474" i="28"/>
  <c r="B18" i="28"/>
  <c r="B177" i="29"/>
  <c r="B430" i="29"/>
  <c r="B171" i="29"/>
  <c r="B201" i="29"/>
  <c r="B108" i="29"/>
  <c r="B268" i="29"/>
  <c r="B204" i="29"/>
  <c r="B154" i="29"/>
  <c r="B13" i="29"/>
  <c r="B155" i="29"/>
  <c r="B271" i="29"/>
  <c r="B406" i="29"/>
  <c r="B319" i="29"/>
  <c r="B123" i="29"/>
  <c r="B251" i="29"/>
  <c r="B381" i="29"/>
  <c r="B400" i="29" s="1"/>
  <c r="B481" i="29"/>
  <c r="B36" i="29"/>
  <c r="B157" i="29"/>
  <c r="B314" i="29"/>
  <c r="B425" i="29"/>
  <c r="B33" i="29"/>
  <c r="B307" i="29"/>
  <c r="B405" i="29"/>
  <c r="B392" i="29"/>
  <c r="B152" i="29"/>
  <c r="B329" i="29"/>
  <c r="B471" i="29"/>
  <c r="B124" i="29"/>
  <c r="B343" i="29"/>
  <c r="B379" i="28"/>
  <c r="B70" i="28"/>
  <c r="B50" i="28"/>
  <c r="B240" i="28"/>
  <c r="B368" i="28"/>
  <c r="B553" i="28"/>
  <c r="B106" i="28"/>
  <c r="B378" i="28"/>
  <c r="B131" i="28"/>
  <c r="B69" i="28"/>
  <c r="B174" i="28"/>
  <c r="B323" i="28"/>
  <c r="B222" i="28"/>
  <c r="B397" i="28"/>
  <c r="B533" i="28"/>
  <c r="B325" i="28"/>
  <c r="B265" i="28"/>
  <c r="B377" i="28"/>
  <c r="B144" i="28"/>
  <c r="B245" i="28"/>
  <c r="B468" i="28"/>
  <c r="B486" i="28" s="1"/>
  <c r="B629" i="28"/>
  <c r="B184" i="28"/>
  <c r="B327" i="28"/>
  <c r="B550" i="28"/>
  <c r="B428" i="28"/>
  <c r="B450" i="28"/>
  <c r="B419" i="28"/>
  <c r="B439" i="28"/>
  <c r="B446" i="28"/>
  <c r="B415" i="28"/>
  <c r="B437" i="28"/>
  <c r="B452" i="28"/>
  <c r="B346" i="28"/>
  <c r="B287" i="28"/>
  <c r="B273" i="28"/>
  <c r="B342" i="28"/>
  <c r="B373" i="28"/>
  <c r="B358" i="28"/>
  <c r="B310" i="29"/>
  <c r="B208" i="11"/>
  <c r="B457" i="29"/>
  <c r="B476" i="29" s="1"/>
  <c r="B237" i="29"/>
  <c r="B622" i="28"/>
  <c r="B640" i="28" s="1"/>
  <c r="B558" i="28"/>
  <c r="B56" i="28"/>
  <c r="B159" i="29"/>
  <c r="B200" i="29"/>
  <c r="B267" i="29"/>
  <c r="B286" i="29" s="1"/>
  <c r="B130" i="29"/>
  <c r="B290" i="29"/>
  <c r="B270" i="29"/>
  <c r="B194" i="29"/>
  <c r="B21" i="29"/>
  <c r="B172" i="29"/>
  <c r="B291" i="29"/>
  <c r="B423" i="29"/>
  <c r="B14" i="29"/>
  <c r="B131" i="29"/>
  <c r="B280" i="29"/>
  <c r="B17" i="29"/>
  <c r="B57" i="29"/>
  <c r="B174" i="29"/>
  <c r="B330" i="29"/>
  <c r="B433" i="29"/>
  <c r="B41" i="29"/>
  <c r="B315" i="29"/>
  <c r="B444" i="29"/>
  <c r="B38" i="29"/>
  <c r="B160" i="29"/>
  <c r="B350" i="29"/>
  <c r="B18" i="29"/>
  <c r="B153" i="29"/>
  <c r="B643" i="28"/>
  <c r="B53" i="28"/>
  <c r="B19" i="28"/>
  <c r="B58" i="28"/>
  <c r="B260" i="28"/>
  <c r="B394" i="28"/>
  <c r="B565" i="28"/>
  <c r="B123" i="28"/>
  <c r="B395" i="28"/>
  <c r="B165" i="28"/>
  <c r="B90" i="28"/>
  <c r="B200" i="28"/>
  <c r="B335" i="28"/>
  <c r="B201" i="28"/>
  <c r="B413" i="28"/>
  <c r="B609" i="28"/>
  <c r="B205" i="28"/>
  <c r="B283" i="28"/>
  <c r="B17" i="28"/>
  <c r="B161" i="28"/>
  <c r="B301" i="28"/>
  <c r="B687" i="28"/>
  <c r="B54" i="28"/>
  <c r="B162" i="28"/>
  <c r="B392" i="28"/>
  <c r="B418" i="28"/>
  <c r="B433" i="28"/>
  <c r="B277" i="28"/>
  <c r="B285" i="28"/>
  <c r="B355" i="28"/>
  <c r="B22" i="28"/>
  <c r="B286" i="28"/>
  <c r="B356" i="28"/>
  <c r="B364" i="28"/>
  <c r="B281" i="28"/>
  <c r="B267" i="28"/>
  <c r="B344" i="28"/>
  <c r="B151" i="29"/>
  <c r="B209" i="9"/>
  <c r="B557" i="28"/>
  <c r="B481" i="28"/>
  <c r="B171" i="28"/>
  <c r="B393" i="28"/>
  <c r="B176" i="29"/>
  <c r="B420" i="29"/>
  <c r="B150" i="29"/>
  <c r="B101" i="29"/>
  <c r="B292" i="29"/>
  <c r="B274" i="29"/>
  <c r="B34" i="29"/>
  <c r="B197" i="29"/>
  <c r="B312" i="29"/>
  <c r="B445" i="29"/>
  <c r="B22" i="29"/>
  <c r="B148" i="29"/>
  <c r="B288" i="29"/>
  <c r="B389" i="29"/>
  <c r="B25" i="29"/>
  <c r="B65" i="29"/>
  <c r="B232" i="29"/>
  <c r="B347" i="29"/>
  <c r="B460" i="29"/>
  <c r="B58" i="29"/>
  <c r="B327" i="29"/>
  <c r="B461" i="29"/>
  <c r="B308" i="29"/>
  <c r="B173" i="29"/>
  <c r="B368" i="29"/>
  <c r="B11" i="29"/>
  <c r="B195" i="29"/>
  <c r="B351" i="29"/>
  <c r="B107" i="28"/>
  <c r="B21" i="28"/>
  <c r="B88" i="28"/>
  <c r="B268" i="28"/>
  <c r="B472" i="28"/>
  <c r="B610" i="28"/>
  <c r="B241" i="28"/>
  <c r="B403" i="28"/>
  <c r="B173" i="28"/>
  <c r="B208" i="28"/>
  <c r="B396" i="28"/>
  <c r="B209" i="28"/>
  <c r="B320" i="28"/>
  <c r="B125" i="28"/>
  <c r="B291" i="28"/>
  <c r="B34" i="28"/>
  <c r="B169" i="28"/>
  <c r="B318" i="28"/>
  <c r="B205" i="6"/>
  <c r="B410" i="28"/>
  <c r="B644" i="28"/>
  <c r="B635" i="28"/>
  <c r="B551" i="28"/>
  <c r="B258" i="28"/>
  <c r="B163" i="28"/>
  <c r="B23" i="28"/>
  <c r="B470" i="28"/>
  <c r="B376" i="28"/>
  <c r="B480" i="29"/>
  <c r="B158" i="29"/>
  <c r="B198" i="29"/>
  <c r="B104" i="29"/>
  <c r="B422" i="29"/>
  <c r="B192" i="29"/>
  <c r="B278" i="29"/>
  <c r="B344" i="29"/>
  <c r="B352" i="29"/>
  <c r="B63" i="29"/>
  <c r="B205" i="29"/>
  <c r="B328" i="29"/>
  <c r="B458" i="29"/>
  <c r="B39" i="29"/>
  <c r="B156" i="29"/>
  <c r="B305" i="29"/>
  <c r="B324" i="29" s="1"/>
  <c r="B432" i="29"/>
  <c r="B20" i="29"/>
  <c r="B82" i="29"/>
  <c r="B240" i="29"/>
  <c r="B355" i="29"/>
  <c r="B468" i="29"/>
  <c r="B66" i="29"/>
  <c r="B356" i="29"/>
  <c r="B469" i="29"/>
  <c r="B316" i="29"/>
  <c r="B235" i="29"/>
  <c r="B385" i="29"/>
  <c r="B19" i="29"/>
  <c r="B443" i="29"/>
  <c r="B215" i="29"/>
  <c r="B67" i="29"/>
  <c r="B634" i="28"/>
  <c r="B546" i="28"/>
  <c r="B401" i="28"/>
  <c r="B212" i="28"/>
  <c r="B15" i="28"/>
  <c r="B624" i="28"/>
  <c r="B276" i="28"/>
  <c r="B426" i="29"/>
  <c r="B276" i="29"/>
  <c r="B146" i="29"/>
  <c r="B129" i="29"/>
  <c r="B202" i="29"/>
  <c r="B109" i="29"/>
  <c r="B427" i="29"/>
  <c r="B428" i="29"/>
  <c r="B80" i="29"/>
  <c r="B217" i="29"/>
  <c r="B345" i="29"/>
  <c r="B466" i="29"/>
  <c r="B56" i="29"/>
  <c r="B169" i="29"/>
  <c r="B440" i="29"/>
  <c r="B387" i="29"/>
  <c r="B107" i="29"/>
  <c r="B273" i="29"/>
  <c r="B369" i="29"/>
  <c r="B12" i="29"/>
  <c r="B79" i="29"/>
  <c r="B364" i="29"/>
  <c r="B483" i="29"/>
  <c r="B35" i="29"/>
  <c r="B243" i="29"/>
  <c r="B393" i="29"/>
  <c r="B69" i="29"/>
  <c r="B236" i="29"/>
  <c r="B402" i="29"/>
  <c r="B87" i="28"/>
  <c r="B13" i="28"/>
  <c r="B336" i="28"/>
  <c r="B130" i="28"/>
  <c r="B298" i="28"/>
  <c r="B608" i="28"/>
  <c r="B51" i="28"/>
  <c r="B257" i="28"/>
  <c r="B455" i="28"/>
  <c r="B199" i="28"/>
  <c r="B124" i="28"/>
  <c r="B242" i="28"/>
  <c r="B545" i="28"/>
  <c r="B563" i="28" s="1"/>
  <c r="B316" i="28"/>
  <c r="B531" i="28"/>
  <c r="B71" i="28"/>
  <c r="B167" i="28"/>
  <c r="B337" i="28"/>
  <c r="B85" i="28"/>
  <c r="B211" i="28"/>
  <c r="B334" i="28"/>
  <c r="B549" i="28"/>
  <c r="B630" i="28"/>
  <c r="B256" i="28"/>
  <c r="B456" i="28"/>
  <c r="B443" i="28"/>
  <c r="B444" i="28"/>
  <c r="B434" i="28"/>
  <c r="B441" i="28"/>
  <c r="B424" i="28"/>
  <c r="B431" i="28"/>
  <c r="B453" i="28"/>
  <c r="B422" i="28"/>
  <c r="B361" i="28"/>
  <c r="B341" i="28"/>
  <c r="B288" i="28"/>
  <c r="B357" i="28"/>
  <c r="B297" i="28"/>
  <c r="B96" i="28"/>
  <c r="B235" i="11"/>
  <c r="B85" i="10"/>
  <c r="B124" i="22"/>
  <c r="B79" i="19"/>
  <c r="B146" i="14"/>
  <c r="B497" i="28"/>
  <c r="B507" i="28"/>
  <c r="B492" i="28"/>
  <c r="B523" i="28"/>
  <c r="B516" i="28"/>
  <c r="B502" i="28"/>
  <c r="B495" i="28"/>
  <c r="B282" i="28"/>
  <c r="B296" i="28"/>
  <c r="B295" i="28"/>
  <c r="B279" i="28"/>
  <c r="B339" i="28"/>
  <c r="B445" i="28"/>
  <c r="B440" i="28"/>
  <c r="B480" i="28"/>
  <c r="B170" i="28"/>
  <c r="B642" i="28"/>
  <c r="B399" i="28"/>
  <c r="B93" i="28"/>
  <c r="B317" i="28"/>
  <c r="B259" i="28"/>
  <c r="B322" i="28"/>
  <c r="B489" i="28"/>
  <c r="B12" i="28"/>
  <c r="B269" i="29"/>
  <c r="B233" i="29"/>
  <c r="B214" i="29"/>
  <c r="B125" i="29"/>
  <c r="B11" i="28"/>
  <c r="B632" i="28"/>
  <c r="B170" i="29"/>
  <c r="B357" i="10"/>
  <c r="B441" i="20"/>
  <c r="B37" i="10"/>
  <c r="B80" i="9"/>
  <c r="B82" i="21"/>
  <c r="B520" i="28"/>
  <c r="B519" i="28"/>
  <c r="B588" i="28"/>
  <c r="B582" i="28"/>
  <c r="B575" i="28"/>
  <c r="B606" i="28"/>
  <c r="B591" i="28"/>
  <c r="B577" i="28"/>
  <c r="B570" i="28"/>
  <c r="B601" i="28"/>
  <c r="B594" i="28"/>
  <c r="B359" i="28"/>
  <c r="B289" i="28"/>
  <c r="B374" i="28"/>
  <c r="B372" i="28"/>
  <c r="B348" i="28"/>
  <c r="B370" i="28"/>
  <c r="B262" i="28"/>
  <c r="B354" i="28"/>
  <c r="B438" i="28"/>
  <c r="B442" i="28"/>
  <c r="B469" i="28"/>
  <c r="B94" i="28"/>
  <c r="B625" i="28"/>
  <c r="B55" i="28"/>
  <c r="B92" i="28"/>
  <c r="B567" i="28"/>
  <c r="B98" i="28"/>
  <c r="B314" i="28"/>
  <c r="B332" i="28" s="1"/>
  <c r="B360" i="28"/>
  <c r="B32" i="28"/>
  <c r="B203" i="29"/>
  <c r="B62" i="29"/>
  <c r="B64" i="29"/>
  <c r="B213" i="29"/>
  <c r="B643" i="18"/>
  <c r="B222" i="16"/>
  <c r="B513" i="28"/>
  <c r="B528" i="28"/>
  <c r="B514" i="28"/>
  <c r="B500" i="28"/>
  <c r="B493" i="28"/>
  <c r="B524" i="28"/>
  <c r="B510" i="28"/>
  <c r="B503" i="28"/>
  <c r="B595" i="28"/>
  <c r="B275" i="28"/>
  <c r="B365" i="28"/>
  <c r="B271" i="28"/>
  <c r="B293" i="28"/>
  <c r="B269" i="28"/>
  <c r="B414" i="28"/>
  <c r="B448" i="28"/>
  <c r="B435" i="28"/>
  <c r="B412" i="28"/>
  <c r="B86" i="28"/>
  <c r="B685" i="28"/>
  <c r="B391" i="28"/>
  <c r="B409" i="28" s="1"/>
  <c r="B375" i="28"/>
  <c r="B243" i="28"/>
  <c r="B60" i="28"/>
  <c r="B249" i="28"/>
  <c r="B321" i="28"/>
  <c r="B24" i="28"/>
  <c r="B78" i="29"/>
  <c r="B382" i="29"/>
  <c r="B479" i="29"/>
  <c r="B216" i="29"/>
  <c r="B59" i="29"/>
  <c r="B274" i="12"/>
  <c r="B321" i="9"/>
  <c r="B125" i="11"/>
  <c r="B85" i="11"/>
  <c r="B79" i="20"/>
  <c r="B222" i="17"/>
  <c r="B167" i="10"/>
  <c r="B496" i="28"/>
  <c r="B527" i="28"/>
  <c r="B596" i="28"/>
  <c r="B589" i="28"/>
  <c r="B583" i="28"/>
  <c r="B568" i="28"/>
  <c r="B599" i="28"/>
  <c r="B585" i="28"/>
  <c r="B578" i="28"/>
  <c r="B571" i="28"/>
  <c r="B602" i="28"/>
  <c r="B172" i="28"/>
  <c r="B352" i="28"/>
  <c r="B280" i="28"/>
  <c r="B340" i="28"/>
  <c r="B362" i="28"/>
  <c r="B436" i="28"/>
  <c r="B417" i="28"/>
  <c r="B449" i="28"/>
  <c r="B400" i="28"/>
  <c r="B48" i="28"/>
  <c r="B641" i="28"/>
  <c r="B326" i="28"/>
  <c r="B345" i="28"/>
  <c r="B488" i="28"/>
  <c r="B404" i="28"/>
  <c r="B207" i="28"/>
  <c r="B97" i="28"/>
  <c r="B292" i="28"/>
  <c r="B57" i="28"/>
  <c r="B407" i="29"/>
  <c r="B281" i="29"/>
  <c r="B353" i="29"/>
  <c r="B175" i="29"/>
  <c r="B547" i="28"/>
  <c r="B289" i="29"/>
  <c r="B412" i="17"/>
  <c r="B222" i="14"/>
  <c r="B521" i="28"/>
  <c r="B491" i="28"/>
  <c r="B522" i="28"/>
  <c r="B508" i="28"/>
  <c r="B501" i="28"/>
  <c r="B512" i="28"/>
  <c r="B517" i="28"/>
  <c r="B603" i="28"/>
  <c r="B248" i="28"/>
  <c r="B274" i="28"/>
  <c r="B343" i="28"/>
  <c r="B272" i="28"/>
  <c r="B371" i="28"/>
  <c r="B263" i="28"/>
  <c r="B338" i="28"/>
  <c r="B261" i="28"/>
  <c r="B416" i="28"/>
  <c r="B421" i="28"/>
  <c r="B402" i="28"/>
  <c r="B319" i="28"/>
  <c r="B244" i="28"/>
  <c r="B686" i="28"/>
  <c r="B299" i="28"/>
  <c r="B471" i="28"/>
  <c r="B315" i="28"/>
  <c r="B182" i="28"/>
  <c r="B59" i="28"/>
  <c r="B206" i="28"/>
  <c r="B95" i="28"/>
  <c r="B255" i="29"/>
  <c r="B115" i="29"/>
  <c r="B230" i="29"/>
  <c r="B478" i="29"/>
  <c r="B65" i="13" l="1"/>
  <c r="B482" i="14"/>
  <c r="B117" i="9"/>
  <c r="B117" i="11"/>
  <c r="B179" i="22"/>
  <c r="B134" i="19"/>
  <c r="B179" i="20"/>
  <c r="B106" i="12"/>
  <c r="B140" i="14"/>
  <c r="B186" i="13"/>
  <c r="B473" i="18"/>
  <c r="B196" i="29"/>
  <c r="B16" i="29"/>
  <c r="B43" i="29" s="1"/>
  <c r="B65" i="14"/>
  <c r="B132" i="28"/>
  <c r="B348" i="29"/>
  <c r="B402" i="18"/>
  <c r="B405" i="18" s="1"/>
  <c r="B636" i="14"/>
  <c r="B477" i="28"/>
  <c r="B128" i="18"/>
  <c r="B149" i="18" s="1"/>
  <c r="AP76" i="1"/>
  <c r="B87" i="20" s="1"/>
  <c r="B63" i="20"/>
  <c r="B236" i="20"/>
  <c r="B388" i="20"/>
  <c r="B73" i="18"/>
  <c r="B72" i="18"/>
  <c r="B172" i="13"/>
  <c r="B178" i="13" s="1"/>
  <c r="B556" i="13"/>
  <c r="P36" i="1"/>
  <c r="B90" i="14"/>
  <c r="B111" i="14" s="1"/>
  <c r="B71" i="18"/>
  <c r="B251" i="14"/>
  <c r="Q53" i="1"/>
  <c r="AL53" i="1" s="1"/>
  <c r="B256" i="16" s="1"/>
  <c r="B242" i="16"/>
  <c r="B186" i="18"/>
  <c r="B187" i="18"/>
  <c r="B224" i="17"/>
  <c r="B225" i="17"/>
  <c r="Q64" i="1"/>
  <c r="AL64" i="1" s="1"/>
  <c r="B641" i="17" s="1"/>
  <c r="B627" i="17"/>
  <c r="B148" i="18"/>
  <c r="B16" i="16"/>
  <c r="B28" i="16" s="1"/>
  <c r="B208" i="17"/>
  <c r="B216" i="17" s="1"/>
  <c r="B319" i="18"/>
  <c r="B328" i="18" s="1"/>
  <c r="Q66" i="1"/>
  <c r="AL66" i="1" s="1"/>
  <c r="B333" i="18" s="1"/>
  <c r="B102" i="18"/>
  <c r="B57" i="18"/>
  <c r="B65" i="18" s="1"/>
  <c r="B631" i="17"/>
  <c r="B556" i="17"/>
  <c r="B172" i="17"/>
  <c r="B178" i="17" s="1"/>
  <c r="B224" i="18"/>
  <c r="B225" i="18"/>
  <c r="B274" i="8"/>
  <c r="B161" i="9"/>
  <c r="B224" i="13"/>
  <c r="B473" i="22"/>
  <c r="B28" i="14"/>
  <c r="B29" i="15"/>
  <c r="B136" i="8"/>
  <c r="B232" i="9"/>
  <c r="B225" i="13"/>
  <c r="B175" i="9"/>
  <c r="B174" i="9"/>
  <c r="B142" i="8"/>
  <c r="B227" i="6"/>
  <c r="B237" i="6" s="1"/>
  <c r="B20" i="6"/>
  <c r="B61" i="6"/>
  <c r="B86" i="6" s="1"/>
  <c r="P3" i="1"/>
  <c r="B18" i="6" s="1"/>
  <c r="B44" i="6" s="1"/>
  <c r="B192" i="6"/>
  <c r="B462" i="9"/>
  <c r="B195" i="8"/>
  <c r="B204" i="8" s="1"/>
  <c r="B52" i="8"/>
  <c r="Q8" i="1"/>
  <c r="AL8" i="1" s="1"/>
  <c r="B209" i="8" s="1"/>
  <c r="B164" i="19"/>
  <c r="B178" i="19"/>
  <c r="B86" i="11"/>
  <c r="B178" i="18"/>
  <c r="B29" i="10"/>
  <c r="B251" i="18"/>
  <c r="B73" i="10"/>
  <c r="B148" i="16"/>
  <c r="B276" i="11"/>
  <c r="B43" i="15"/>
  <c r="B482" i="17"/>
  <c r="B359" i="22"/>
  <c r="B140" i="16"/>
  <c r="B251" i="16"/>
  <c r="B43" i="11"/>
  <c r="B396" i="12"/>
  <c r="B140" i="17"/>
  <c r="B239" i="8"/>
  <c r="B28" i="13"/>
  <c r="B282" i="15"/>
  <c r="B314" i="9"/>
  <c r="B434" i="15"/>
  <c r="B119" i="19"/>
  <c r="B424" i="11"/>
  <c r="B274" i="6"/>
  <c r="B425" i="9"/>
  <c r="B224" i="12"/>
  <c r="B203" i="9"/>
  <c r="B277" i="9"/>
  <c r="B358" i="15"/>
  <c r="B225" i="14"/>
  <c r="B350" i="12"/>
  <c r="B353" i="12" s="1"/>
  <c r="B328" i="13"/>
  <c r="B202" i="10"/>
  <c r="B216" i="18"/>
  <c r="B65" i="17"/>
  <c r="B73" i="14"/>
  <c r="B72" i="14"/>
  <c r="B29" i="9"/>
  <c r="B102" i="14"/>
  <c r="B482" i="13"/>
  <c r="B42" i="9"/>
  <c r="B206" i="15"/>
  <c r="B34" i="8"/>
  <c r="B216" i="14"/>
  <c r="B73" i="17"/>
  <c r="B72" i="17"/>
  <c r="B36" i="18"/>
  <c r="B35" i="18"/>
  <c r="B559" i="18"/>
  <c r="B472" i="19"/>
  <c r="B73" i="11"/>
  <c r="B328" i="14"/>
  <c r="B434" i="19"/>
  <c r="B387" i="11"/>
  <c r="B206" i="22"/>
  <c r="B636" i="13"/>
  <c r="B117" i="6"/>
  <c r="B119" i="15"/>
  <c r="B130" i="6"/>
  <c r="B251" i="13"/>
  <c r="B202" i="11"/>
  <c r="B328" i="16"/>
  <c r="B320" i="22"/>
  <c r="B350" i="10"/>
  <c r="B164" i="20"/>
  <c r="B350" i="11"/>
  <c r="B29" i="11"/>
  <c r="B239" i="10"/>
  <c r="B282" i="20"/>
  <c r="B556" i="16"/>
  <c r="B559" i="16" s="1"/>
  <c r="B172" i="16"/>
  <c r="B178" i="16" s="1"/>
  <c r="B392" i="10"/>
  <c r="Q6" i="1"/>
  <c r="AL6" i="1" s="1"/>
  <c r="B318" i="6" s="1"/>
  <c r="B147" i="6"/>
  <c r="B160" i="6" s="1"/>
  <c r="B301" i="6"/>
  <c r="B311" i="6" s="1"/>
  <c r="B106" i="29"/>
  <c r="B119" i="29" s="1"/>
  <c r="B351" i="9"/>
  <c r="B234" i="22"/>
  <c r="B244" i="22" s="1"/>
  <c r="B387" i="22"/>
  <c r="B397" i="22" s="1"/>
  <c r="Q84" i="1"/>
  <c r="AL84" i="1" s="1"/>
  <c r="B61" i="22"/>
  <c r="B424" i="29"/>
  <c r="B434" i="29" s="1"/>
  <c r="B67" i="12"/>
  <c r="B282" i="21"/>
  <c r="B239" i="11"/>
  <c r="B386" i="29"/>
  <c r="B396" i="29" s="1"/>
  <c r="B164" i="22"/>
  <c r="B134" i="21"/>
  <c r="B442" i="21"/>
  <c r="Q76" i="1"/>
  <c r="AL76" i="1" s="1"/>
  <c r="B234" i="20"/>
  <c r="B61" i="20"/>
  <c r="B386" i="20"/>
  <c r="B186" i="16"/>
  <c r="B187" i="16"/>
  <c r="Q43" i="1"/>
  <c r="AL43" i="1" s="1"/>
  <c r="B564" i="14" s="1"/>
  <c r="B550" i="14"/>
  <c r="B559" i="14" s="1"/>
  <c r="B166" i="14"/>
  <c r="B87" i="10"/>
  <c r="B86" i="10"/>
  <c r="B234" i="29"/>
  <c r="B244" i="29" s="1"/>
  <c r="B53" i="16"/>
  <c r="Q54" i="1"/>
  <c r="AL54" i="1" s="1"/>
  <c r="B333" i="16" s="1"/>
  <c r="Q29" i="1"/>
  <c r="AL29" i="1" s="1"/>
  <c r="B410" i="13" s="1"/>
  <c r="B396" i="13"/>
  <c r="B405" i="13" s="1"/>
  <c r="B90" i="13"/>
  <c r="B102" i="13" s="1"/>
  <c r="B61" i="29"/>
  <c r="B89" i="29" s="1"/>
  <c r="B272" i="29"/>
  <c r="B282" i="29" s="1"/>
  <c r="B119" i="21"/>
  <c r="B148" i="17"/>
  <c r="B149" i="17"/>
  <c r="B405" i="14"/>
  <c r="B282" i="19"/>
  <c r="B28" i="12"/>
  <c r="B387" i="10"/>
  <c r="B28" i="18"/>
  <c r="B320" i="20"/>
  <c r="B204" i="16"/>
  <c r="B216" i="16" s="1"/>
  <c r="Q58" i="1"/>
  <c r="AL58" i="1" s="1"/>
  <c r="B641" i="16" s="1"/>
  <c r="B627" i="16"/>
  <c r="B636" i="16" s="1"/>
  <c r="P72" i="1"/>
  <c r="B236" i="19"/>
  <c r="AP72" i="1"/>
  <c r="B87" i="19" s="1"/>
  <c r="B453" i="11"/>
  <c r="B150" i="11"/>
  <c r="B305" i="11"/>
  <c r="Q80" i="1"/>
  <c r="AL80" i="1" s="1"/>
  <c r="B234" i="21"/>
  <c r="B244" i="21" s="1"/>
  <c r="B386" i="21"/>
  <c r="B396" i="21" s="1"/>
  <c r="B61" i="21"/>
  <c r="B242" i="17"/>
  <c r="B251" i="17" s="1"/>
  <c r="Q59" i="1"/>
  <c r="AL59" i="1" s="1"/>
  <c r="B256" i="17" s="1"/>
  <c r="B16" i="17"/>
  <c r="AP85" i="1"/>
  <c r="B132" i="22" s="1"/>
  <c r="B274" i="22"/>
  <c r="P85" i="1"/>
  <c r="B108" i="22"/>
  <c r="P12" i="1"/>
  <c r="B62" i="9"/>
  <c r="AP12" i="1"/>
  <c r="B85" i="9" s="1"/>
  <c r="B211" i="29"/>
  <c r="B363" i="29"/>
  <c r="B186" i="17"/>
  <c r="B187" i="17"/>
  <c r="Q71" i="1"/>
  <c r="AL71" i="1" s="1"/>
  <c r="B348" i="19"/>
  <c r="B358" i="19" s="1"/>
  <c r="B16" i="19"/>
  <c r="B196" i="19"/>
  <c r="B206" i="19" s="1"/>
  <c r="B303" i="10"/>
  <c r="B313" i="10" s="1"/>
  <c r="B451" i="10"/>
  <c r="B461" i="10" s="1"/>
  <c r="B148" i="10"/>
  <c r="Q18" i="1"/>
  <c r="AL18" i="1" s="1"/>
  <c r="B348" i="20"/>
  <c r="B16" i="20"/>
  <c r="B196" i="20"/>
  <c r="B206" i="20" s="1"/>
  <c r="B477" i="29"/>
  <c r="B325" i="29"/>
  <c r="B424" i="20"/>
  <c r="B434" i="20" s="1"/>
  <c r="Q77" i="1"/>
  <c r="AL77" i="1" s="1"/>
  <c r="B106" i="20"/>
  <c r="B119" i="20" s="1"/>
  <c r="B434" i="21"/>
  <c r="B96" i="16"/>
  <c r="B102" i="16" s="1"/>
  <c r="B402" i="16"/>
  <c r="B405" i="16" s="1"/>
  <c r="B104" i="10"/>
  <c r="Q17" i="1"/>
  <c r="AL17" i="1" s="1"/>
  <c r="B266" i="10"/>
  <c r="B276" i="10" s="1"/>
  <c r="B414" i="10"/>
  <c r="B424" i="10" s="1"/>
  <c r="B132" i="18"/>
  <c r="AS68" i="1"/>
  <c r="B477" i="18"/>
  <c r="B178" i="12"/>
  <c r="B181" i="12" s="1"/>
  <c r="B43" i="22"/>
  <c r="B29" i="22"/>
  <c r="B462" i="21"/>
  <c r="B472" i="21" s="1"/>
  <c r="B151" i="21"/>
  <c r="B164" i="21" s="1"/>
  <c r="B310" i="21"/>
  <c r="B320" i="21" s="1"/>
  <c r="Q82" i="1"/>
  <c r="AL82" i="1" s="1"/>
  <c r="B287" i="29"/>
  <c r="B439" i="29"/>
  <c r="B72" i="13"/>
  <c r="B73" i="13"/>
  <c r="B367" i="22"/>
  <c r="B214" i="22"/>
  <c r="B366" i="20"/>
  <c r="B214" i="20"/>
  <c r="B320" i="15"/>
  <c r="B559" i="13"/>
  <c r="B133" i="15"/>
  <c r="B134" i="15"/>
  <c r="B348" i="21"/>
  <c r="B16" i="21"/>
  <c r="B29" i="21" s="1"/>
  <c r="B196" i="21"/>
  <c r="B206" i="21" s="1"/>
  <c r="Q79" i="1"/>
  <c r="AL79" i="1" s="1"/>
  <c r="B148" i="11"/>
  <c r="B303" i="11"/>
  <c r="Q22" i="1"/>
  <c r="AL22" i="1" s="1"/>
  <c r="B451" i="11"/>
  <c r="B479" i="28"/>
  <c r="B134" i="28"/>
  <c r="B439" i="15"/>
  <c r="B287" i="15"/>
  <c r="B249" i="29"/>
  <c r="B401" i="29"/>
  <c r="Q52" i="1"/>
  <c r="AL52" i="1" s="1"/>
  <c r="B462" i="15"/>
  <c r="B472" i="15" s="1"/>
  <c r="B151" i="15"/>
  <c r="B164" i="15" s="1"/>
  <c r="B307" i="12"/>
  <c r="B310" i="12" s="1"/>
  <c r="B479" i="12"/>
  <c r="B482" i="12" s="1"/>
  <c r="B139" i="12"/>
  <c r="B145" i="12" s="1"/>
  <c r="B110" i="18"/>
  <c r="B111" i="18"/>
  <c r="Q61" i="1"/>
  <c r="AL61" i="1" s="1"/>
  <c r="B410" i="17" s="1"/>
  <c r="B396" i="17"/>
  <c r="B405" i="17" s="1"/>
  <c r="B90" i="17"/>
  <c r="B102" i="17" s="1"/>
  <c r="B386" i="15"/>
  <c r="B396" i="15" s="1"/>
  <c r="Q50" i="1"/>
  <c r="AL50" i="1" s="1"/>
  <c r="B234" i="15"/>
  <c r="B244" i="15" s="1"/>
  <c r="B61" i="15"/>
  <c r="B290" i="19"/>
  <c r="B442" i="19"/>
  <c r="B636" i="18"/>
  <c r="B563" i="17"/>
  <c r="B559" i="17"/>
  <c r="B320" i="19"/>
  <c r="B248" i="22"/>
  <c r="B204" i="6"/>
  <c r="B28" i="8"/>
  <c r="B328" i="17"/>
  <c r="B472" i="20"/>
  <c r="B362" i="29"/>
  <c r="B358" i="29"/>
  <c r="B29" i="29"/>
  <c r="B102" i="28"/>
  <c r="B178" i="28"/>
  <c r="B251" i="28"/>
  <c r="B28" i="28"/>
  <c r="B110" i="28"/>
  <c r="B111" i="28"/>
  <c r="B405" i="28"/>
  <c r="B36" i="28"/>
  <c r="B35" i="28"/>
  <c r="B225" i="28"/>
  <c r="B224" i="28"/>
  <c r="B559" i="28"/>
  <c r="B73" i="28"/>
  <c r="B72" i="28"/>
  <c r="B636" i="28"/>
  <c r="B133" i="29"/>
  <c r="B216" i="28"/>
  <c r="B164" i="29"/>
  <c r="B187" i="28"/>
  <c r="B186" i="28"/>
  <c r="B328" i="28"/>
  <c r="B178" i="29"/>
  <c r="B179" i="29"/>
  <c r="B65" i="28"/>
  <c r="B320" i="29"/>
  <c r="B206" i="29"/>
  <c r="B472" i="29"/>
  <c r="B244" i="20" l="1"/>
  <c r="B396" i="20"/>
  <c r="B35" i="16"/>
  <c r="B36" i="16"/>
  <c r="B44" i="29"/>
  <c r="B110" i="14"/>
  <c r="B636" i="17"/>
  <c r="Q3" i="1"/>
  <c r="AL3" i="1" s="1"/>
  <c r="B207" i="6" s="1"/>
  <c r="Q36" i="1"/>
  <c r="AL36" i="1" s="1"/>
  <c r="B487" i="28" s="1"/>
  <c r="B473" i="28"/>
  <c r="B482" i="28" s="1"/>
  <c r="B128" i="28"/>
  <c r="B140" i="28" s="1"/>
  <c r="B190" i="6"/>
  <c r="B200" i="6" s="1"/>
  <c r="B134" i="29"/>
  <c r="B74" i="6"/>
  <c r="B43" i="6"/>
  <c r="B31" i="6"/>
  <c r="B87" i="6"/>
  <c r="B74" i="29"/>
  <c r="B88" i="29"/>
  <c r="B71" i="8"/>
  <c r="B70" i="8"/>
  <c r="B64" i="8"/>
  <c r="B358" i="21"/>
  <c r="B461" i="11"/>
  <c r="B358" i="20"/>
  <c r="B313" i="11"/>
  <c r="B88" i="20"/>
  <c r="B89" i="20"/>
  <c r="B72" i="16"/>
  <c r="B73" i="16"/>
  <c r="B65" i="16"/>
  <c r="B111" i="13"/>
  <c r="B110" i="13"/>
  <c r="B404" i="20"/>
  <c r="B252" i="20"/>
  <c r="B88" i="22"/>
  <c r="B89" i="22"/>
  <c r="B74" i="22"/>
  <c r="B74" i="20"/>
  <c r="B186" i="14"/>
  <c r="B178" i="14"/>
  <c r="B187" i="14"/>
  <c r="B405" i="22"/>
  <c r="B252" i="22"/>
  <c r="B173" i="6"/>
  <c r="B172" i="6"/>
  <c r="B252" i="21"/>
  <c r="B404" i="21"/>
  <c r="Q72" i="1"/>
  <c r="AL72" i="1" s="1"/>
  <c r="B61" i="19"/>
  <c r="B386" i="19"/>
  <c r="B396" i="19" s="1"/>
  <c r="B234" i="19"/>
  <c r="B244" i="19" s="1"/>
  <c r="B60" i="9"/>
  <c r="Q12" i="1"/>
  <c r="AL12" i="1" s="1"/>
  <c r="B378" i="9"/>
  <c r="B388" i="9" s="1"/>
  <c r="B230" i="9"/>
  <c r="B240" i="9" s="1"/>
  <c r="B36" i="17"/>
  <c r="B35" i="17"/>
  <c r="B225" i="16"/>
  <c r="B224" i="16"/>
  <c r="B106" i="22"/>
  <c r="B272" i="22"/>
  <c r="B282" i="22" s="1"/>
  <c r="Q85" i="1"/>
  <c r="AL85" i="1" s="1"/>
  <c r="B425" i="22"/>
  <c r="B435" i="22" s="1"/>
  <c r="B28" i="17"/>
  <c r="B88" i="21"/>
  <c r="B89" i="21"/>
  <c r="B74" i="21"/>
  <c r="B44" i="20"/>
  <c r="B29" i="20"/>
  <c r="B43" i="20"/>
  <c r="B44" i="19"/>
  <c r="B43" i="19"/>
  <c r="B29" i="19"/>
  <c r="B281" i="10"/>
  <c r="B429" i="10"/>
  <c r="B134" i="20"/>
  <c r="B133" i="20"/>
  <c r="B131" i="10"/>
  <c r="B117" i="10"/>
  <c r="B130" i="10"/>
  <c r="B290" i="20"/>
  <c r="B442" i="20"/>
  <c r="B214" i="19"/>
  <c r="B366" i="19"/>
  <c r="B318" i="10"/>
  <c r="B466" i="10"/>
  <c r="B134" i="18"/>
  <c r="B140" i="18" s="1"/>
  <c r="B479" i="18"/>
  <c r="B482" i="18" s="1"/>
  <c r="B175" i="10"/>
  <c r="B161" i="10"/>
  <c r="B174" i="10"/>
  <c r="B466" i="11"/>
  <c r="B318" i="11"/>
  <c r="B44" i="21"/>
  <c r="B43" i="21"/>
  <c r="B249" i="15"/>
  <c r="B401" i="15"/>
  <c r="B174" i="11"/>
  <c r="B175" i="11"/>
  <c r="B161" i="11"/>
  <c r="B88" i="15"/>
  <c r="B89" i="15"/>
  <c r="B480" i="21"/>
  <c r="B328" i="21"/>
  <c r="B110" i="17"/>
  <c r="B111" i="17"/>
  <c r="B178" i="15"/>
  <c r="B179" i="15"/>
  <c r="B74" i="15"/>
  <c r="B179" i="21"/>
  <c r="B178" i="21"/>
  <c r="B325" i="15"/>
  <c r="B477" i="15"/>
  <c r="B214" i="21"/>
  <c r="B366" i="21"/>
  <c r="B149" i="28" l="1"/>
  <c r="B148" i="28"/>
  <c r="B245" i="9"/>
  <c r="B393" i="9"/>
  <c r="B134" i="22"/>
  <c r="B133" i="22"/>
  <c r="B119" i="22"/>
  <c r="B73" i="9"/>
  <c r="B86" i="9"/>
  <c r="B87" i="9"/>
  <c r="B88" i="19"/>
  <c r="B89" i="19"/>
  <c r="B74" i="19"/>
  <c r="B404" i="19"/>
  <c r="B252" i="19"/>
  <c r="B443" i="22"/>
  <c r="B290" i="22"/>
</calcChain>
</file>

<file path=xl/comments1.xml><?xml version="1.0" encoding="utf-8"?>
<comments xmlns="http://schemas.openxmlformats.org/spreadsheetml/2006/main">
  <authors>
    <author>Sacchi Romain</author>
  </authors>
  <commentList>
    <comment ref="AT2" authorId="0" shapeId="0">
      <text>
        <r>
          <rPr>
            <b/>
            <sz val="9"/>
            <color indexed="81"/>
            <rFont val="Tahoma"/>
            <family val="2"/>
          </rPr>
          <t>Sacchi Romain:</t>
        </r>
        <r>
          <rPr>
            <sz val="9"/>
            <color indexed="81"/>
            <rFont val="Tahoma"/>
            <family val="2"/>
          </rPr>
          <t xml:space="preserve">
kg/km</t>
        </r>
      </text>
    </comment>
  </commentList>
</comments>
</file>

<file path=xl/sharedStrings.xml><?xml version="1.0" encoding="utf-8"?>
<sst xmlns="http://schemas.openxmlformats.org/spreadsheetml/2006/main" count="26533" uniqueCount="721">
  <si>
    <t>Vehicle</t>
  </si>
  <si>
    <t>Size</t>
  </si>
  <si>
    <t>Year</t>
  </si>
  <si>
    <t>Powertrain</t>
  </si>
  <si>
    <t>Lifetime [km]</t>
  </si>
  <si>
    <t>Lifetime [years]</t>
  </si>
  <si>
    <t>Annual kilometers [km]</t>
  </si>
  <si>
    <t>Passengers [unit]</t>
  </si>
  <si>
    <t>Passenger mass [kg]</t>
  </si>
  <si>
    <t>Cargo mass [kg]</t>
  </si>
  <si>
    <t>Driving mass [kg]</t>
  </si>
  <si>
    <t>Curb mass [kg]</t>
  </si>
  <si>
    <t>Power [kW]</t>
  </si>
  <si>
    <t>Glider mass [kg]</t>
  </si>
  <si>
    <t>Lightweighting rate [%]</t>
  </si>
  <si>
    <t>Glider base mass [kg]</t>
  </si>
  <si>
    <t>Mechanical powertrain mass [kg]</t>
  </si>
  <si>
    <t>Electric energy stored [kWh]</t>
  </si>
  <si>
    <t>Energy battery mass [kg]</t>
  </si>
  <si>
    <t>Energy battery cell mass [kg]</t>
  </si>
  <si>
    <t>Energy battery BoP mass [kg]</t>
  </si>
  <si>
    <t>Energy battery replacement [unit]</t>
  </si>
  <si>
    <t>Fuel mass [kg]</t>
  </si>
  <si>
    <t>Oxydation energy stored [kWh]</t>
  </si>
  <si>
    <t>Fuel tank mass [kg]</t>
  </si>
  <si>
    <t>Charging station power [kW]</t>
  </si>
  <si>
    <t>Range [km]</t>
  </si>
  <si>
    <t>Gasoline consumption [MJ/km]</t>
  </si>
  <si>
    <t>Electricity consumption [MJ/km]</t>
  </si>
  <si>
    <t>Road wear [kg/km]</t>
  </si>
  <si>
    <t>Tire wear [kg/km]</t>
  </si>
  <si>
    <t>Brake wear [kg/km]</t>
  </si>
  <si>
    <t>BEV</t>
  </si>
  <si>
    <t>Bicycle, conventional, urban</t>
  </si>
  <si>
    <t>43m</t>
  </si>
  <si>
    <t>ICEV-p</t>
  </si>
  <si>
    <t>Location</t>
  </si>
  <si>
    <t>CH</t>
  </si>
  <si>
    <t>Functional unit</t>
  </si>
  <si>
    <t>vkm</t>
  </si>
  <si>
    <t>pkm</t>
  </si>
  <si>
    <t>Bicycle, electric, cargo bike, label certified electricity</t>
  </si>
  <si>
    <t>Energy battery type</t>
  </si>
  <si>
    <t>NMC</t>
  </si>
  <si>
    <t>energy battery cell density [kg/kWH]</t>
  </si>
  <si>
    <t>LFP</t>
  </si>
  <si>
    <t>NCA</t>
  </si>
  <si>
    <t>Gasoline</t>
  </si>
  <si>
    <t>Diesel</t>
  </si>
  <si>
    <t>CNG</t>
  </si>
  <si>
    <t>Fuel density [kg/l]</t>
  </si>
  <si>
    <t>Fuel volume [l]</t>
  </si>
  <si>
    <t>LHV [kWh/kg]</t>
  </si>
  <si>
    <t>Charging station per vehicle [unit]</t>
  </si>
  <si>
    <t>CO2 [kg/kg]</t>
  </si>
  <si>
    <t>SO2 [kg/kg]</t>
  </si>
  <si>
    <t>Benzene</t>
  </si>
  <si>
    <t>CH4</t>
  </si>
  <si>
    <t>CO</t>
  </si>
  <si>
    <t>N2O</t>
  </si>
  <si>
    <t>NH3</t>
  </si>
  <si>
    <t>NOx</t>
  </si>
  <si>
    <t>NMHC</t>
  </si>
  <si>
    <t>PM2.5</t>
  </si>
  <si>
    <t>Depth of discharge [%]</t>
  </si>
  <si>
    <t>Electric energy available [kWh]</t>
  </si>
  <si>
    <t>Emission standard</t>
  </si>
  <si>
    <t>CO2</t>
  </si>
  <si>
    <t>SO2</t>
  </si>
  <si>
    <t>skip</t>
  </si>
  <si>
    <t>MobiTool - other vehicles</t>
  </si>
  <si>
    <t>Database</t>
  </si>
  <si>
    <t>Activity</t>
  </si>
  <si>
    <t>location</t>
  </si>
  <si>
    <t>reference product</t>
  </si>
  <si>
    <t>type</t>
  </si>
  <si>
    <t>process</t>
  </si>
  <si>
    <t>unit</t>
  </si>
  <si>
    <t>kilogram</t>
  </si>
  <si>
    <t>source</t>
  </si>
  <si>
    <t>Exchanges</t>
  </si>
  <si>
    <t>name</t>
  </si>
  <si>
    <t>amount</t>
  </si>
  <si>
    <t>categories</t>
  </si>
  <si>
    <t>comment</t>
  </si>
  <si>
    <t>production</t>
  </si>
  <si>
    <t/>
  </si>
  <si>
    <t>vehicle</t>
  </si>
  <si>
    <t>size</t>
  </si>
  <si>
    <t>year</t>
  </si>
  <si>
    <t>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t>
  </si>
  <si>
    <t>technosphere</t>
  </si>
  <si>
    <t>names</t>
  </si>
  <si>
    <t>bicycle production</t>
  </si>
  <si>
    <t>RER</t>
  </si>
  <si>
    <t>bicycle</t>
  </si>
  <si>
    <t>multiplication factor</t>
  </si>
  <si>
    <t>Battery cell, NMC</t>
  </si>
  <si>
    <t>GLO</t>
  </si>
  <si>
    <t>Battery cell</t>
  </si>
  <si>
    <t>Battery BoP</t>
  </si>
  <si>
    <t>kilowatt hour</t>
  </si>
  <si>
    <t>market for petrol, low-sulfur</t>
  </si>
  <si>
    <t>market for electricity, low voltage</t>
  </si>
  <si>
    <t>petrol, low-sulfur</t>
  </si>
  <si>
    <t>electricity, low voltage</t>
  </si>
  <si>
    <t>tram</t>
  </si>
  <si>
    <t>tram production</t>
  </si>
  <si>
    <t>Road/track use [m*year/vkm or pkm]</t>
  </si>
  <si>
    <t>tram track construction</t>
  </si>
  <si>
    <t>meter-year</t>
  </si>
  <si>
    <t>tram track</t>
  </si>
  <si>
    <t>road construction</t>
  </si>
  <si>
    <t>road</t>
  </si>
  <si>
    <t>market for electricity, low voltage, label-certified</t>
  </si>
  <si>
    <t>market for electricity, medium voltage</t>
  </si>
  <si>
    <t>electricity, low voltage, label-certified</t>
  </si>
  <si>
    <t>Road maintenance [m*year/vkm]</t>
  </si>
  <si>
    <t>road maintenance</t>
  </si>
  <si>
    <t>motor scooter production</t>
  </si>
  <si>
    <t>motor scooter, 50 cubic cm engine</t>
  </si>
  <si>
    <t>polyethylene production, high density, granulate</t>
  </si>
  <si>
    <t>polyethylene, high density, granulate</t>
  </si>
  <si>
    <t>Servicing [unit]</t>
  </si>
  <si>
    <t>maintenance, bicycle</t>
  </si>
  <si>
    <t>maintenance, tram</t>
  </si>
  <si>
    <t>maintenance, motor scooter</t>
  </si>
  <si>
    <t>maintenance, electric scooter, without battery</t>
  </si>
  <si>
    <t>glider, for electric scooter</t>
  </si>
  <si>
    <t>electricity, medium voltage</t>
  </si>
  <si>
    <t>Full name</t>
  </si>
  <si>
    <t>full name</t>
  </si>
  <si>
    <t>lifetime</t>
  </si>
  <si>
    <t>passengers</t>
  </si>
  <si>
    <t>service</t>
  </si>
  <si>
    <t>battery replacement</t>
  </si>
  <si>
    <t>annual kilometers</t>
  </si>
  <si>
    <t>curb mass</t>
  </si>
  <si>
    <t>power</t>
  </si>
  <si>
    <t>battery mass</t>
  </si>
  <si>
    <t>battery capacity</t>
  </si>
  <si>
    <t>range</t>
  </si>
  <si>
    <t>emission standard</t>
  </si>
  <si>
    <t>tank capacity</t>
  </si>
  <si>
    <t>glider lightweighting</t>
  </si>
  <si>
    <t>fuel mass</t>
  </si>
  <si>
    <t>None</t>
  </si>
  <si>
    <t>EURO-3</t>
  </si>
  <si>
    <t>EURO-4</t>
  </si>
  <si>
    <t>EURO-5</t>
  </si>
  <si>
    <t>Discarding glider [kg]</t>
  </si>
  <si>
    <t>Discarding powertrain [kg]</t>
  </si>
  <si>
    <t>Discarding battery [kg]</t>
  </si>
  <si>
    <t>market for used Li-ion battery</t>
  </si>
  <si>
    <t>used Li-ion battery</t>
  </si>
  <si>
    <t>treatment of used electric bicycle</t>
  </si>
  <si>
    <t>used electric bicycle</t>
  </si>
  <si>
    <t>powertrain, for electric scooter</t>
  </si>
  <si>
    <t>manual dismantling of electric scooter</t>
  </si>
  <si>
    <t>manual dismantling of used electric scooter</t>
  </si>
  <si>
    <t>Carbon dioxide, fossil</t>
  </si>
  <si>
    <t>Methane, fossil</t>
  </si>
  <si>
    <t>Carbon monoxide, fossil</t>
  </si>
  <si>
    <t>Ammonia</t>
  </si>
  <si>
    <t>Nitrogen oxides</t>
  </si>
  <si>
    <t>treatment of road wear emissions, passenger car</t>
  </si>
  <si>
    <t>treatment of tyre wear emissions, passenger car</t>
  </si>
  <si>
    <t>road wear emissions, passenger car</t>
  </si>
  <si>
    <t>tyre wear emissions, passenger car</t>
  </si>
  <si>
    <t>brake wear emissions, passenger car</t>
  </si>
  <si>
    <t>category</t>
  </si>
  <si>
    <t>air</t>
  </si>
  <si>
    <t>kilometer</t>
  </si>
  <si>
    <t>biosphere</t>
  </si>
  <si>
    <t>treatment of brake wear emissions, passenger car</t>
  </si>
  <si>
    <t>person-kilometer</t>
  </si>
  <si>
    <t>Bicycle, conventional, urban - 2020 - CH</t>
  </si>
  <si>
    <t>Bicycle, conventional, urban - 2030 - CH</t>
  </si>
  <si>
    <t>Bicycle, conventional, urban - 2040 - CH</t>
  </si>
  <si>
    <t>Bicycle, conventional, urban - 2050 - CH</t>
  </si>
  <si>
    <t>transport</t>
  </si>
  <si>
    <t>Uses an electric scooter charger from ecoinvent 3.7 as a proxy.</t>
  </si>
  <si>
    <t>charger production, for electric scooter</t>
  </si>
  <si>
    <t>charger, for electric scooter</t>
  </si>
  <si>
    <t>treatment of waste electric and electronic equipment, shredding</t>
  </si>
  <si>
    <t>waste electric and electronic equipment</t>
  </si>
  <si>
    <t>production amount</t>
  </si>
  <si>
    <t>Car db</t>
  </si>
  <si>
    <t>database</t>
  </si>
  <si>
    <t>market for aluminium alloy, AlLi</t>
  </si>
  <si>
    <t>carculator export</t>
  </si>
  <si>
    <t>aluminium alloy, AlLi</t>
  </si>
  <si>
    <t>market for steel, low-alloyed, hot rolled</t>
  </si>
  <si>
    <t>ecoinvent 3.5 cutoff</t>
  </si>
  <si>
    <t>steel, low-alloyed, hot rolled</t>
  </si>
  <si>
    <t>Every kg of glider saved is achieved by replacing 4 mass units of steel by 3 of aluminium.</t>
  </si>
  <si>
    <t>charging station, 500W</t>
  </si>
  <si>
    <t>charging station, 3kW</t>
  </si>
  <si>
    <t>market for electric powertrain, for electric scooter</t>
  </si>
  <si>
    <t>market for glider, for electric scooter</t>
  </si>
  <si>
    <t>market for maintenance, electric scooter, without battery</t>
  </si>
  <si>
    <t>Positive active material</t>
  </si>
  <si>
    <t>code</t>
  </si>
  <si>
    <t>Positive active material = Li(Ni1/3Co1/3Mn1/3)O2, this inventory is adapted from Majeau-Bettez 2011 and Ellingsen 2014</t>
  </si>
  <si>
    <t>worksheet name</t>
  </si>
  <si>
    <t>Heat, waste</t>
  </si>
  <si>
    <t>megajoule</t>
  </si>
  <si>
    <t>Ni1/3Co1/3Mn1/3(OH)2</t>
  </si>
  <si>
    <t>market for chemical factory, organics</t>
  </si>
  <si>
    <t>chemical factory, organics</t>
  </si>
  <si>
    <t>market for heat, future</t>
  </si>
  <si>
    <t>heat, future</t>
  </si>
  <si>
    <t>market for lithium hydroxide</t>
  </si>
  <si>
    <t>lithium hydroxide</t>
  </si>
  <si>
    <t>Positive current collector Al</t>
  </si>
  <si>
    <t>ad7cfb16e845c17e641cc73bbf2cd2b3</t>
  </si>
  <si>
    <t>aluminium ingot, primary, to aluminium, wrought alloy market</t>
  </si>
  <si>
    <t>aluminium, wrought alloy</t>
  </si>
  <si>
    <t>market for aluminium casting facility</t>
  </si>
  <si>
    <t>aluminium casting facility</t>
  </si>
  <si>
    <t>market for sheet rolling, aluminium</t>
  </si>
  <si>
    <t>sheet rolling, aluminium</t>
  </si>
  <si>
    <t>Positive electrode paste</t>
  </si>
  <si>
    <t>fff9c695cfe79bfee417575d00f5d869</t>
  </si>
  <si>
    <t>market for N-methyl-2-pyrrolidone</t>
  </si>
  <si>
    <t>N-methyl-2-pyrrolidone</t>
  </si>
  <si>
    <t>market for carbon black</t>
  </si>
  <si>
    <t>carbon black</t>
  </si>
  <si>
    <t>market for polyvinylfluoride</t>
  </si>
  <si>
    <t>polyvinylfluoride</t>
  </si>
  <si>
    <t>Anode</t>
  </si>
  <si>
    <t>e4615b23eff12908952e4e82fd21272d</t>
  </si>
  <si>
    <t>Negative current collector Cu</t>
  </si>
  <si>
    <t>Negative electrode paste</t>
  </si>
  <si>
    <t>f5073a2e-ca78-11e9-9899-2079186002a1</t>
  </si>
  <si>
    <t>Contains everything except the cell</t>
  </si>
  <si>
    <t>Battery management system</t>
  </si>
  <si>
    <t>Battery packaging</t>
  </si>
  <si>
    <t>Cooling system</t>
  </si>
  <si>
    <t>market for precious metal refinery</t>
  </si>
  <si>
    <t>precious metal refinery</t>
  </si>
  <si>
    <t>market for transport, freight, lorry 16-32 metric ton, EURO3</t>
  </si>
  <si>
    <t>RoW</t>
  </si>
  <si>
    <t>ton kilometer</t>
  </si>
  <si>
    <t>transport, freight, lorry 16-32 metric ton, EURO3</t>
  </si>
  <si>
    <t>market for transport, freight, sea, tanker for petroleum</t>
  </si>
  <si>
    <t>transport, freight, sea, tanker for petroleum</t>
  </si>
  <si>
    <t>market group for electricity, medium voltage</t>
  </si>
  <si>
    <t>Comment</t>
  </si>
  <si>
    <t>Cathode</t>
  </si>
  <si>
    <t>Cell container</t>
  </si>
  <si>
    <t>Electrolyte</t>
  </si>
  <si>
    <t>Separator</t>
  </si>
  <si>
    <t>market for heat, district or industrial, natural gas</t>
  </si>
  <si>
    <t>heat, district or industrial, natural gas</t>
  </si>
  <si>
    <t>market for water, decarbonised</t>
  </si>
  <si>
    <t>water, decarbonised</t>
  </si>
  <si>
    <t>This value is quite variable and drives the results.</t>
  </si>
  <si>
    <t>d89248a205e9a49775ca374b5adb9a57</t>
  </si>
  <si>
    <t>Battery management system (BMS)</t>
  </si>
  <si>
    <t>High voltage system</t>
  </si>
  <si>
    <t>IBIS</t>
  </si>
  <si>
    <t>IBIS fasteners</t>
  </si>
  <si>
    <t>Low voltage system</t>
  </si>
  <si>
    <t>market for printed wiring board, through-hole mounted, unspecified, Pb free</t>
  </si>
  <si>
    <t>BMB (Battery module board)</t>
  </si>
  <si>
    <t>printed wiring board, through-hole mounted, unspecified, Pb free</t>
  </si>
  <si>
    <t>market for transport, freight train</t>
  </si>
  <si>
    <t>Europe without Switzerland</t>
  </si>
  <si>
    <t>transport, freight train</t>
  </si>
  <si>
    <t>market for transport, freight, lorry &gt;32 metric ton, EURO3</t>
  </si>
  <si>
    <t>transport, freight, lorry &gt;32 metric ton, EURO3</t>
  </si>
  <si>
    <t>240c7384fbd6fe21b36448ede1e43999</t>
  </si>
  <si>
    <t>Battery retention</t>
  </si>
  <si>
    <t>Battery tray</t>
  </si>
  <si>
    <t>Module packaging</t>
  </si>
  <si>
    <t>c0a7f46edbcdd1bdaf083803277f862f</t>
  </si>
  <si>
    <t>Heat transfer plate</t>
  </si>
  <si>
    <t>Lower retention</t>
  </si>
  <si>
    <t>Strap retention</t>
  </si>
  <si>
    <t>market for synthetic rubber</t>
  </si>
  <si>
    <t>synthetic rubber</t>
  </si>
  <si>
    <t>d92dbab286303d5826577362ee6a99df</t>
  </si>
  <si>
    <t>Tray lid</t>
  </si>
  <si>
    <t>Tray seal</t>
  </si>
  <si>
    <t>Tray with fasteners</t>
  </si>
  <si>
    <t>Bimetallic busbars and washers</t>
  </si>
  <si>
    <t>11970fef2e9cc5161b92a44ac5513cd9</t>
  </si>
  <si>
    <t>market for acrylonitrile-butadiene-styrene copolymer</t>
  </si>
  <si>
    <t>acrylonitrile-butadiene-styrene copolymer</t>
  </si>
  <si>
    <t>market for copper, anode</t>
  </si>
  <si>
    <t>copper, anode</t>
  </si>
  <si>
    <t>market for injection moulding</t>
  </si>
  <si>
    <t>injection moulding</t>
  </si>
  <si>
    <t>market for metal working factory</t>
  </si>
  <si>
    <t>metal working factory</t>
  </si>
  <si>
    <t>market for metal working, average for aluminium product manufacturing</t>
  </si>
  <si>
    <t>metal working, average for aluminium product manufacturing</t>
  </si>
  <si>
    <t>market for metal working, average for copper product manufacturing</t>
  </si>
  <si>
    <t>metal working, average for copper product manufacturing</t>
  </si>
  <si>
    <t>market for plastic processing factory</t>
  </si>
  <si>
    <t>plastic processing factory</t>
  </si>
  <si>
    <t>c414409de1752fbaa66ce440295ba4ca</t>
  </si>
  <si>
    <t>Cobalt sulfate</t>
  </si>
  <si>
    <t>82b6cd1339f30ca98adb599789412b6e</t>
  </si>
  <si>
    <t>this inventory is adapted from Majeau-Bettez 2011</t>
  </si>
  <si>
    <t>market for blasting</t>
  </si>
  <si>
    <t>blasting</t>
  </si>
  <si>
    <t>market for carbon monoxide</t>
  </si>
  <si>
    <t>carbon monoxide</t>
  </si>
  <si>
    <t>market for cobalt</t>
  </si>
  <si>
    <t>cobalt</t>
  </si>
  <si>
    <t>market for hydrogen, liquid</t>
  </si>
  <si>
    <t>hydrogen, liquid</t>
  </si>
  <si>
    <t>4436c877aea82a5834ad25de3af6522c</t>
  </si>
  <si>
    <t>Integrated Battery Interface System (IBIS)</t>
  </si>
  <si>
    <t>market for brass</t>
  </si>
  <si>
    <t>brass</t>
  </si>
  <si>
    <t>market for casting, brass</t>
  </si>
  <si>
    <t>casting, brass</t>
  </si>
  <si>
    <t>market for electric connector, wire clamp</t>
  </si>
  <si>
    <t>electric connector, wire clamp</t>
  </si>
  <si>
    <t>market for electronic component factory</t>
  </si>
  <si>
    <t>electronic component factory</t>
  </si>
  <si>
    <t>market for integrated circuit, logic type</t>
  </si>
  <si>
    <t>integrated circuit, logic type</t>
  </si>
  <si>
    <t>market for metal working, average for steel product manufacturing</t>
  </si>
  <si>
    <t>metal working, average for steel product manufacturing</t>
  </si>
  <si>
    <t>market for nylon 6</t>
  </si>
  <si>
    <t>nylon 6</t>
  </si>
  <si>
    <t>market for polyethylene terephthalate, granulate, amorphous</t>
  </si>
  <si>
    <t>polyethylene terephthalate, granulate, amorphous</t>
  </si>
  <si>
    <t>market for steel, low-alloyed</t>
  </si>
  <si>
    <t>steel, low-alloyed</t>
  </si>
  <si>
    <t>6c73b27a210af2a318c4215073955e83</t>
  </si>
  <si>
    <t>4062da13e83f763e37db6eac23ce1a99</t>
  </si>
  <si>
    <t>market for sheet rolling, copper</t>
  </si>
  <si>
    <t>sheet rolling, copper</t>
  </si>
  <si>
    <t>c006e221a75622269637efbd88f9472d</t>
  </si>
  <si>
    <t>market for acrylic acid</t>
  </si>
  <si>
    <t>acrylic acid</t>
  </si>
  <si>
    <t>market for anode, graphite, for lithium-ion battery</t>
  </si>
  <si>
    <t>anode, graphite, for lithium-ion battery</t>
  </si>
  <si>
    <t>market for carboxymethyl cellulose, powder</t>
  </si>
  <si>
    <t>carboxymethyl cellulose, powder</t>
  </si>
  <si>
    <t>60ec908272f0eb0bb772be5cdb17de0f</t>
  </si>
  <si>
    <t>this inventory is adapted from Majeau-Bettez 2011 and Ellingsen 2014</t>
  </si>
  <si>
    <t>Sulfate</t>
  </si>
  <si>
    <t>water</t>
  </si>
  <si>
    <t>"sodium sulfate" does not exisit in ecoinvent 3.5 cutoff , therefore sulfate was chosen so far using the emission amount specified by Ellingsen 2014)</t>
  </si>
  <si>
    <t>market for manganese sulfate</t>
  </si>
  <si>
    <t>production of manganese sulfate is available as a unit process in ecoenvent and the data is therefore not taken from Majeau-Bettez 2011</t>
  </si>
  <si>
    <t>manganese sulfate</t>
  </si>
  <si>
    <t>market for nickel sulfate</t>
  </si>
  <si>
    <t>production of nickel sulfate is available as a unit process in ecoenvent and the data is therefore not taken from Majeau-Bettez 2011</t>
  </si>
  <si>
    <t>nickel sulfate</t>
  </si>
  <si>
    <t>market for soda ash, light, crystalline, heptahydrate</t>
  </si>
  <si>
    <t>soda ash, light, crystalline, heptahydrate</t>
  </si>
  <si>
    <t>market for styrene butadiene rubber (SBR)</t>
  </si>
  <si>
    <t>095664b384537b91d8e3e63ab94a9948</t>
  </si>
  <si>
    <t>styrene butadiene rubber (SBR)</t>
  </si>
  <si>
    <t>refined</t>
  </si>
  <si>
    <t>biosphere3</t>
  </si>
  <si>
    <t>NMVOC, non-methane volatile organic compounds, unspecified origin</t>
  </si>
  <si>
    <t>Water, cooling, unspecified natural origin</t>
  </si>
  <si>
    <t>cubic meter</t>
  </si>
  <si>
    <t>natural resource::in water</t>
  </si>
  <si>
    <t>NMC battery import</t>
  </si>
  <si>
    <t>market for butadiene</t>
  </si>
  <si>
    <t>ecoinvent 3.3 cutoff</t>
  </si>
  <si>
    <t>butadiene</t>
  </si>
  <si>
    <t>market for cyclohexane</t>
  </si>
  <si>
    <t>cyclohexane</t>
  </si>
  <si>
    <t>market for soap</t>
  </si>
  <si>
    <t>soap</t>
  </si>
  <si>
    <t>market for sodium persulfate</t>
  </si>
  <si>
    <t>sodium persulfate</t>
  </si>
  <si>
    <t>market for styrene</t>
  </si>
  <si>
    <t>styrene</t>
  </si>
  <si>
    <t>market for water, deionised</t>
  </si>
  <si>
    <t>water, deionised</t>
  </si>
  <si>
    <t>market group for heat, central or small-scale, natural gas</t>
  </si>
  <si>
    <t>heat, central or small-scale, natural gas</t>
  </si>
  <si>
    <t>treatment of wastewater, unpolluted, capacity 5E9l/year</t>
  </si>
  <si>
    <t>wastewater, unpolluted</t>
  </si>
  <si>
    <t>e57e3b636cdadcdd4605c1a6c044ff8a</t>
  </si>
  <si>
    <t>Multilayer pouch</t>
  </si>
  <si>
    <t>Tab Aluminum</t>
  </si>
  <si>
    <t>Tab Copper</t>
  </si>
  <si>
    <t>ad0a2fa2697e7eba2c8b897ac5e9e599</t>
  </si>
  <si>
    <t>market for packaging film, low density polyethylene</t>
  </si>
  <si>
    <t>packaging film, low density polyethylene</t>
  </si>
  <si>
    <t>specifications (amorphous vs. bottle grade) are missing in Ellingsen 2014</t>
  </si>
  <si>
    <t>market for polypropylene, granulate</t>
  </si>
  <si>
    <t>polypropylene, granulate</t>
  </si>
  <si>
    <t>b096e06a9d87a89df6ed78739716cbb1</t>
  </si>
  <si>
    <t>474a28ea70e58630fd607e26e4c76a34</t>
  </si>
  <si>
    <t>04dd0f277fea2558316d5b7a8da24ad6</t>
  </si>
  <si>
    <t>Clamps and fasteners</t>
  </si>
  <si>
    <t>Manifolds</t>
  </si>
  <si>
    <t>Pipe fitting</t>
  </si>
  <si>
    <t>Radiator</t>
  </si>
  <si>
    <t>Thermal pad</t>
  </si>
  <si>
    <t>market for ethylene glycol</t>
  </si>
  <si>
    <t>ethylene glycol</t>
  </si>
  <si>
    <t>7d8dd74315915158cccb758a15be5cf3</t>
  </si>
  <si>
    <t>30d8ce62df48564bd63c4601218f4b28</t>
  </si>
  <si>
    <t>market for polyvinylchloride, suspension polymerised</t>
  </si>
  <si>
    <t>Ellingsen 2014 don't specify the polymerization method, here suspension polymerization was assumed</t>
  </si>
  <si>
    <t>polyvinylchloride, suspension polymerised</t>
  </si>
  <si>
    <t>f05e0c6e300f7625b028184e178b8940</t>
  </si>
  <si>
    <t>193066a770c19cd70c0bbd569cac241c</t>
  </si>
  <si>
    <t>f1e38682ea4c91fa2b012cd0ac83b960</t>
  </si>
  <si>
    <t>market for ethylene carbonate</t>
  </si>
  <si>
    <t>ethylene carbonate</t>
  </si>
  <si>
    <t>market for lithium hexafluorophosphate</t>
  </si>
  <si>
    <t>lithium hexafluorophosphate</t>
  </si>
  <si>
    <t>0b22f7b8d0063e18fa013f884185c677</t>
  </si>
  <si>
    <t>End-busbar aluminum</t>
  </si>
  <si>
    <t>End-busbar copper</t>
  </si>
  <si>
    <t>Inner frame</t>
  </si>
  <si>
    <t>Module fasteners</t>
  </si>
  <si>
    <t>Module lid</t>
  </si>
  <si>
    <t>Outer frame</t>
  </si>
  <si>
    <t>24cfc476945b0f9da27197821510e899</t>
  </si>
  <si>
    <t>f690d07f93708b7c3039d3da781f4dcc</t>
  </si>
  <si>
    <t>65ea350baea7e133bdb865b7acfe0ff5</t>
  </si>
  <si>
    <t>deae9e4eb5b26a3f21214d886c7799be</t>
  </si>
  <si>
    <t>market for anodising, aluminium sheet</t>
  </si>
  <si>
    <t>square meter</t>
  </si>
  <si>
    <t>anodising, aluminium sheet</t>
  </si>
  <si>
    <t>market for nylon 6-6, glass-filled</t>
  </si>
  <si>
    <t>nylon 6-6, glass-filled</t>
  </si>
  <si>
    <t>75660369e43fb42a1604bbedac268b24</t>
  </si>
  <si>
    <t>market for electronic component, passive, unspecified</t>
  </si>
  <si>
    <t>electronic component, passive, unspecified</t>
  </si>
  <si>
    <t>267ba4fc5f3c1df48c369c35650e563b</t>
  </si>
  <si>
    <t>84ce10d5e5ff409bc1e0b17df3f163dc</t>
  </si>
  <si>
    <t>7921b51ea9bf120745d9fa262fc5188f</t>
  </si>
  <si>
    <t>66d33c5c012e0ba8bcddbad8e3e577f0</t>
  </si>
  <si>
    <t>market for cable, ribbon cable, 20-pin, with plugs</t>
  </si>
  <si>
    <t>cable, ribbon cable, 20-pin, with plugs</t>
  </si>
  <si>
    <t>market for metal working, average for metal product manufacturing</t>
  </si>
  <si>
    <t>metal working, average for metal product manufacturing</t>
  </si>
  <si>
    <t>market for polyphenylene sulfide</t>
  </si>
  <si>
    <t>polyphenylene sulfide</t>
  </si>
  <si>
    <t>market for tin</t>
  </si>
  <si>
    <t>tin</t>
  </si>
  <si>
    <t>8594a373d2c41aae69ed551aeaf6b0da</t>
  </si>
  <si>
    <t>market for aluminium scrap, new</t>
  </si>
  <si>
    <t>aluminium scrap, new</t>
  </si>
  <si>
    <t>50df478fcb80435f93cc2e6081fba40b</t>
  </si>
  <si>
    <t>242e01805b2baf56b0e2663acc55c9e0</t>
  </si>
  <si>
    <t>a7583de34c84bdd20d6f8a2547f9205c</t>
  </si>
  <si>
    <t>market for glass fibre</t>
  </si>
  <si>
    <t>glass fibre</t>
  </si>
  <si>
    <t>market for silicon, electronics grade</t>
  </si>
  <si>
    <t>silicon, electronics grade</t>
  </si>
  <si>
    <t>c3735927f615c190f783182e27c2f9f2</t>
  </si>
  <si>
    <t>15d9a5378ba6ae876173c2eacc9cc78b</t>
  </si>
  <si>
    <t>market for butyl acrylate</t>
  </si>
  <si>
    <t>butyl acrylate</t>
  </si>
  <si>
    <t>Sulfur dioxide</t>
  </si>
  <si>
    <t>Dinitrogen monoxide</t>
  </si>
  <si>
    <t>Particulates, &lt; 2.5 um</t>
  </si>
  <si>
    <t>market for manual dismantling of electric scooter</t>
  </si>
  <si>
    <t>Uses an electric scooter charger from ecoinvent 3.7 as a proxy. Shipping from Guangzhou to Amsterdam (15,900 km). Lorry within Europe (1,000 km).</t>
  </si>
  <si>
    <t>transport, freight, sea, container ship</t>
  </si>
  <si>
    <t>market for transport, freight, lorry 16-32 metric ton, EURO5</t>
  </si>
  <si>
    <t>transport, freight, lorry 16-32 metric ton, EURO5</t>
  </si>
  <si>
    <t>market for polyethylene, high density, granulate</t>
  </si>
  <si>
    <t>road vehicle factory</t>
  </si>
  <si>
    <t>road vehicle factory construction</t>
  </si>
  <si>
    <t>municipal solid waste</t>
  </si>
  <si>
    <t>market group for municipal solid waste</t>
  </si>
  <si>
    <t>market group for heat, district or industrial, natural gas</t>
  </si>
  <si>
    <t>market for aluminium, wrought alloy</t>
  </si>
  <si>
    <t>wire drawing, steel</t>
  </si>
  <si>
    <t>section bar extrusion, aluminium</t>
  </si>
  <si>
    <t>electric motor, vehicle</t>
  </si>
  <si>
    <t>market for electric motor, vehicle</t>
  </si>
  <si>
    <t>heat, district or industrial, other than natural gas</t>
  </si>
  <si>
    <t>market group for heat, district or industrial, other than natural gas</t>
  </si>
  <si>
    <t>tap water</t>
  </si>
  <si>
    <t>market group for tap water</t>
  </si>
  <si>
    <t>aluminium, cast alloy</t>
  </si>
  <si>
    <t>market for aluminium, cast alloy</t>
  </si>
  <si>
    <t>polyurethane, flexible foam</t>
  </si>
  <si>
    <t>market for polyurethane, flexible foam</t>
  </si>
  <si>
    <t>steel, chromium steel 18/8, hot rolled</t>
  </si>
  <si>
    <t>market for steel, chromium steel 18/8, hot rolled</t>
  </si>
  <si>
    <t>powder coat, aluminium sheet</t>
  </si>
  <si>
    <t>powder coating, aluminium sheet</t>
  </si>
  <si>
    <t>chromium steel removed by turning, average, conventional</t>
  </si>
  <si>
    <t>chromium steel turning, average, conventional</t>
  </si>
  <si>
    <t>meter</t>
  </si>
  <si>
    <t>welding, arc, aluminium</t>
  </si>
  <si>
    <t>wastewater, average</t>
  </si>
  <si>
    <t>market for wastewater, average</t>
  </si>
  <si>
    <t>Water</t>
  </si>
  <si>
    <t>This is a copy of the ecoinvent dataset "electric bicycle production" where the battery and the electric motor have been removed.</t>
  </si>
  <si>
    <t>electric bicycle, without battery and motor</t>
  </si>
  <si>
    <t>electric bicycle production, without battery and motor</t>
  </si>
  <si>
    <t>maintenance, electric bicycle, without battery</t>
  </si>
  <si>
    <t>aluminium alloy, AlMg3</t>
  </si>
  <si>
    <t>market for aluminium alloy, AlMg3</t>
  </si>
  <si>
    <t>waste plastic, mixture</t>
  </si>
  <si>
    <t>market for waste plastic, mixture</t>
  </si>
  <si>
    <t>waste rubber, unspecified</t>
  </si>
  <si>
    <t>market for waste rubber, unspecified</t>
  </si>
  <si>
    <t>market for tap water</t>
  </si>
  <si>
    <t>ecoinvent</t>
  </si>
  <si>
    <t>This is a copy of the ecoinvent dataset "maintenance, electric bicycle" where the battery replacement and treatment has been removed.</t>
  </si>
  <si>
    <t>origin</t>
  </si>
  <si>
    <t>China</t>
  </si>
  <si>
    <t>distance by ship [km]</t>
  </si>
  <si>
    <t>distance by truck [km]</t>
  </si>
  <si>
    <t>Bicycle, electric (&lt;25 km/h)</t>
  </si>
  <si>
    <t>Bicycle, electric (&lt;45 km/h)</t>
  </si>
  <si>
    <t>Tram, electric</t>
  </si>
  <si>
    <t>Motorbike, electric, &lt;4kW</t>
  </si>
  <si>
    <t>Motorbike, electric, 4-11kW</t>
  </si>
  <si>
    <t>Motorbike, electric, 11-35kW</t>
  </si>
  <si>
    <t>Motorbike, electric, &gt;35kW</t>
  </si>
  <si>
    <t>Bicycle, electric, cargo bike</t>
  </si>
  <si>
    <t>Bicycle, electric, cargo bike - 2020 - CH</t>
  </si>
  <si>
    <t>Bicycle, electric, cargo bike - 2030 - CH</t>
  </si>
  <si>
    <t>Bicycle, electric, cargo bike - 2040 - CH</t>
  </si>
  <si>
    <t>Bicycle, electric, cargo bike - 2050 - CH</t>
  </si>
  <si>
    <t>Bicycle, electric (&lt;25 km/h) - 2020 - CH</t>
  </si>
  <si>
    <t>Bicycle, electric (&lt;25 km/h) - 2030 - CH</t>
  </si>
  <si>
    <t>Bicycle, electric (&lt;25 km/h) - 2040 - CH</t>
  </si>
  <si>
    <t>Bicycle, electric (&lt;25 km/h) - 2050 - CH</t>
  </si>
  <si>
    <t>Bicycle, electric (&lt;45 km/h) - 2020 - CH</t>
  </si>
  <si>
    <t>Bicycle, electric (&lt;45 km/h) - 2030 - CH</t>
  </si>
  <si>
    <t>Bicycle, electric (&lt;45 km/h) - 2040 - CH</t>
  </si>
  <si>
    <t>Bicycle, electric (&lt;45 km/h) - 2050 - CH</t>
  </si>
  <si>
    <t>Tram, electric - 2020 - CH</t>
  </si>
  <si>
    <t>Tram, electric - 2030 - CH</t>
  </si>
  <si>
    <t>Tram, electric - 2040 - CH</t>
  </si>
  <si>
    <t>Tram, electric - 2050 - CH</t>
  </si>
  <si>
    <t>Motorbike, electric, &lt;4kW - 2020 - CH</t>
  </si>
  <si>
    <t>Motorbike, electric, &lt;4kW - 2030 - CH</t>
  </si>
  <si>
    <t>Motorbike, electric, &lt;4kW - 2040 - CH</t>
  </si>
  <si>
    <t>Motorbike, electric, &lt;4kW - 2050 - CH</t>
  </si>
  <si>
    <t>Motorbike, electric, 4-11kW - 2020 - CH</t>
  </si>
  <si>
    <t>Motorbike, electric, 4-11kW - 2030 - CH</t>
  </si>
  <si>
    <t>Motorbike, electric, 4-11kW - 2040 - CH</t>
  </si>
  <si>
    <t>Motorbike, electric, 4-11kW - 2050 - CH</t>
  </si>
  <si>
    <t>Motorbike, electric, 11-35kW - 2020 - CH</t>
  </si>
  <si>
    <t>Motorbike, electric, 11-35kW - 2030 - CH</t>
  </si>
  <si>
    <t>Motorbike, electric, 11-35kW - 2040 - CH</t>
  </si>
  <si>
    <t>Motorbike, electric, 11-35kW - 2050 - CH</t>
  </si>
  <si>
    <t>Motorbike, electric, &gt;35kW - 2020 - CH</t>
  </si>
  <si>
    <t>Motorbike, electric, &gt;35kW - 2030 - CH</t>
  </si>
  <si>
    <t>Motorbike, electric, &gt;35kW - 2040 - CH</t>
  </si>
  <si>
    <t>Motorbike, electric, &gt;35kW - 2050 - CH</t>
  </si>
  <si>
    <t>Electric powertrain mass [kg]</t>
  </si>
  <si>
    <t>Europe</t>
  </si>
  <si>
    <t>Title</t>
  </si>
  <si>
    <t>Authors</t>
  </si>
  <si>
    <t>Reviewed by</t>
  </si>
  <si>
    <t>Cox B. (INFRAS)</t>
  </si>
  <si>
    <t>Adapted from</t>
  </si>
  <si>
    <t>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t>
  </si>
  <si>
    <t>2021 UVEK life-cycle inventories update of on-road vehicles</t>
  </si>
  <si>
    <t>Vehicles' specifications and definitions are listed in "vehicles specifications".</t>
  </si>
  <si>
    <t>Any modification in "vehicles specifications" is automatically reflected in the unit processes.</t>
  </si>
  <si>
    <t>treatment of used tram</t>
  </si>
  <si>
    <t>used tram</t>
  </si>
  <si>
    <t>Road/track decommissioning [m*year/vkm or pkm]</t>
  </si>
  <si>
    <t>decommissioned tram track</t>
  </si>
  <si>
    <t>treatment of decommissioned tram track</t>
  </si>
  <si>
    <t>treatment of used bicycle</t>
  </si>
  <si>
    <t>used bicycle</t>
  </si>
  <si>
    <t>market for refrigerant R134a</t>
  </si>
  <si>
    <t>refrigerant R134a</t>
  </si>
  <si>
    <t>Air conditioning [kg/pkm]</t>
  </si>
  <si>
    <t>Ethane, 1,1,1,2-tetrafluoro-, HFC-134a</t>
  </si>
  <si>
    <t>R134a leakage</t>
  </si>
  <si>
    <t>Particulates, &gt; 10 um</t>
  </si>
  <si>
    <t>Copper</t>
  </si>
  <si>
    <t>Chromium</t>
  </si>
  <si>
    <t>Nickel</t>
  </si>
  <si>
    <t>Contact line abrasion. Source: https://iir-de-2020.wikidot.com/1-a-3-c-railways</t>
  </si>
  <si>
    <t>Wheels on rail abrasion.  Source: https://iir-de-2020.wikidot.com/1-a-3-c-railways</t>
  </si>
  <si>
    <t>Brake wear abrasion. Source: https://iir-de-2020.wikidot.com/1-a-3-c-railways</t>
  </si>
  <si>
    <t>ei 3.7</t>
  </si>
  <si>
    <t>Shipping to market included?</t>
  </si>
  <si>
    <t>End Of Life treatment included?</t>
  </si>
  <si>
    <t>electric bicycle production</t>
  </si>
  <si>
    <t>electric scooter production</t>
  </si>
  <si>
    <t>uvek</t>
  </si>
  <si>
    <t>motorbike production</t>
  </si>
  <si>
    <t>electric motorbike production</t>
  </si>
  <si>
    <t>Tire wear emissions (kg emission/vehicle/km)</t>
  </si>
  <si>
    <t>Brake wear emissions (kg emission/vehicle/km)</t>
  </si>
  <si>
    <t>Road wear emissions (kg emission/vehicle/km)</t>
  </si>
  <si>
    <t>Tabs starting with "lci-" contain unit processes to be consumed by brightway2. The inventories should link to ecoinvent 3.7, cut-off.</t>
  </si>
  <si>
    <t>Last revision</t>
  </si>
  <si>
    <r>
      <t xml:space="preserve">Unit processes consist of </t>
    </r>
    <r>
      <rPr>
        <u/>
        <sz val="11"/>
        <color indexed="8"/>
        <rFont val="Calibri"/>
        <family val="2"/>
      </rPr>
      <t>vehicles datasets</t>
    </r>
    <r>
      <rPr>
        <sz val="11"/>
        <color theme="1"/>
        <rFont val="Calibri"/>
        <family val="2"/>
        <scheme val="minor"/>
      </rPr>
      <t xml:space="preserve"> on the one hand (with the unit "unit"), and </t>
    </r>
    <r>
      <rPr>
        <u/>
        <sz val="11"/>
        <color indexed="8"/>
        <rFont val="Calibri"/>
        <family val="2"/>
      </rPr>
      <t>transport activity datasets</t>
    </r>
    <r>
      <rPr>
        <sz val="11"/>
        <color theme="1"/>
        <rFont val="Calibri"/>
        <family val="2"/>
        <scheme val="minor"/>
      </rPr>
      <t xml:space="preserve"> on the other (with the unit "kilometer" or "person-kilometer").</t>
    </r>
  </si>
  <si>
    <t>For some vehicles, the disposal treatment is included in the vehicle production dataset. For example, the dataset "bicycle production" contains the EoL treatment. In case the EoL treatment is not icnluded in the vehicle production dataset, it is added within the vehicle dataset.</t>
  </si>
  <si>
    <t>Finally, the transport to market is also added in the vehicle dataset, where most of the vehicles' components are assumed to be produced and assembled in Asia and shipped to Europe, to be distributed afterwards in Switzerland.</t>
  </si>
  <si>
    <t>Ethane</t>
  </si>
  <si>
    <t>Propane</t>
  </si>
  <si>
    <t>Butane</t>
  </si>
  <si>
    <t>Pentane</t>
  </si>
  <si>
    <t>Hexane</t>
  </si>
  <si>
    <t>Cyclohexane</t>
  </si>
  <si>
    <t>Heptane</t>
  </si>
  <si>
    <t>Ethene</t>
  </si>
  <si>
    <t>Propene</t>
  </si>
  <si>
    <t>1-Pentene</t>
  </si>
  <si>
    <t>Toluene</t>
  </si>
  <si>
    <t>m-Xylene</t>
  </si>
  <si>
    <t>o-Xylene</t>
  </si>
  <si>
    <t>Formaldehyde</t>
  </si>
  <si>
    <t>Acetaldehyde</t>
  </si>
  <si>
    <t>Benzaldehyde</t>
  </si>
  <si>
    <t>Acetone</t>
  </si>
  <si>
    <t>Acrolein</t>
  </si>
  <si>
    <t>Styrene</t>
  </si>
  <si>
    <t>Methyl ethyl ketone</t>
  </si>
  <si>
    <t>PAHs</t>
  </si>
  <si>
    <t>Arsenic</t>
  </si>
  <si>
    <t>Selenium</t>
  </si>
  <si>
    <t>Zinc</t>
  </si>
  <si>
    <t>Mercury</t>
  </si>
  <si>
    <t>Cadmium</t>
  </si>
  <si>
    <t>Chromium VI</t>
  </si>
  <si>
    <t>PAH, polycyclic aromatic hydrocarbons</t>
  </si>
  <si>
    <t>Scooter, electric, 4-11kW</t>
  </si>
  <si>
    <t>Scooter, electric, 4-11kW - 2020 - CH</t>
  </si>
  <si>
    <t>Scooter, electric, 4-11kW - 2030 - CH</t>
  </si>
  <si>
    <t>Scooter, electric, 4-11kW - 2040 - CH</t>
  </si>
  <si>
    <t>Scooter, electric, 4-11kW - 2050 - CH</t>
  </si>
  <si>
    <t>Scooter, gasoline, 4-11kW, EURO-3</t>
  </si>
  <si>
    <t>Scooter, gasoline, 4-11kW, EURO-4</t>
  </si>
  <si>
    <t>Scooter, gasoline, 4-11kW, EURO-5</t>
  </si>
  <si>
    <t>Scooter, gasoline, 4-11kW, EURO-3 - 2006 - CH</t>
  </si>
  <si>
    <t>Scooter, gasoline, 4-11kW, EURO-4 - 2016 - CH</t>
  </si>
  <si>
    <t>Scooter, gasoline, 4-11kW, EURO-5 - 2020 - CH</t>
  </si>
  <si>
    <t>Scooter, gasoline, 4-11kW, EURO-5 - 2030 - CH</t>
  </si>
  <si>
    <t>Scooter, gasoline, 4-11kW, EURO-5 - 2040 - CH</t>
  </si>
  <si>
    <t>Scooter, gasoline, 4-11kW, EURO-5 - 2050 - CH</t>
  </si>
  <si>
    <t>Moped, gasoline, &lt;4kW, EURO-3</t>
  </si>
  <si>
    <t>Moped, gasoline, &lt;4kW, EURO-4</t>
  </si>
  <si>
    <t>Moped, gasoline, &lt;4kW, EURO-5</t>
  </si>
  <si>
    <t>Moped, gasoline, &lt;4kW, EURO-3 - 2006 - CH</t>
  </si>
  <si>
    <t>Moped, gasoline, &lt;4kW, EURO-4 - 2016 - CH</t>
  </si>
  <si>
    <t>Moped, gasoline, &lt;4kW, EURO-5 - 2020 - CH</t>
  </si>
  <si>
    <t>Moped, gasoline, &lt;4kW, EURO-5 - 2030 - CH</t>
  </si>
  <si>
    <t>Moped, gasoline, &lt;4kW, EURO-5 - 2040 - CH</t>
  </si>
  <si>
    <t>Moped, gasoline, &lt;4kW, EURO-5 - 2050 - CH</t>
  </si>
  <si>
    <t>battery capacity available</t>
  </si>
  <si>
    <t>petrol blending for two-stroke engines</t>
  </si>
  <si>
    <t>petrol, two-stroke blend</t>
  </si>
  <si>
    <t>charging station, 100W</t>
  </si>
  <si>
    <t>Uses a fraction of an electric scooter charger from ecoinvent 3.7 as a proxy. Weight: approx. 0.5 kg. Power output: approx: 100W. Shipping from Guangzhou to Amsterdam (15,900 km). Lorry within Europe (1,000 km).</t>
  </si>
  <si>
    <t>NMVOC</t>
  </si>
  <si>
    <t>Methyl</t>
  </si>
  <si>
    <t>Mopeds 2-stroke &lt;50 cm³</t>
  </si>
  <si>
    <t>Mopeds 4-stroke &lt;50 cm³</t>
  </si>
  <si>
    <t>Motorcycles 2-stroke &gt;50 cm³</t>
  </si>
  <si>
    <t>Motorcycles 4-stroke &lt;250 cm³</t>
  </si>
  <si>
    <t>Motorcycles 4-stroke 250 - 750 cm³</t>
  </si>
  <si>
    <t>Motorcycles 4-stroke &gt;750 cm³</t>
  </si>
  <si>
    <t>VOC</t>
  </si>
  <si>
    <t>g/MJ</t>
  </si>
  <si>
    <t>Sacchi R. (PSI), Bauer C. (PSI), 2021</t>
  </si>
  <si>
    <t>source:</t>
  </si>
  <si>
    <t>https://www.eea.europa.eu/publications/emep-eea-guidebook-2019/part-b-sectoral-guidance-chapters/1-energy/1-a-combustion/1-a-3-b-i/view</t>
  </si>
  <si>
    <t>Vehicle datasets typically entail the manufacture of the vehicle (and the energy storage unit), its supply to the intended market and the disposal of the vehicle.</t>
  </si>
  <si>
    <t>Transport activity datasets typically entail the share of the vehicle necessary to operate a transport operation over 1 km (1 over its lifetime in kilometers), the fuel (or electricity) supply, the exhaust and non-exhaust emissions, the maintenance of the vehicle as well as the construction and maintenance of the road.</t>
  </si>
  <si>
    <t>Scooter, electric, &lt;4kW</t>
  </si>
  <si>
    <t>Scooter, gasoline, &lt;4kW, EURO-3</t>
  </si>
  <si>
    <t>Scooter, gasoline, &lt;4kW, EURO-4</t>
  </si>
  <si>
    <t>Scooter, gasoline, &lt;4kW, EURO-5</t>
  </si>
  <si>
    <t>Scooter, electric, &lt;4kW - 2020 - CH</t>
  </si>
  <si>
    <t>Scooter, electric, &lt;4kW - 2030 - CH</t>
  </si>
  <si>
    <t>Scooter, electric, &lt;4kW - 2040 - CH</t>
  </si>
  <si>
    <t>Scooter, electric, &lt;4kW - 2050 - CH</t>
  </si>
  <si>
    <t>Scooter, gasoline, &lt;4kW, EURO-3 - 2006 - CH</t>
  </si>
  <si>
    <t>Scooter, gasoline, &lt;4kW, EURO-4 - 2016 - CH</t>
  </si>
  <si>
    <t>Scooter, gasoline, &lt;4kW, EURO-5 - 2020 - CH</t>
  </si>
  <si>
    <t>Scooter, gasoline, &lt;4kW, EURO-5 - 2030 - CH</t>
  </si>
  <si>
    <t>Scooter, gasoline, &lt;4kW, EURO-5 - 2040 - CH</t>
  </si>
  <si>
    <t>Scooter, gasoline, &lt;4kW, EURO-5 - 2050 - CH</t>
  </si>
  <si>
    <t>Kick Scooter, electric, &lt;1kW</t>
  </si>
  <si>
    <t>Kick Scooter, electric, &lt;1kW - 2020 - CH</t>
  </si>
  <si>
    <t>Kick Scooter, electric, &lt;1kW - 2030 - CH</t>
  </si>
  <si>
    <t>Kick Scooter, electric, &lt;1kW - 2040 - CH</t>
  </si>
  <si>
    <t>Kick Scooter, electric, &lt;1kW - 2050 - CH</t>
  </si>
  <si>
    <t>All traffic situations</t>
  </si>
  <si>
    <t>Motorbike, gasoline, 11-35kW, EURO-3</t>
  </si>
  <si>
    <t>Motorbike, gasoline, 11-35kW, EURO-4</t>
  </si>
  <si>
    <t>Motorbike, gasoline, 11-35kW, EURO-5</t>
  </si>
  <si>
    <t>Motorbike, gasoline, 11-35kW, EURO-3 - 2006 - CH</t>
  </si>
  <si>
    <t>Motorbike, gasoline, 11-35kW, EURO-4 - 2016 - CH</t>
  </si>
  <si>
    <t>Motorbike, gasoline, 11-35kW, EURO-5 - 2020 - CH</t>
  </si>
  <si>
    <t>Motorbike, gasoline, 11-35kW, EURO-5 - 2030 - CH</t>
  </si>
  <si>
    <t>Motorbike, gasoline, 11-35kW, EURO-5 - 2040 - CH</t>
  </si>
  <si>
    <t>Motorbike, gasoline, 11-35kW, EURO-5 - 2050 - CH</t>
  </si>
  <si>
    <t>Motorbike, gasoline, &gt;35kW, EURO-3</t>
  </si>
  <si>
    <t>Motorbike, gasoline, &gt;35kW, EURO-4</t>
  </si>
  <si>
    <t>Motorbike, gasoline, &gt;35kW, EURO-5</t>
  </si>
  <si>
    <t>Motorbike, gasoline, &gt;35kW, EURO-3 - 2006 - CH</t>
  </si>
  <si>
    <t>Motorbike, gasoline, &gt;35kW, EURO-4 - 2016 - CH</t>
  </si>
  <si>
    <t>Motorbike, gasoline, &gt;35kW, EURO-5 - 2020 - CH</t>
  </si>
  <si>
    <t>Motorbike, gasoline, &gt;35kW, EURO-5 - 2030 - CH</t>
  </si>
  <si>
    <t>Motorbike, gasoline, &gt;35kW, EURO-5 - 2040 - CH</t>
  </si>
  <si>
    <t>Motorbike, gasoline, &gt;35kW, EURO-5 - 2050 - CH</t>
  </si>
  <si>
    <t>Motorbike, gasoline, 4-11kW, EURO-3</t>
  </si>
  <si>
    <t>Motorbike, gasoline, 4-11kW, EURO-4</t>
  </si>
  <si>
    <t>Motorbike, gasoline, 4-11kW, EURO-5</t>
  </si>
  <si>
    <t>Motorbike, gasoline, 4-11kW, EURO-3 - 2006 - CH</t>
  </si>
  <si>
    <t>Motorbike, gasoline, 4-11kW, EURO-4 - 2016 - CH</t>
  </si>
  <si>
    <t>Motorbike, gasoline, 4-11kW, EURO-5 - 2020 - CH</t>
  </si>
  <si>
    <t>Motorbike, gasoline, 4-11kW, EURO-5 - 2030 - CH</t>
  </si>
  <si>
    <t>Motorbike, gasoline, 4-11kW, EURO-5 - 2040 - CH</t>
  </si>
  <si>
    <t>Motorbike, gasoline, 4-11kW, EURO-5 - 2050 - 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</si>
</sst>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000"/>
    <numFmt numFmtId="166" formatCode="0.000"/>
    <numFmt numFmtId="167" formatCode="0.00000"/>
    <numFmt numFmtId="168" formatCode="0.000000000"/>
    <numFmt numFmtId="169" formatCode="0.0E+00"/>
  </numFmts>
  <fonts count="8" x14ac:knownFonts="1">
    <font>
      <sz val="11"/>
      <color theme="1"/>
      <name val="Calibri"/>
      <family val="2"/>
      <scheme val="minor"/>
    </font>
    <font>
      <sz val="9"/>
      <color indexed="81"/>
      <name val="Tahoma"/>
      <family val="2"/>
    </font>
    <font>
      <b/>
      <sz val="9"/>
      <color indexed="81"/>
      <name val="Tahoma"/>
      <family val="2"/>
    </font>
    <font>
      <u/>
      <sz val="11"/>
      <color indexed="8"/>
      <name val="Calibri"/>
      <family val="2"/>
    </font>
    <font>
      <sz val="11"/>
      <color theme="1"/>
      <name val="Calibri"/>
      <family val="2"/>
      <scheme val="minor"/>
    </font>
    <font>
      <b/>
      <sz val="11"/>
      <color theme="1"/>
      <name val="Calibri"/>
      <family val="2"/>
      <scheme val="minor"/>
    </font>
    <font>
      <b/>
      <sz val="12"/>
      <color theme="1"/>
      <name val="Calibri"/>
      <family val="2"/>
      <scheme val="minor"/>
    </font>
    <font>
      <sz val="10"/>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4" fillId="0" borderId="0" applyFont="0" applyFill="0" applyBorder="0" applyAlignment="0" applyProtection="0"/>
  </cellStyleXfs>
  <cellXfs count="35">
    <xf numFmtId="0" fontId="0" fillId="0" borderId="0" xfId="0"/>
    <xf numFmtId="9" fontId="4" fillId="0" borderId="0" xfId="1" applyFont="1"/>
    <xf numFmtId="1" fontId="0" fillId="0" borderId="0" xfId="0" applyNumberFormat="1"/>
    <xf numFmtId="164" fontId="0" fillId="0" borderId="0" xfId="0" applyNumberFormat="1"/>
    <xf numFmtId="165" fontId="0" fillId="0" borderId="0" xfId="0" applyNumberFormat="1"/>
    <xf numFmtId="166" fontId="0" fillId="0" borderId="0" xfId="0" applyNumberFormat="1"/>
    <xf numFmtId="2" fontId="0" fillId="0" borderId="0" xfId="0" applyNumberFormat="1"/>
    <xf numFmtId="11" fontId="0" fillId="0" borderId="0" xfId="0" applyNumberFormat="1"/>
    <xf numFmtId="0" fontId="0" fillId="0" borderId="0" xfId="0" applyFill="1"/>
    <xf numFmtId="0" fontId="5" fillId="0" borderId="0" xfId="0" applyFont="1"/>
    <xf numFmtId="164" fontId="5" fillId="0" borderId="0" xfId="0" applyNumberFormat="1" applyFont="1"/>
    <xf numFmtId="0" fontId="6" fillId="0" borderId="0" xfId="0" applyFont="1"/>
    <xf numFmtId="0" fontId="0" fillId="0" borderId="0" xfId="0" applyFont="1"/>
    <xf numFmtId="0" fontId="0" fillId="0" borderId="0" xfId="0" applyAlignment="1"/>
    <xf numFmtId="165" fontId="0" fillId="0" borderId="0" xfId="0" applyNumberFormat="1" applyFont="1"/>
    <xf numFmtId="11" fontId="0" fillId="0" borderId="0" xfId="0" applyNumberFormat="1" applyFont="1"/>
    <xf numFmtId="167" fontId="0" fillId="0" borderId="0" xfId="0" applyNumberFormat="1" applyFont="1"/>
    <xf numFmtId="168" fontId="0" fillId="0" borderId="0" xfId="0" applyNumberFormat="1" applyFont="1"/>
    <xf numFmtId="1" fontId="0" fillId="0" borderId="0" xfId="0" applyNumberFormat="1" applyFont="1"/>
    <xf numFmtId="0" fontId="7" fillId="0" borderId="0" xfId="0" applyFont="1"/>
    <xf numFmtId="166" fontId="0" fillId="0" borderId="0" xfId="0" applyNumberFormat="1" applyFont="1"/>
    <xf numFmtId="0" fontId="0" fillId="0" borderId="0" xfId="0"/>
    <xf numFmtId="0" fontId="7" fillId="0" borderId="0" xfId="0" applyFont="1"/>
    <xf numFmtId="164" fontId="0" fillId="0" borderId="0" xfId="0" applyNumberFormat="1" applyFont="1"/>
    <xf numFmtId="169" fontId="0" fillId="0" borderId="0" xfId="0" applyNumberFormat="1" applyFont="1"/>
    <xf numFmtId="14" fontId="0" fillId="0" borderId="0" xfId="0" applyNumberFormat="1"/>
    <xf numFmtId="10" fontId="0" fillId="0" borderId="0" xfId="0" applyNumberFormat="1"/>
    <xf numFmtId="11" fontId="4" fillId="0" borderId="0" xfId="1" applyNumberFormat="1" applyFont="1"/>
    <xf numFmtId="166" fontId="0" fillId="0" borderId="0" xfId="0" applyNumberFormat="1" applyFill="1"/>
    <xf numFmtId="2" fontId="0" fillId="0" borderId="0" xfId="0" applyNumberFormat="1" applyFill="1"/>
    <xf numFmtId="165" fontId="0" fillId="0" borderId="0" xfId="0" applyNumberFormat="1" applyFill="1"/>
    <xf numFmtId="11" fontId="4" fillId="0" borderId="0" xfId="1" applyNumberFormat="1" applyFont="1" applyFill="1"/>
    <xf numFmtId="11" fontId="0" fillId="0" borderId="0" xfId="0" applyNumberFormat="1" applyFill="1"/>
    <xf numFmtId="10" fontId="0" fillId="0" borderId="0" xfId="0" applyNumberFormat="1" applyFill="1"/>
    <xf numFmtId="0" fontId="0" fillId="0" borderId="0" xfId="0"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A14" sqref="A14"/>
    </sheetView>
  </sheetViews>
  <sheetFormatPr defaultRowHeight="14.4" x14ac:dyDescent="0.3"/>
  <cols>
    <col min="1" max="1" width="12.21875" bestFit="1" customWidth="1"/>
    <col min="2" max="2" width="10.109375" bestFit="1" customWidth="1"/>
  </cols>
  <sheetData>
    <row r="1" spans="1:2" x14ac:dyDescent="0.3">
      <c r="A1" t="s">
        <v>69</v>
      </c>
    </row>
    <row r="2" spans="1:2" x14ac:dyDescent="0.3">
      <c r="A2" s="9" t="s">
        <v>559</v>
      </c>
      <c r="B2" s="9" t="s">
        <v>565</v>
      </c>
    </row>
    <row r="3" spans="1:2" x14ac:dyDescent="0.3">
      <c r="A3" t="s">
        <v>560</v>
      </c>
      <c r="B3" t="s">
        <v>669</v>
      </c>
    </row>
    <row r="4" spans="1:2" x14ac:dyDescent="0.3">
      <c r="A4" t="s">
        <v>561</v>
      </c>
      <c r="B4" t="s">
        <v>562</v>
      </c>
    </row>
    <row r="5" spans="1:2" x14ac:dyDescent="0.3">
      <c r="A5" t="s">
        <v>563</v>
      </c>
      <c r="B5" s="21" t="s">
        <v>564</v>
      </c>
    </row>
    <row r="6" spans="1:2" x14ac:dyDescent="0.3">
      <c r="A6" t="s">
        <v>599</v>
      </c>
      <c r="B6" s="25">
        <v>44245</v>
      </c>
    </row>
    <row r="7" spans="1:2" s="21" customFormat="1" x14ac:dyDescent="0.3"/>
    <row r="8" spans="1:2" x14ac:dyDescent="0.3">
      <c r="A8" t="s">
        <v>566</v>
      </c>
    </row>
    <row r="9" spans="1:2" x14ac:dyDescent="0.3">
      <c r="A9" t="s">
        <v>598</v>
      </c>
    </row>
    <row r="10" spans="1:2" x14ac:dyDescent="0.3">
      <c r="A10" t="s">
        <v>567</v>
      </c>
    </row>
    <row r="11" spans="1:2" x14ac:dyDescent="0.3">
      <c r="A11" t="s">
        <v>600</v>
      </c>
    </row>
    <row r="12" spans="1:2" x14ac:dyDescent="0.3">
      <c r="A12" t="s">
        <v>672</v>
      </c>
    </row>
    <row r="13" spans="1:2" x14ac:dyDescent="0.3">
      <c r="A13" t="s">
        <v>673</v>
      </c>
    </row>
    <row r="14" spans="1:2" x14ac:dyDescent="0.3">
      <c r="A14" t="s">
        <v>601</v>
      </c>
    </row>
    <row r="15" spans="1:2" x14ac:dyDescent="0.3">
      <c r="A15" t="s">
        <v>602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3"/>
  <sheetViews>
    <sheetView topLeftCell="A187" workbookViewId="0">
      <selection activeCell="B195" sqref="B195"/>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electric, 4-11kW, 2020</v>
      </c>
    </row>
    <row r="2" spans="1:2" x14ac:dyDescent="0.3">
      <c r="A2" t="s">
        <v>73</v>
      </c>
      <c r="B2" t="s">
        <v>37</v>
      </c>
    </row>
    <row r="3" spans="1:2" x14ac:dyDescent="0.3">
      <c r="A3" t="s">
        <v>87</v>
      </c>
      <c r="B3" t="s">
        <v>521</v>
      </c>
    </row>
    <row r="4" spans="1:2" x14ac:dyDescent="0.3">
      <c r="A4" t="s">
        <v>88</v>
      </c>
      <c r="B4" s="12"/>
    </row>
    <row r="5" spans="1:2" x14ac:dyDescent="0.3">
      <c r="A5" t="s">
        <v>89</v>
      </c>
      <c r="B5" s="12">
        <v>2020</v>
      </c>
    </row>
    <row r="6" spans="1:2" x14ac:dyDescent="0.3">
      <c r="A6" t="s">
        <v>131</v>
      </c>
      <c r="B6" s="12" t="str">
        <f>B3&amp;" - "&amp;B5&amp;" - "&amp;B2</f>
        <v>Motorbike, electric, 4-11kW - 2020 - CH</v>
      </c>
    </row>
    <row r="7" spans="1:2" x14ac:dyDescent="0.3">
      <c r="A7" t="s">
        <v>74</v>
      </c>
      <c r="B7" t="str">
        <f>B3</f>
        <v>Motorbike, electric, 4-11kW</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39800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0.79600000000000004</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2731</v>
      </c>
    </row>
    <row r="16" spans="1:2" x14ac:dyDescent="0.3">
      <c r="A16" t="s">
        <v>137</v>
      </c>
      <c r="B16" s="2">
        <f>INDEX('vehicles specifications'!$B$3:$CK$86,MATCH(B6,'vehicles specifications'!$A$3:$A$86,0),MATCH("Curb mass [kg]",'vehicles specifications'!$B$2:$CK$2,0))</f>
        <v>103.63382696032849</v>
      </c>
    </row>
    <row r="17" spans="1:8" x14ac:dyDescent="0.3">
      <c r="A17" t="s">
        <v>138</v>
      </c>
      <c r="B17">
        <f>INDEX('vehicles specifications'!$B$3:$CK$86,MATCH(B6,'vehicles specifications'!$A$3:$A$86,0),MATCH("Power [kW]",'vehicles specifications'!$B$2:$CK$2,0))</f>
        <v>4.7</v>
      </c>
    </row>
    <row r="18" spans="1:8" x14ac:dyDescent="0.3">
      <c r="A18" t="s">
        <v>139</v>
      </c>
      <c r="B18">
        <f>INDEX('vehicles specifications'!$B$3:$CK$86,MATCH(B6,'vehicles specifications'!$A$3:$A$86,0),MATCH("Energy battery mass [kg]",'vehicles specifications'!$B$2:$CK$2,0))</f>
        <v>17.399999999999999</v>
      </c>
    </row>
    <row r="19" spans="1:8" x14ac:dyDescent="0.3">
      <c r="A19" t="s">
        <v>140</v>
      </c>
      <c r="B19">
        <f>INDEX('vehicles specifications'!$B$3:$CK$86,MATCH(B6,'vehicles specifications'!$A$3:$A$86,0),MATCH("Electric energy stored [kWh]",'vehicles specifications'!$B$2:$CK$2,0))</f>
        <v>2.9</v>
      </c>
    </row>
    <row r="20" spans="1:8" s="21" customFormat="1" x14ac:dyDescent="0.3">
      <c r="A20" s="21" t="s">
        <v>654</v>
      </c>
      <c r="B20" s="21">
        <f>INDEX('vehicles specifications'!$B$3:$CK$86,MATCH(B6,'vehicles specifications'!$A$3:$A$86,0),MATCH("Electric energy available [kWh]",'vehicles specifications'!$B$2:$CK$2,0))</f>
        <v>2.3199999999999998</v>
      </c>
    </row>
    <row r="21" spans="1:8" x14ac:dyDescent="0.3">
      <c r="A21" t="s">
        <v>143</v>
      </c>
      <c r="B21" s="2">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45.890109890109891</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4.7 kW. Lifetime: 39800 km. Annual kilometers: 2731 km. Number of passengers: 1.1. Curb mass: 103.6 kg. Lightweighting of glider: 0%. Emission standard: None. Service visits throughout lifetime: 0.8. Range: 46 km. Battery capacity: 2.9 kWh. Available battery capacity: 2.32 kWh. Battery mass: 17.4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Motorbike, electric, 4-11kW, 2020</v>
      </c>
      <c r="B32" s="23">
        <v>1</v>
      </c>
      <c r="C32" s="12" t="str">
        <f>B2</f>
        <v>CH</v>
      </c>
      <c r="D32" s="12" t="str">
        <f>B9</f>
        <v>unit</v>
      </c>
      <c r="E32" s="12"/>
      <c r="F32" s="12" t="s">
        <v>85</v>
      </c>
      <c r="G32" s="12" t="s">
        <v>86</v>
      </c>
      <c r="H32" s="12" t="str">
        <f>B3</f>
        <v>Motorbike, electric, 4-11kW</v>
      </c>
    </row>
    <row r="33" spans="1:8" x14ac:dyDescent="0.3">
      <c r="A33" s="12" t="str">
        <f>INDEX('ei names mapping'!$B$4:$R$33,MATCH(B3,'ei names mapping'!$A$4:$A$33,0),MATCH(G33,'ei names mapping'!$B$3:$R$3,0))</f>
        <v>market for glider, for electric scooter</v>
      </c>
      <c r="B33" s="23">
        <f>INDEX('vehicles specifications'!$B$3:$CK$86,MATCH(B6,'vehicles specifications'!$A$3:$A$86,0),MATCH(G33,'vehicles specifications'!$B$2:$CK$2,0))*INDEX('ei names mapping'!$B$137:$BK$220,MATCH(B6,'ei names mapping'!$A$137:$A$220,0),MATCH(G33,'ei names mapping'!$B$136:$BK$136,0))</f>
        <v>65.433826960328489</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s="21" customFormat="1" x14ac:dyDescent="0.3">
      <c r="A34" s="12" t="str">
        <f>INDEX('ei names mapping'!$B$4:$R$33,MATCH(B3,'ei names mapping'!$A$4:$A$33,0),MATCH(G34,'ei names mapping'!$B$3:$R$3,0))</f>
        <v>glider lightweighting</v>
      </c>
      <c r="B34" s="23">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23">
        <f>INDEX('vehicles specifications'!$B$3:$CK$86,MATCH(B6,'vehicles specifications'!$A$3:$A$86,0),MATCH(G35,'vehicles specifications'!$B$2:$CK$2,0))*INDEX('ei names mapping'!$B$137:$BK$220,MATCH(B6,'ei names mapping'!$A$137:$A$220,0),MATCH(G35,'ei names mapping'!$B$136:$BK$136,0))</f>
        <v>7.8</v>
      </c>
      <c r="C35" s="12" t="str">
        <f>INDEX('ei names mapping'!$B$38:$R$67,MATCH(B3,'ei names mapping'!$A$4:$A$33,0),MATCH(G35,'ei names mapping'!$B$3:$R$3,0))</f>
        <v>GLO</v>
      </c>
      <c r="D35" s="12" t="str">
        <f>INDEX('ei names mapping'!$B$104:$R$133,MATCH(B3,'ei names mapping'!$A$104:$A$133,0),MATCH(G35,'ei names mapping'!$B$3:$R$3,0))</f>
        <v>kilogram</v>
      </c>
      <c r="E35" s="12"/>
      <c r="F35" s="12" t="s">
        <v>91</v>
      </c>
      <c r="G35"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23">
        <f>INDEX('vehicles specifications'!$B$3:$CK$86,MATCH(B6,'vehicles specifications'!$A$3:$A$86,0),MATCH(G36,'vehicles specifications'!$B$2:$CK$2,0))*INDEX('ei names mapping'!$B$137:$BK$220,MATCH(B6,'ei names mapping'!$A$137:$A$220,0),MATCH(G36,'ei names mapping'!$B$136:$BK$136,0))</f>
        <v>13</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23">
        <f>INDEX('vehicles specifications'!$B$3:$CK$86,MATCH(B6,'vehicles specifications'!$A$3:$A$86,0),MATCH(G37,'vehicles specifications'!$B$2:$CK$2,0))*INDEX('ei names mapping'!$B$137:$BK$220,MATCH(B6,'ei names mapping'!$A$137:$A$220,0),MATCH(G37,'ei names mapping'!$B$136:$BK$136,0))</f>
        <v>28.999999999999996</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23">
        <f>INDEX('vehicles specifications'!$B$3:$CK$86,MATCH(B6,'vehicles specifications'!$A$3:$A$86,0),MATCH(G38,'vehicles specifications'!$B$2:$CK$2,0))*INDEX('ei names mapping'!$B$137:$BK$220,MATCH(B6,'ei names mapping'!$A$137:$A$220,0),MATCH(G38,'ei names mapping'!$B$136:$BK$136,0))</f>
        <v>5.8</v>
      </c>
      <c r="C38" s="12" t="str">
        <f>INDEX('ei names mapping'!$B$38:$R$67,MATCH(B3,'ei names mapping'!$A$4:$A$33,0),MATCH(G38,'ei names mapping'!$B$3:$R$3,0))</f>
        <v>GLO</v>
      </c>
      <c r="D38" s="12" t="str">
        <f>INDEX('ei names mapping'!$B$104:$R$133,MATCH(B3,'ei names mapping'!$A$104:$A$133,0),MATCH(G38,'ei names mapping'!$B$3:$R$3,0))</f>
        <v>kilogram</v>
      </c>
      <c r="E38" s="12"/>
      <c r="F38" s="12" t="s">
        <v>91</v>
      </c>
      <c r="G38"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23">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manual dismantling of used electric scooter</v>
      </c>
      <c r="B40" s="23">
        <f>INDEX('vehicles specifications'!$B$3:$CK$86,MATCH(B6,'vehicles specifications'!$A$3:$A$86,0),MATCH(G40,'vehicles specifications'!$B$2:$CK$2,0))*INDEX('ei names mapping'!$B$137:$BK$220,MATCH(B6,'ei names mapping'!$A$137:$A$220,0),MATCH(G40,'ei names mapping'!$B$136:$BK$136,0))</f>
        <v>65.433826960328489</v>
      </c>
      <c r="C40" s="12" t="str">
        <f>INDEX('ei names mapping'!$B$38:$R$67,MATCH(B3,'ei names mapping'!$A$4:$A$33,0),MATCH(G40,'ei names mapping'!$B$3:$R$3,0))</f>
        <v>GLO</v>
      </c>
      <c r="D40" s="12" t="str">
        <f>INDEX('ei names mapping'!$B$104:$R$133,MATCH(B3,'ei names mapping'!$A$104:$A$133,0),MATCH(G40,'ei names mapping'!$B$3:$R$3,0))</f>
        <v>unit</v>
      </c>
      <c r="E40" s="12"/>
      <c r="F40" s="12" t="s">
        <v>91</v>
      </c>
      <c r="G40"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manual dismantling of used electric scooter</v>
      </c>
      <c r="B41" s="23">
        <f>INDEX('vehicles specifications'!$B$3:$CK$86,MATCH(B6,'vehicles specifications'!$A$3:$A$86,0),MATCH(G41,'vehicles specifications'!$B$2:$CK$2,0))*INDEX('ei names mapping'!$B$137:$BK$220,MATCH(B6,'ei names mapping'!$A$137:$A$220,0),MATCH(G41,'ei names mapping'!$B$136:$BK$136,0))</f>
        <v>20.8</v>
      </c>
      <c r="C41" s="12" t="str">
        <f>INDEX('ei names mapping'!$B$38:$R$67,MATCH(B3,'ei names mapping'!$A$4:$A$33,0),MATCH(G41,'ei names mapping'!$B$3:$R$3,0))</f>
        <v>GLO</v>
      </c>
      <c r="D41" s="12" t="str">
        <f>INDEX('ei names mapping'!$B$104:$R$133,MATCH(B3,'ei names mapping'!$A$104:$A$133,0),MATCH(G41,'ei names mapping'!$B$3:$R$3,0))</f>
        <v>unit</v>
      </c>
      <c r="E41" s="12"/>
      <c r="F41" s="12" t="s">
        <v>91</v>
      </c>
      <c r="G4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23">
        <f>INDEX('vehicles specifications'!$B$3:$CK$86,MATCH(B6,'vehicles specifications'!$A$3:$A$86,0),MATCH(G42,'vehicles specifications'!$B$2:$CK$2,0))*INDEX('ei names mapping'!$B$137:$BK$220,MATCH(B6,'ei names mapping'!$A$137:$A$220,0),MATCH(G42,'ei names mapping'!$B$136:$BK$136,0))</f>
        <v>-34.799999999999997</v>
      </c>
      <c r="C42" s="12" t="str">
        <f>INDEX('ei names mapping'!$B$38:$R$67,MATCH(B3,'ei names mapping'!$A$4:$A$33,0),MATCH(G42,'ei names mapping'!$B$3:$R$3,0))</f>
        <v>GLO</v>
      </c>
      <c r="D42" s="12" t="str">
        <f>INDEX('ei names mapping'!$B$104:$R$133,MATCH(B3,'ei names mapping'!$A$104:$A$133,0),MATCH(G42,'ei names mapping'!$B$3:$R$3,0))</f>
        <v>kilogram</v>
      </c>
      <c r="E42" s="12"/>
      <c r="F42" s="12" t="s">
        <v>91</v>
      </c>
      <c r="G42" t="s">
        <v>152</v>
      </c>
      <c r="H42" s="12" t="str">
        <f>INDEX('ei names mapping'!$B$71:$R$100,MATCH(B3,'ei names mapping'!$A$4:$A$33,0),MATCH(G42,'ei names mapping'!$B$3:$R$3,0))</f>
        <v>used Li-ion battery</v>
      </c>
    </row>
    <row r="43" spans="1:8" s="21" customFormat="1" x14ac:dyDescent="0.3">
      <c r="A43" s="22" t="s">
        <v>468</v>
      </c>
      <c r="B43" s="3">
        <f>(B16/1000)*B28</f>
        <v>103.63382696032849</v>
      </c>
      <c r="C43" s="21" t="s">
        <v>94</v>
      </c>
      <c r="D43" s="21" t="s">
        <v>243</v>
      </c>
      <c r="F43" s="21" t="s">
        <v>91</v>
      </c>
      <c r="H43" s="22" t="s">
        <v>469</v>
      </c>
    </row>
    <row r="44" spans="1:8" s="21" customFormat="1" x14ac:dyDescent="0.3">
      <c r="A44" s="22" t="s">
        <v>467</v>
      </c>
      <c r="B44" s="3">
        <f>(B16/1000)*B27</f>
        <v>1647.777848669223</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Motorbike, electric, 4-11kW, 2030</v>
      </c>
    </row>
    <row r="47" spans="1:8" x14ac:dyDescent="0.3">
      <c r="A47" t="s">
        <v>73</v>
      </c>
      <c r="B47" t="s">
        <v>37</v>
      </c>
    </row>
    <row r="48" spans="1:8" x14ac:dyDescent="0.3">
      <c r="A48" t="s">
        <v>87</v>
      </c>
      <c r="B48" t="s">
        <v>521</v>
      </c>
    </row>
    <row r="49" spans="1:2" x14ac:dyDescent="0.3">
      <c r="A49" t="s">
        <v>88</v>
      </c>
      <c r="B49" s="12"/>
    </row>
    <row r="50" spans="1:2" x14ac:dyDescent="0.3">
      <c r="A50" t="s">
        <v>89</v>
      </c>
      <c r="B50" s="12">
        <v>2030</v>
      </c>
    </row>
    <row r="51" spans="1:2" x14ac:dyDescent="0.3">
      <c r="A51" t="s">
        <v>131</v>
      </c>
      <c r="B51" s="12" t="str">
        <f>B48&amp;" - "&amp;B50&amp;" - "&amp;B47</f>
        <v>Motorbike, electric, 4-11kW - 2030 - CH</v>
      </c>
    </row>
    <row r="52" spans="1:2" x14ac:dyDescent="0.3">
      <c r="A52" t="s">
        <v>74</v>
      </c>
      <c r="B52" t="str">
        <f>B48</f>
        <v>Motorbike, electric, 4-11kW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specifications'!$B$3:$CK$86,MATCH(B51,'vehicles specifications'!$A$3:$A$86,0),MATCH("Lifetime [km]",'vehicles specifications'!$B$2:$CK$2,0))</f>
        <v>39800</v>
      </c>
    </row>
    <row r="57" spans="1:2" x14ac:dyDescent="0.3">
      <c r="A57" t="s">
        <v>133</v>
      </c>
      <c r="B57">
        <f>INDEX('vehicles specifications'!$B$3:$CK$86,MATCH(B51,'vehicles specifications'!$A$3:$A$86,0),MATCH("Passengers [unit]",'vehicles specifications'!$B$2:$CK$2,0))</f>
        <v>1.1000000000000001</v>
      </c>
    </row>
    <row r="58" spans="1:2" x14ac:dyDescent="0.3">
      <c r="A58" t="s">
        <v>134</v>
      </c>
      <c r="B58">
        <f>INDEX('vehicles specifications'!$B$3:$CK$86,MATCH(B51,'vehicles specifications'!$A$3:$A$86,0),MATCH("Servicing [unit]",'vehicles specifications'!$B$2:$CK$2,0))</f>
        <v>0.79600000000000004</v>
      </c>
    </row>
    <row r="59" spans="1:2" x14ac:dyDescent="0.3">
      <c r="A59" t="s">
        <v>135</v>
      </c>
      <c r="B59">
        <f>INDEX('vehicles specifications'!$B$3:$CK$86,MATCH(B51,'vehicles specifications'!$A$3:$A$86,0),MATCH("Energy battery replacement [unit]",'vehicles specifications'!$B$2:$CK$2,0))</f>
        <v>0.5</v>
      </c>
    </row>
    <row r="60" spans="1:2" x14ac:dyDescent="0.3">
      <c r="A60" t="s">
        <v>136</v>
      </c>
      <c r="B60">
        <f>INDEX('vehicles specifications'!$B$3:$CK$86,MATCH(B51,'vehicles specifications'!$A$3:$A$86,0),MATCH("Annual kilometers [km]",'vehicles specifications'!$B$2:$CK$2,0))</f>
        <v>2731</v>
      </c>
    </row>
    <row r="61" spans="1:2" x14ac:dyDescent="0.3">
      <c r="A61" t="s">
        <v>137</v>
      </c>
      <c r="B61" s="2">
        <f>INDEX('vehicles specifications'!$B$3:$CK$86,MATCH(B51,'vehicles specifications'!$A$3:$A$86,0),MATCH("Curb mass [kg]",'vehicles specifications'!$B$2:$CK$2,0))</f>
        <v>104.27081215151863</v>
      </c>
    </row>
    <row r="62" spans="1:2" x14ac:dyDescent="0.3">
      <c r="A62" t="s">
        <v>138</v>
      </c>
      <c r="B62">
        <f>INDEX('vehicles specifications'!$B$3:$CK$86,MATCH(B51,'vehicles specifications'!$A$3:$A$86,0),MATCH("Power [kW]",'vehicles specifications'!$B$2:$CK$2,0))</f>
        <v>4.7</v>
      </c>
    </row>
    <row r="63" spans="1:2" x14ac:dyDescent="0.3">
      <c r="A63" t="s">
        <v>139</v>
      </c>
      <c r="B63">
        <f>INDEX('vehicles specifications'!$B$3:$CK$86,MATCH(B51,'vehicles specifications'!$A$3:$A$86,0),MATCH("Energy battery mass [kg]",'vehicles specifications'!$B$2:$CK$2,0))</f>
        <v>20</v>
      </c>
    </row>
    <row r="64" spans="1:2" x14ac:dyDescent="0.3">
      <c r="A64" t="s">
        <v>140</v>
      </c>
      <c r="B64" s="21">
        <f>INDEX('vehicles specifications'!$B$3:$CK$86,MATCH(B51,'vehicles specifications'!$A$3:$A$86,0),MATCH("Electric energy stored [kWh]",'vehicles specifications'!$B$2:$CK$2,0))</f>
        <v>5</v>
      </c>
    </row>
    <row r="65" spans="1:8" s="21" customFormat="1" x14ac:dyDescent="0.3">
      <c r="A65" s="21" t="s">
        <v>654</v>
      </c>
      <c r="B65" s="21">
        <f>INDEX('vehicles specifications'!$B$3:$CK$86,MATCH(B51,'vehicles specifications'!$A$3:$A$86,0),MATCH("Electric energy available [kWh]",'vehicles specifications'!$B$2:$CK$2,0))</f>
        <v>4</v>
      </c>
    </row>
    <row r="66" spans="1:8" x14ac:dyDescent="0.3">
      <c r="A66" t="s">
        <v>143</v>
      </c>
      <c r="B66" s="2">
        <f>INDEX('vehicles specifications'!$B$3:$CK$86,MATCH(B51,'vehicles specifications'!$A$3:$A$86,0),MATCH("Oxydation energy stored [kWh]",'vehicles specifications'!$B$2:$CK$2,0))</f>
        <v>0</v>
      </c>
    </row>
    <row r="67" spans="1:8" x14ac:dyDescent="0.3">
      <c r="A67" t="s">
        <v>145</v>
      </c>
      <c r="B67">
        <f>INDEX('vehicles specifications'!$B$3:$CK$86,MATCH(B51,'vehicles specifications'!$A$3:$A$86,0),MATCH("Fuel mass [kg]",'vehicles specifications'!$B$2:$CK$2,0))</f>
        <v>0</v>
      </c>
    </row>
    <row r="68" spans="1:8" x14ac:dyDescent="0.3">
      <c r="A68" t="s">
        <v>141</v>
      </c>
      <c r="B68" s="2">
        <f>INDEX('vehicles specifications'!$B$3:$CK$86,MATCH(B51,'vehicles specifications'!$A$3:$A$86,0),MATCH("Range [km]",'vehicles specifications'!$B$2:$CK$2,0))</f>
        <v>79.120879120879124</v>
      </c>
    </row>
    <row r="69" spans="1:8" x14ac:dyDescent="0.3">
      <c r="A69" t="s">
        <v>142</v>
      </c>
      <c r="B69" t="str">
        <f>INDEX('vehicles specifications'!$B$3:$CK$86,MATCH(B51,'vehicles specifications'!$A$3:$A$86,0),MATCH("Emission standard",'vehicles specifications'!$B$2:$CK$2,0))</f>
        <v>None</v>
      </c>
    </row>
    <row r="70" spans="1:8" x14ac:dyDescent="0.3">
      <c r="A70" t="s">
        <v>144</v>
      </c>
      <c r="B70" s="6">
        <f>INDEX('vehicles specifications'!$B$3:$CK$86,MATCH(B51,'vehicles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scooter'!B56</f>
        <v>Power: 4.7 kW. Lifetime: 39800 km. Annual kilometers: 2731 km. Number of passengers: 1.1. Curb mass: 104.3 kg. Lightweighting of glider: 3%. Emission standard: None. Service visits throughout lifetime: 0.8. Range: 79 km. Battery capacity: 5 kWh. Available battery capacity: 4 kWh. Battery mass: 20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1785</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Motorbike, electric, 4-11kW, 2030</v>
      </c>
      <c r="B77" s="12">
        <v>1</v>
      </c>
      <c r="C77" s="12" t="str">
        <f>B47</f>
        <v>CH</v>
      </c>
      <c r="D77" s="12" t="str">
        <f>B54</f>
        <v>unit</v>
      </c>
      <c r="E77" s="12"/>
      <c r="F77" s="12" t="s">
        <v>85</v>
      </c>
      <c r="G77" s="12" t="s">
        <v>86</v>
      </c>
      <c r="H77" s="12" t="str">
        <f>B48</f>
        <v>Motorbike, electric, 4-11kW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65.433826960328489</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s="21" customFormat="1"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1.9630148088098547</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7.8</v>
      </c>
      <c r="C80" s="12" t="str">
        <f>INDEX('ei names mapping'!$B$38:$R$67,MATCH(B48,'ei names mapping'!$A$4:$A$33,0),MATCH(G80,'ei names mapping'!$B$3:$R$3,0))</f>
        <v>GLO</v>
      </c>
      <c r="D80" s="12" t="str">
        <f>INDEX('ei names mapping'!$B$104:$R$133,MATCH(B48,'ei names mapping'!$A$104:$A$133,0),MATCH(G80,'ei names mapping'!$B$3:$R$3,0))</f>
        <v>kilogram</v>
      </c>
      <c r="E80" s="12"/>
      <c r="F80" s="12" t="s">
        <v>91</v>
      </c>
      <c r="G80"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13</v>
      </c>
      <c r="C81" s="12" t="str">
        <f>INDEX('ei names mapping'!$B$38:$R$67,MATCH(B48,'ei names mapping'!$A$4:$A$33,0),MATCH(G81,'ei names mapping'!$B$3:$R$3,0))</f>
        <v>GLO</v>
      </c>
      <c r="D81" s="12" t="str">
        <f>INDEX('ei names mapping'!$B$104:$R$133,MATCH(B48,'ei names mapping'!$A$104:$A$133,0),MATCH(G81,'ei names mapping'!$B$3:$R$3,0))</f>
        <v>kilogram</v>
      </c>
      <c r="E81" s="12"/>
      <c r="F81" s="12" t="s">
        <v>91</v>
      </c>
      <c r="G8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25</v>
      </c>
      <c r="C82" s="12" t="str">
        <f>INDEX('ei names mapping'!$B$38:$R$67,MATCH(B48,'ei names mapping'!$A$4:$A$33,0),MATCH(G82,'ei names mapping'!$B$3:$R$3,0))</f>
        <v>GLO</v>
      </c>
      <c r="D82" s="12" t="str">
        <f>INDEX('ei names mapping'!$B$104:$R$133,MATCH(B48,'ei names mapping'!$A$104:$A$133,0),MATCH(G82,'ei names mapping'!$B$3:$R$3,0))</f>
        <v>kilogram</v>
      </c>
      <c r="E82" s="12"/>
      <c r="F82" s="12" t="s">
        <v>91</v>
      </c>
      <c r="G82"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5.0000000000000009</v>
      </c>
      <c r="C83" s="12" t="str">
        <f>INDEX('ei names mapping'!$B$38:$R$67,MATCH(B48,'ei names mapping'!$A$4:$A$33,0),MATCH(G83,'ei names mapping'!$B$3:$R$3,0))</f>
        <v>GLO</v>
      </c>
      <c r="D83" s="12" t="str">
        <f>INDEX('ei names mapping'!$B$104:$R$133,MATCH(B48,'ei names mapping'!$A$104:$A$133,0),MATCH(G83,'ei names mapping'!$B$3:$R$3,0))</f>
        <v>kilogram</v>
      </c>
      <c r="E83" s="12"/>
      <c r="F83" s="12" t="s">
        <v>91</v>
      </c>
      <c r="G83"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manual dismantling of used electric scooter</v>
      </c>
      <c r="B85" s="16">
        <f>INDEX('vehicles specifications'!$B$3:$CK$86,MATCH(B51,'vehicles specifications'!$A$3:$A$86,0),MATCH(G85,'vehicles specifications'!$B$2:$CK$2,0))*INDEX('ei names mapping'!$B$137:$BK$220,MATCH(B51,'ei names mapping'!$A$137:$A$220,0),MATCH(G85,'ei names mapping'!$B$136:$BK$136,0))</f>
        <v>63.470812151518629</v>
      </c>
      <c r="C85" s="12" t="str">
        <f>INDEX('ei names mapping'!$B$38:$R$67,MATCH(B48,'ei names mapping'!$A$4:$A$33,0),MATCH(G85,'ei names mapping'!$B$3:$R$3,0))</f>
        <v>GLO</v>
      </c>
      <c r="D85" s="12" t="str">
        <f>INDEX('ei names mapping'!$B$104:$R$133,MATCH(B48,'ei names mapping'!$A$104:$A$133,0),MATCH(G85,'ei names mapping'!$B$3:$R$3,0))</f>
        <v>unit</v>
      </c>
      <c r="E85" s="12"/>
      <c r="F85" s="12" t="s">
        <v>91</v>
      </c>
      <c r="G85"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manual dismantling of used electric scooter</v>
      </c>
      <c r="B86" s="16">
        <f>INDEX('vehicles specifications'!$B$3:$CK$86,MATCH(B51,'vehicles specifications'!$A$3:$A$86,0),MATCH(G86,'vehicles specifications'!$B$2:$CK$2,0))*INDEX('ei names mapping'!$B$137:$BK$220,MATCH(B51,'ei names mapping'!$A$137:$A$220,0),MATCH(G86,'ei names mapping'!$B$136:$BK$136,0))</f>
        <v>20.8</v>
      </c>
      <c r="C86" s="12" t="str">
        <f>INDEX('ei names mapping'!$B$38:$R$67,MATCH(B48,'ei names mapping'!$A$4:$A$33,0),MATCH(G86,'ei names mapping'!$B$3:$R$3,0))</f>
        <v>GLO</v>
      </c>
      <c r="D86" s="12" t="str">
        <f>INDEX('ei names mapping'!$B$104:$R$133,MATCH(B48,'ei names mapping'!$A$104:$A$133,0),MATCH(G86,'ei names mapping'!$B$3:$R$3,0))</f>
        <v>unit</v>
      </c>
      <c r="E86" s="12"/>
      <c r="F86" s="12" t="s">
        <v>91</v>
      </c>
      <c r="G86"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-30</v>
      </c>
      <c r="C87" s="12" t="str">
        <f>INDEX('ei names mapping'!$B$38:$R$67,MATCH(B48,'ei names mapping'!$A$4:$A$33,0),MATCH(G87,'ei names mapping'!$B$3:$R$3,0))</f>
        <v>GLO</v>
      </c>
      <c r="D87" s="12" t="str">
        <f>INDEX('ei names mapping'!$B$104:$R$133,MATCH(B48,'ei names mapping'!$A$104:$A$133,0),MATCH(G87,'ei names mapping'!$B$3:$R$3,0))</f>
        <v>kilogram</v>
      </c>
      <c r="E87" s="12"/>
      <c r="F87" s="12" t="s">
        <v>91</v>
      </c>
      <c r="G87" t="s">
        <v>152</v>
      </c>
      <c r="H87" s="12" t="str">
        <f>INDEX('ei names mapping'!$B$71:$R$100,MATCH(B48,'ei names mapping'!$A$4:$A$33,0),MATCH(G87,'ei names mapping'!$B$3:$R$3,0))</f>
        <v>used Li-ion battery</v>
      </c>
    </row>
    <row r="88" spans="1:8" s="21" customFormat="1" x14ac:dyDescent="0.3">
      <c r="A88" s="22" t="s">
        <v>468</v>
      </c>
      <c r="B88" s="21">
        <f>(B61/1000)*B73</f>
        <v>104.27081215151863</v>
      </c>
      <c r="C88" s="21" t="s">
        <v>94</v>
      </c>
      <c r="D88" s="21" t="s">
        <v>243</v>
      </c>
      <c r="F88" s="21" t="s">
        <v>91</v>
      </c>
      <c r="H88" s="22" t="s">
        <v>469</v>
      </c>
    </row>
    <row r="89" spans="1:8" s="21" customFormat="1" x14ac:dyDescent="0.3">
      <c r="A89" s="22" t="s">
        <v>467</v>
      </c>
      <c r="B89" s="2">
        <f>(B61/1000)*B72</f>
        <v>1657.9059132091461</v>
      </c>
      <c r="C89" s="21" t="s">
        <v>98</v>
      </c>
      <c r="D89" s="21" t="s">
        <v>243</v>
      </c>
      <c r="F89" s="21" t="s">
        <v>91</v>
      </c>
      <c r="H89" s="22" t="s">
        <v>467</v>
      </c>
    </row>
    <row r="90" spans="1:8" x14ac:dyDescent="0.3">
      <c r="B90" s="12"/>
    </row>
    <row r="91" spans="1:8" ht="15.6" x14ac:dyDescent="0.3">
      <c r="A91" s="11" t="s">
        <v>72</v>
      </c>
      <c r="B91" s="9" t="str">
        <f>B93&amp;", "&amp;B95</f>
        <v>Motorbike, electric, 4-11kW, 2040</v>
      </c>
    </row>
    <row r="92" spans="1:8" x14ac:dyDescent="0.3">
      <c r="A92" t="s">
        <v>73</v>
      </c>
      <c r="B92" t="s">
        <v>37</v>
      </c>
    </row>
    <row r="93" spans="1:8" x14ac:dyDescent="0.3">
      <c r="A93" t="s">
        <v>87</v>
      </c>
      <c r="B93" t="s">
        <v>521</v>
      </c>
    </row>
    <row r="94" spans="1:8" x14ac:dyDescent="0.3">
      <c r="A94" t="s">
        <v>88</v>
      </c>
      <c r="B94" s="12"/>
    </row>
    <row r="95" spans="1:8" x14ac:dyDescent="0.3">
      <c r="A95" t="s">
        <v>89</v>
      </c>
      <c r="B95" s="12">
        <v>2040</v>
      </c>
    </row>
    <row r="96" spans="1:8" x14ac:dyDescent="0.3">
      <c r="A96" t="s">
        <v>131</v>
      </c>
      <c r="B96" s="12" t="str">
        <f>B93&amp;" - "&amp;B95&amp;" - "&amp;B92</f>
        <v>Motorbike, electric, 4-11kW - 2040 - CH</v>
      </c>
    </row>
    <row r="97" spans="1:2" x14ac:dyDescent="0.3">
      <c r="A97" t="s">
        <v>74</v>
      </c>
      <c r="B97" t="str">
        <f>B93</f>
        <v>Motorbike, electric, 4-11kW</v>
      </c>
    </row>
    <row r="98" spans="1:2" x14ac:dyDescent="0.3">
      <c r="A98" t="s">
        <v>75</v>
      </c>
      <c r="B98" t="s">
        <v>76</v>
      </c>
    </row>
    <row r="99" spans="1:2" x14ac:dyDescent="0.3">
      <c r="A99" t="s">
        <v>77</v>
      </c>
      <c r="B99" t="s">
        <v>77</v>
      </c>
    </row>
    <row r="100" spans="1:2" x14ac:dyDescent="0.3">
      <c r="A100" t="s">
        <v>79</v>
      </c>
      <c r="B100" t="s">
        <v>90</v>
      </c>
    </row>
    <row r="101" spans="1:2" x14ac:dyDescent="0.3">
      <c r="A101" t="s">
        <v>132</v>
      </c>
      <c r="B101">
        <f>INDEX('vehicles specifications'!$B$3:$CK$86,MATCH(B96,'vehicles specifications'!$A$3:$A$86,0),MATCH("Lifetime [km]",'vehicles specifications'!$B$2:$CK$2,0))</f>
        <v>39800</v>
      </c>
    </row>
    <row r="102" spans="1:2" x14ac:dyDescent="0.3">
      <c r="A102" t="s">
        <v>133</v>
      </c>
      <c r="B102">
        <f>INDEX('vehicles specifications'!$B$3:$CK$86,MATCH(B96,'vehicles specifications'!$A$3:$A$86,0),MATCH("Passengers [unit]",'vehicles specifications'!$B$2:$CK$2,0))</f>
        <v>1.1000000000000001</v>
      </c>
    </row>
    <row r="103" spans="1:2" x14ac:dyDescent="0.3">
      <c r="A103" t="s">
        <v>134</v>
      </c>
      <c r="B103">
        <f>INDEX('vehicles specifications'!$B$3:$CK$86,MATCH(B96,'vehicles specifications'!$A$3:$A$86,0),MATCH("Servicing [unit]",'vehicles specifications'!$B$2:$CK$2,0))</f>
        <v>0.79600000000000004</v>
      </c>
    </row>
    <row r="104" spans="1:2" x14ac:dyDescent="0.3">
      <c r="A104" t="s">
        <v>135</v>
      </c>
      <c r="B104">
        <f>INDEX('vehicles specifications'!$B$3:$CK$86,MATCH(B96,'vehicles specifications'!$A$3:$A$86,0),MATCH("Energy battery replacement [unit]",'vehicles specifications'!$B$2:$CK$2,0))</f>
        <v>0.25</v>
      </c>
    </row>
    <row r="105" spans="1:2" x14ac:dyDescent="0.3">
      <c r="A105" t="s">
        <v>136</v>
      </c>
      <c r="B105">
        <f>INDEX('vehicles specifications'!$B$3:$CK$86,MATCH(B96,'vehicles specifications'!$A$3:$A$86,0),MATCH("Annual kilometers [km]",'vehicles specifications'!$B$2:$CK$2,0))</f>
        <v>2731</v>
      </c>
    </row>
    <row r="106" spans="1:2" x14ac:dyDescent="0.3">
      <c r="A106" t="s">
        <v>137</v>
      </c>
      <c r="B106" s="2">
        <f>INDEX('vehicles specifications'!$B$3:$CK$86,MATCH(B96,'vehicles specifications'!$A$3:$A$86,0),MATCH("Curb mass [kg]",'vehicles specifications'!$B$2:$CK$2,0))</f>
        <v>103.96213561231207</v>
      </c>
    </row>
    <row r="107" spans="1:2" x14ac:dyDescent="0.3">
      <c r="A107" t="s">
        <v>138</v>
      </c>
      <c r="B107">
        <f>INDEX('vehicles specifications'!$B$3:$CK$86,MATCH(B96,'vehicles specifications'!$A$3:$A$86,0),MATCH("Power [kW]",'vehicles specifications'!$B$2:$CK$2,0))</f>
        <v>4.7</v>
      </c>
    </row>
    <row r="108" spans="1:2" x14ac:dyDescent="0.3">
      <c r="A108" t="s">
        <v>139</v>
      </c>
      <c r="B108">
        <f>INDEX('vehicles specifications'!$B$3:$CK$86,MATCH(B96,'vehicles specifications'!$A$3:$A$86,0),MATCH("Energy battery mass [kg]",'vehicles specifications'!$B$2:$CK$2,0))</f>
        <v>21</v>
      </c>
    </row>
    <row r="109" spans="1:2" x14ac:dyDescent="0.3">
      <c r="A109" t="s">
        <v>140</v>
      </c>
      <c r="B109" s="21">
        <f>INDEX('vehicles specifications'!$B$3:$CK$86,MATCH(B96,'vehicles specifications'!$A$3:$A$86,0),MATCH("Electric energy stored [kWh]",'vehicles specifications'!$B$2:$CK$2,0))</f>
        <v>7</v>
      </c>
    </row>
    <row r="110" spans="1:2" s="21" customFormat="1" x14ac:dyDescent="0.3">
      <c r="A110" s="21" t="s">
        <v>654</v>
      </c>
      <c r="B110" s="21">
        <f>INDEX('vehicles specifications'!$B$3:$CK$86,MATCH(B96,'vehicles specifications'!$A$3:$A$86,0),MATCH("Electric energy available [kWh]",'vehicles specifications'!$B$2:$CK$2,0))</f>
        <v>5.6000000000000005</v>
      </c>
    </row>
    <row r="111" spans="1:2" x14ac:dyDescent="0.3">
      <c r="A111" t="s">
        <v>143</v>
      </c>
      <c r="B111" s="2">
        <f>INDEX('vehicles specifications'!$B$3:$CK$86,MATCH(B96,'vehicles specifications'!$A$3:$A$86,0),MATCH("Oxydation energy stored [kWh]",'vehicles specifications'!$B$2:$CK$2,0))</f>
        <v>0</v>
      </c>
    </row>
    <row r="112" spans="1:2" x14ac:dyDescent="0.3">
      <c r="A112" t="s">
        <v>145</v>
      </c>
      <c r="B112">
        <f>INDEX('vehicles specifications'!$B$3:$CK$86,MATCH(B96,'vehicles specifications'!$A$3:$A$86,0),MATCH("Fuel mass [kg]",'vehicles specifications'!$B$2:$CK$2,0))</f>
        <v>0</v>
      </c>
    </row>
    <row r="113" spans="1:8" x14ac:dyDescent="0.3">
      <c r="A113" t="s">
        <v>141</v>
      </c>
      <c r="B113" s="2">
        <f>INDEX('vehicles specifications'!$B$3:$CK$86,MATCH(B96,'vehicles specifications'!$A$3:$A$86,0),MATCH("Range [km]",'vehicles specifications'!$B$2:$CK$2,0))</f>
        <v>110.76923076923079</v>
      </c>
    </row>
    <row r="114" spans="1:8" x14ac:dyDescent="0.3">
      <c r="A114" t="s">
        <v>142</v>
      </c>
      <c r="B114" t="str">
        <f>INDEX('vehicles specifications'!$B$3:$CK$86,MATCH(B96,'vehicles specifications'!$A$3:$A$86,0),MATCH("Emission standard",'vehicles specifications'!$B$2:$CK$2,0))</f>
        <v>None</v>
      </c>
    </row>
    <row r="115" spans="1:8" x14ac:dyDescent="0.3">
      <c r="A115" t="s">
        <v>144</v>
      </c>
      <c r="B115" s="6">
        <f>INDEX('vehicles specifications'!$B$3:$CK$86,MATCH(B96,'vehicles specifications'!$A$3:$A$86,0),MATCH("Lightweighting rate [%]",'vehicles specifications'!$B$2:$CK$2,0))</f>
        <v>0.05</v>
      </c>
    </row>
    <row r="116" spans="1:8" s="21" customFormat="1" x14ac:dyDescent="0.3">
      <c r="A116" s="21" t="s">
        <v>513</v>
      </c>
      <c r="B116" s="6" t="s">
        <v>514</v>
      </c>
    </row>
    <row r="117" spans="1:8" s="21" customFormat="1" x14ac:dyDescent="0.3">
      <c r="A117" s="21" t="s">
        <v>515</v>
      </c>
      <c r="B117" s="2">
        <v>15900</v>
      </c>
    </row>
    <row r="118" spans="1:8" s="21" customFormat="1" x14ac:dyDescent="0.3">
      <c r="A118" s="21" t="s">
        <v>516</v>
      </c>
      <c r="B118" s="2">
        <v>1000</v>
      </c>
    </row>
    <row r="119" spans="1:8" s="21" customFormat="1" x14ac:dyDescent="0.3">
      <c r="A119" s="21"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scooter'!B102</f>
        <v>Power: 4.7 kW. Lifetime: 39800 km. Annual kilometers: 2731 km. Number of passengers: 1.1. Curb mass: 104 kg. Lightweighting of glider: 5%. Emission standard: None. Service visits throughout lifetime: 0.8. Range: 111 km. Battery capacity: 7 kWh. Available battery capacity: 5.6 kWh. Battery mass: 21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0</v>
      </c>
    </row>
    <row r="120" spans="1:8" ht="15.6" x14ac:dyDescent="0.3">
      <c r="A120" s="11" t="s">
        <v>80</v>
      </c>
    </row>
    <row r="121" spans="1:8" x14ac:dyDescent="0.3">
      <c r="A121" t="s">
        <v>81</v>
      </c>
      <c r="B121" t="s">
        <v>82</v>
      </c>
      <c r="C121" t="s">
        <v>73</v>
      </c>
      <c r="D121" t="s">
        <v>77</v>
      </c>
      <c r="E121" t="s">
        <v>83</v>
      </c>
      <c r="F121" t="s">
        <v>75</v>
      </c>
      <c r="G121" t="s">
        <v>84</v>
      </c>
      <c r="H121" t="s">
        <v>74</v>
      </c>
    </row>
    <row r="122" spans="1:8" x14ac:dyDescent="0.3">
      <c r="A122" s="12" t="str">
        <f>B91</f>
        <v>Motorbike, electric, 4-11kW, 2040</v>
      </c>
      <c r="B122" s="12">
        <v>1</v>
      </c>
      <c r="C122" s="12" t="str">
        <f>B92</f>
        <v>CH</v>
      </c>
      <c r="D122" s="12" t="str">
        <f>B99</f>
        <v>unit</v>
      </c>
      <c r="E122" s="12"/>
      <c r="F122" s="12" t="s">
        <v>85</v>
      </c>
      <c r="G122" s="12" t="s">
        <v>86</v>
      </c>
      <c r="H122" s="12" t="str">
        <f>B93</f>
        <v>Motorbike, electric, 4-11kW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65.433826960328489</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s="21" customFormat="1"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3.2716913480164247</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7.8</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13</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21.875</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4.375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manual dismantling of used electric scooter</v>
      </c>
      <c r="B130" s="16">
        <f>INDEX('vehicles specifications'!$B$3:$CK$86,MATCH(B96,'vehicles specifications'!$A$3:$A$86,0),MATCH(G130,'vehicles specifications'!$B$2:$CK$2,0))*INDEX('ei names mapping'!$B$137:$BK$220,MATCH(B96,'ei names mapping'!$A$137:$A$220,0),MATCH(G130,'ei names mapping'!$B$136:$BK$136,0))</f>
        <v>62.162135612312063</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manual dismantling of used electric scooter</v>
      </c>
      <c r="B131" s="16">
        <f>INDEX('vehicles specifications'!$B$3:$CK$86,MATCH(B96,'vehicles specifications'!$A$3:$A$86,0),MATCH(G131,'vehicles specifications'!$B$2:$CK$2,0))*INDEX('ei names mapping'!$B$137:$BK$220,MATCH(B96,'ei names mapping'!$A$137:$A$220,0),MATCH(G131,'ei names mapping'!$B$136:$BK$136,0))</f>
        <v>20.8</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-26.25</v>
      </c>
      <c r="C132" s="12" t="str">
        <f>INDEX('ei names mapping'!$B$38:$R$67,MATCH(B93,'ei names mapping'!$A$4:$A$33,0),MATCH(G132,'ei names mapping'!$B$3:$R$3,0))</f>
        <v>GLO</v>
      </c>
      <c r="D132" s="12" t="str">
        <f>INDEX('ei names mapping'!$B$104:$R$133,MATCH(B93,'ei names mapping'!$A$104:$A$133,0),MATCH(G132,'ei names mapping'!$B$3:$R$3,0))</f>
        <v>kilogram</v>
      </c>
      <c r="E132" s="12"/>
      <c r="F132" s="12" t="s">
        <v>91</v>
      </c>
      <c r="G132" t="s">
        <v>152</v>
      </c>
      <c r="H132" s="12" t="str">
        <f>INDEX('ei names mapping'!$B$71:$R$100,MATCH(B93,'ei names mapping'!$A$4:$A$33,0),MATCH(G132,'ei names mapping'!$B$3:$R$3,0))</f>
        <v>used Li-ion battery</v>
      </c>
    </row>
    <row r="133" spans="1:8" s="21" customFormat="1" x14ac:dyDescent="0.3">
      <c r="A133" s="22" t="s">
        <v>468</v>
      </c>
      <c r="B133" s="21">
        <f>(B106/1000)*B118</f>
        <v>103.96213561231207</v>
      </c>
      <c r="C133" s="21" t="s">
        <v>94</v>
      </c>
      <c r="D133" s="21" t="s">
        <v>243</v>
      </c>
      <c r="F133" s="21" t="s">
        <v>91</v>
      </c>
      <c r="H133" s="22" t="s">
        <v>469</v>
      </c>
    </row>
    <row r="134" spans="1:8" s="21" customFormat="1" x14ac:dyDescent="0.3">
      <c r="A134" s="22" t="s">
        <v>467</v>
      </c>
      <c r="B134" s="2">
        <f>(B106/1000)*B117</f>
        <v>1652.9979562357619</v>
      </c>
      <c r="C134" s="21" t="s">
        <v>98</v>
      </c>
      <c r="D134" s="21" t="s">
        <v>243</v>
      </c>
      <c r="F134" s="21" t="s">
        <v>91</v>
      </c>
      <c r="H134" s="22" t="s">
        <v>467</v>
      </c>
    </row>
    <row r="136" spans="1:8" ht="15.6" x14ac:dyDescent="0.3">
      <c r="A136" s="11" t="s">
        <v>72</v>
      </c>
      <c r="B136" s="9" t="str">
        <f>B138&amp;", "&amp;B140</f>
        <v>Motorbike, electric, 4-11kW, 2050</v>
      </c>
    </row>
    <row r="137" spans="1:8" x14ac:dyDescent="0.3">
      <c r="A137" t="s">
        <v>73</v>
      </c>
      <c r="B137" t="s">
        <v>37</v>
      </c>
    </row>
    <row r="138" spans="1:8" x14ac:dyDescent="0.3">
      <c r="A138" t="s">
        <v>87</v>
      </c>
      <c r="B138" t="s">
        <v>521</v>
      </c>
    </row>
    <row r="139" spans="1:8" x14ac:dyDescent="0.3">
      <c r="A139" t="s">
        <v>88</v>
      </c>
      <c r="B139" s="12"/>
    </row>
    <row r="140" spans="1:8" x14ac:dyDescent="0.3">
      <c r="A140" t="s">
        <v>89</v>
      </c>
      <c r="B140" s="12">
        <v>2050</v>
      </c>
    </row>
    <row r="141" spans="1:8" x14ac:dyDescent="0.3">
      <c r="A141" t="s">
        <v>131</v>
      </c>
      <c r="B141" s="12" t="str">
        <f>B138&amp;" - "&amp;B140&amp;" - "&amp;B137</f>
        <v>Motorbike, electric, 4-11kW - 2050 - CH</v>
      </c>
    </row>
    <row r="142" spans="1:8" x14ac:dyDescent="0.3">
      <c r="A142" t="s">
        <v>74</v>
      </c>
      <c r="B142" t="str">
        <f>B138</f>
        <v>Motorbike, electric, 4-11kW</v>
      </c>
    </row>
    <row r="143" spans="1:8" x14ac:dyDescent="0.3">
      <c r="A143" t="s">
        <v>75</v>
      </c>
      <c r="B143" t="s">
        <v>76</v>
      </c>
    </row>
    <row r="144" spans="1:8" x14ac:dyDescent="0.3">
      <c r="A144" t="s">
        <v>77</v>
      </c>
      <c r="B144" t="s">
        <v>77</v>
      </c>
    </row>
    <row r="145" spans="1:2" x14ac:dyDescent="0.3">
      <c r="A145" t="s">
        <v>79</v>
      </c>
      <c r="B145" t="s">
        <v>90</v>
      </c>
    </row>
    <row r="146" spans="1:2" x14ac:dyDescent="0.3">
      <c r="A146" t="s">
        <v>132</v>
      </c>
      <c r="B146">
        <f>INDEX('vehicles specifications'!$B$3:$CK$86,MATCH(B141,'vehicles specifications'!$A$3:$A$86,0),MATCH("Lifetime [km]",'vehicles specifications'!$B$2:$CK$2,0))</f>
        <v>39800</v>
      </c>
    </row>
    <row r="147" spans="1:2" x14ac:dyDescent="0.3">
      <c r="A147" t="s">
        <v>133</v>
      </c>
      <c r="B147">
        <f>INDEX('vehicles specifications'!$B$3:$CK$86,MATCH(B141,'vehicles specifications'!$A$3:$A$86,0),MATCH("Passengers [unit]",'vehicles specifications'!$B$2:$CK$2,0))</f>
        <v>1.1000000000000001</v>
      </c>
    </row>
    <row r="148" spans="1:2" x14ac:dyDescent="0.3">
      <c r="A148" t="s">
        <v>134</v>
      </c>
      <c r="B148">
        <f>INDEX('vehicles specifications'!$B$3:$CK$86,MATCH(B141,'vehicles specifications'!$A$3:$A$86,0),MATCH("Servicing [unit]",'vehicles specifications'!$B$2:$CK$2,0))</f>
        <v>0.79600000000000004</v>
      </c>
    </row>
    <row r="149" spans="1:2" x14ac:dyDescent="0.3">
      <c r="A149" t="s">
        <v>135</v>
      </c>
      <c r="B149">
        <f>INDEX('vehicles specifications'!$B$3:$CK$86,MATCH(B141,'vehicles specifications'!$A$3:$A$86,0),MATCH("Energy battery replacement [unit]",'vehicles specifications'!$B$2:$CK$2,0))</f>
        <v>0</v>
      </c>
    </row>
    <row r="150" spans="1:2" x14ac:dyDescent="0.3">
      <c r="A150" t="s">
        <v>136</v>
      </c>
      <c r="B150">
        <f>INDEX('vehicles specifications'!$B$3:$CK$86,MATCH(B141,'vehicles specifications'!$A$3:$A$86,0),MATCH("Annual kilometers [km]",'vehicles specifications'!$B$2:$CK$2,0))</f>
        <v>2731</v>
      </c>
    </row>
    <row r="151" spans="1:2" x14ac:dyDescent="0.3">
      <c r="A151" t="s">
        <v>137</v>
      </c>
      <c r="B151" s="2">
        <f>INDEX('vehicles specifications'!$B$3:$CK$86,MATCH(B141,'vehicles specifications'!$A$3:$A$86,0),MATCH("Curb mass [kg]",'vehicles specifications'!$B$2:$CK$2,0))</f>
        <v>104.45345907310549</v>
      </c>
    </row>
    <row r="152" spans="1:2" x14ac:dyDescent="0.3">
      <c r="A152" t="s">
        <v>138</v>
      </c>
      <c r="B152">
        <f>INDEX('vehicles specifications'!$B$3:$CK$86,MATCH(B141,'vehicles specifications'!$A$3:$A$86,0),MATCH("Power [kW]",'vehicles specifications'!$B$2:$CK$2,0))</f>
        <v>4.7</v>
      </c>
    </row>
    <row r="153" spans="1:2" x14ac:dyDescent="0.3">
      <c r="A153" t="s">
        <v>139</v>
      </c>
      <c r="B153">
        <f>INDEX('vehicles specifications'!$B$3:$CK$86,MATCH(B141,'vehicles specifications'!$A$3:$A$86,0),MATCH("Energy battery mass [kg]",'vehicles specifications'!$B$2:$CK$2,0))</f>
        <v>22.8</v>
      </c>
    </row>
    <row r="154" spans="1:2" x14ac:dyDescent="0.3">
      <c r="A154" t="s">
        <v>140</v>
      </c>
      <c r="B154" s="21">
        <f>INDEX('vehicles specifications'!$B$3:$CK$86,MATCH(B141,'vehicles specifications'!$A$3:$A$86,0),MATCH("Electric energy stored [kWh]",'vehicles specifications'!$B$2:$CK$2,0))</f>
        <v>9.5</v>
      </c>
    </row>
    <row r="155" spans="1:2" s="21" customFormat="1" x14ac:dyDescent="0.3">
      <c r="A155" s="21" t="s">
        <v>654</v>
      </c>
      <c r="B155" s="21">
        <f>INDEX('vehicles specifications'!$B$3:$CK$86,MATCH(B141,'vehicles specifications'!$A$3:$A$86,0),MATCH("Electric energy available [kWh]",'vehicles specifications'!$B$2:$CK$2,0))</f>
        <v>7.6000000000000005</v>
      </c>
    </row>
    <row r="156" spans="1:2" x14ac:dyDescent="0.3">
      <c r="A156" t="s">
        <v>143</v>
      </c>
      <c r="B156" s="2">
        <f>INDEX('vehicles specifications'!$B$3:$CK$86,MATCH(B141,'vehicles specifications'!$A$3:$A$86,0),MATCH("Oxydation energy stored [kWh]",'vehicles specifications'!$B$2:$CK$2,0))</f>
        <v>0</v>
      </c>
    </row>
    <row r="157" spans="1:2" x14ac:dyDescent="0.3">
      <c r="A157" t="s">
        <v>145</v>
      </c>
      <c r="B157">
        <f>INDEX('vehicles specifications'!$B$3:$CK$86,MATCH(B141,'vehicles specifications'!$A$3:$A$86,0),MATCH("Fuel mass [kg]",'vehicles specifications'!$B$2:$CK$2,0))</f>
        <v>0</v>
      </c>
    </row>
    <row r="158" spans="1:2" x14ac:dyDescent="0.3">
      <c r="A158" t="s">
        <v>141</v>
      </c>
      <c r="B158" s="2">
        <f>INDEX('vehicles specifications'!$B$3:$CK$86,MATCH(B141,'vehicles specifications'!$A$3:$A$86,0),MATCH("Range [km]",'vehicles specifications'!$B$2:$CK$2,0))</f>
        <v>150.32967032967034</v>
      </c>
    </row>
    <row r="159" spans="1:2" x14ac:dyDescent="0.3">
      <c r="A159" t="s">
        <v>142</v>
      </c>
      <c r="B159" t="str">
        <f>INDEX('vehicles specifications'!$B$3:$CK$86,MATCH(B141,'vehicles specifications'!$A$3:$A$86,0),MATCH("Emission standard",'vehicles specifications'!$B$2:$CK$2,0))</f>
        <v>None</v>
      </c>
    </row>
    <row r="160" spans="1:2" x14ac:dyDescent="0.3">
      <c r="A160" t="s">
        <v>144</v>
      </c>
      <c r="B160" s="6">
        <f>INDEX('vehicles specifications'!$B$3:$CK$86,MATCH(B141,'vehicles specifications'!$A$3:$A$86,0),MATCH("Lightweighting rate [%]",'vehicles specifications'!$B$2:$CK$2,0))</f>
        <v>7.0000000000000007E-2</v>
      </c>
    </row>
    <row r="161" spans="1:8" s="21" customFormat="1" x14ac:dyDescent="0.3">
      <c r="A161" s="21" t="s">
        <v>513</v>
      </c>
      <c r="B161" s="6" t="s">
        <v>514</v>
      </c>
    </row>
    <row r="162" spans="1:8" s="21" customFormat="1" x14ac:dyDescent="0.3">
      <c r="A162" s="21" t="s">
        <v>515</v>
      </c>
      <c r="B162" s="2">
        <v>15900</v>
      </c>
    </row>
    <row r="163" spans="1:8" s="21" customFormat="1" x14ac:dyDescent="0.3">
      <c r="A163" s="21" t="s">
        <v>516</v>
      </c>
      <c r="B163" s="2">
        <v>1000</v>
      </c>
    </row>
    <row r="164" spans="1:8" s="21" customFormat="1" x14ac:dyDescent="0.3">
      <c r="A164" s="21"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scooter'!B148</f>
        <v>Power: 4.7 kW. Lifetime: 39800 km. Annual kilometers: 2731 km. Number of passengers: 1.1. Curb mass: 104.5 kg. Lightweighting of glider: 7%. Emission standard: None. Service visits throughout lifetime: 0.8. Range: 150 km. Battery capacity: 9.5 kWh. Available battery capacity: 7.6 kWh. Battery mass: 22.8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0.25</v>
      </c>
    </row>
    <row r="165" spans="1:8" ht="15.6" x14ac:dyDescent="0.3">
      <c r="A165" s="11" t="s">
        <v>80</v>
      </c>
    </row>
    <row r="166" spans="1:8" x14ac:dyDescent="0.3">
      <c r="A166" t="s">
        <v>81</v>
      </c>
      <c r="B166" t="s">
        <v>82</v>
      </c>
      <c r="C166" t="s">
        <v>73</v>
      </c>
      <c r="D166" t="s">
        <v>77</v>
      </c>
      <c r="E166" t="s">
        <v>83</v>
      </c>
      <c r="F166" t="s">
        <v>75</v>
      </c>
      <c r="G166" t="s">
        <v>84</v>
      </c>
      <c r="H166" t="s">
        <v>74</v>
      </c>
    </row>
    <row r="167" spans="1:8" x14ac:dyDescent="0.3">
      <c r="A167" s="12" t="str">
        <f>B136</f>
        <v>Motorbike, electric, 4-11kW, 2050</v>
      </c>
      <c r="B167" s="12">
        <v>1</v>
      </c>
      <c r="C167" s="12" t="str">
        <f>B137</f>
        <v>CH</v>
      </c>
      <c r="D167" s="12" t="str">
        <f>B144</f>
        <v>unit</v>
      </c>
      <c r="E167" s="12"/>
      <c r="F167" s="12" t="s">
        <v>85</v>
      </c>
      <c r="G167" s="12" t="s">
        <v>86</v>
      </c>
      <c r="H167" s="12" t="str">
        <f>B138</f>
        <v>Motorbike, electric, 4-11kW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65.433826960328489</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s="21" customFormat="1"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4.5803678872229945</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7.8</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13</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19</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3.8000000000000003</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manual dismantling of used electric scooter</v>
      </c>
      <c r="B175" s="16">
        <f>INDEX('vehicles specifications'!$B$3:$CK$86,MATCH(B141,'vehicles specifications'!$A$3:$A$86,0),MATCH(G175,'vehicles specifications'!$B$2:$CK$2,0))*INDEX('ei names mapping'!$B$137:$BK$220,MATCH(B141,'ei names mapping'!$A$137:$A$220,0),MATCH(G175,'ei names mapping'!$B$136:$BK$136,0))</f>
        <v>60.853459073105491</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manual dismantling of used electric scooter</v>
      </c>
      <c r="B176" s="16">
        <f>INDEX('vehicles specifications'!$B$3:$CK$86,MATCH(B141,'vehicles specifications'!$A$3:$A$86,0),MATCH(G176,'vehicles specifications'!$B$2:$CK$2,0))*INDEX('ei names mapping'!$B$137:$BK$220,MATCH(B141,'ei names mapping'!$A$137:$A$220,0),MATCH(G176,'ei names mapping'!$B$136:$BK$136,0))</f>
        <v>20.8</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-22.8</v>
      </c>
      <c r="C177" s="12" t="str">
        <f>INDEX('ei names mapping'!$B$38:$R$67,MATCH(B138,'ei names mapping'!$A$4:$A$33,0),MATCH(G177,'ei names mapping'!$B$3:$R$3,0))</f>
        <v>GLO</v>
      </c>
      <c r="D177" s="12" t="str">
        <f>INDEX('ei names mapping'!$B$104:$R$133,MATCH(B138,'ei names mapping'!$A$104:$A$133,0),MATCH(G177,'ei names mapping'!$B$3:$R$3,0))</f>
        <v>kilogram</v>
      </c>
      <c r="E177" s="12"/>
      <c r="F177" s="12" t="s">
        <v>91</v>
      </c>
      <c r="G177" t="s">
        <v>152</v>
      </c>
      <c r="H177" s="12" t="str">
        <f>INDEX('ei names mapping'!$B$71:$R$100,MATCH(B138,'ei names mapping'!$A$4:$A$33,0),MATCH(G177,'ei names mapping'!$B$3:$R$3,0))</f>
        <v>used Li-ion battery</v>
      </c>
    </row>
    <row r="178" spans="1:8" s="21" customFormat="1" x14ac:dyDescent="0.3">
      <c r="A178" s="22" t="s">
        <v>468</v>
      </c>
      <c r="B178" s="21">
        <f>(B151/1000)*B163</f>
        <v>104.45345907310549</v>
      </c>
      <c r="C178" s="21" t="s">
        <v>94</v>
      </c>
      <c r="D178" s="21" t="s">
        <v>243</v>
      </c>
      <c r="F178" s="21" t="s">
        <v>91</v>
      </c>
      <c r="H178" s="22" t="s">
        <v>469</v>
      </c>
    </row>
    <row r="179" spans="1:8" s="21" customFormat="1" x14ac:dyDescent="0.3">
      <c r="A179" s="22" t="s">
        <v>467</v>
      </c>
      <c r="B179" s="2">
        <f>(B151/1000)*B162</f>
        <v>1660.8099992623772</v>
      </c>
      <c r="C179" s="21" t="s">
        <v>98</v>
      </c>
      <c r="D179" s="21" t="s">
        <v>243</v>
      </c>
      <c r="F179" s="21" t="s">
        <v>91</v>
      </c>
      <c r="H179" s="22" t="s">
        <v>467</v>
      </c>
    </row>
    <row r="180" spans="1:8" x14ac:dyDescent="0.3">
      <c r="B180" s="2"/>
    </row>
    <row r="181" spans="1:8" ht="15.6" x14ac:dyDescent="0.3">
      <c r="A181" s="11" t="s">
        <v>72</v>
      </c>
      <c r="B181" s="9" t="str">
        <f>"transport, "&amp;B183&amp;", "&amp;B185</f>
        <v>transport, Motorbike, electric, 4-11kW, 2020</v>
      </c>
    </row>
    <row r="182" spans="1:8" x14ac:dyDescent="0.3">
      <c r="A182" t="s">
        <v>73</v>
      </c>
      <c r="B182" t="s">
        <v>37</v>
      </c>
    </row>
    <row r="183" spans="1:8" x14ac:dyDescent="0.3">
      <c r="A183" t="s">
        <v>87</v>
      </c>
      <c r="B183" t="s">
        <v>521</v>
      </c>
    </row>
    <row r="184" spans="1:8" x14ac:dyDescent="0.3">
      <c r="A184" t="s">
        <v>88</v>
      </c>
      <c r="B184" s="12"/>
    </row>
    <row r="185" spans="1:8" x14ac:dyDescent="0.3">
      <c r="A185" t="s">
        <v>89</v>
      </c>
      <c r="B185" s="12">
        <v>2020</v>
      </c>
    </row>
    <row r="186" spans="1:8" x14ac:dyDescent="0.3">
      <c r="A186" t="s">
        <v>131</v>
      </c>
      <c r="B186" s="12" t="str">
        <f>B183&amp;" - "&amp;B185&amp;" - "&amp;B182</f>
        <v>Motorbike, electric, 4-11kW - 2020 - CH</v>
      </c>
    </row>
    <row r="187" spans="1:8" x14ac:dyDescent="0.3">
      <c r="A187" t="s">
        <v>74</v>
      </c>
      <c r="B187" s="12" t="str">
        <f>"transport, "&amp;B183</f>
        <v>transport, Motorbike, electric, 4-11kW</v>
      </c>
    </row>
    <row r="188" spans="1:8" x14ac:dyDescent="0.3">
      <c r="A188" t="s">
        <v>75</v>
      </c>
      <c r="B188" t="s">
        <v>76</v>
      </c>
    </row>
    <row r="189" spans="1:8" x14ac:dyDescent="0.3">
      <c r="A189" t="s">
        <v>77</v>
      </c>
      <c r="B189" t="s">
        <v>172</v>
      </c>
    </row>
    <row r="190" spans="1:8" x14ac:dyDescent="0.3">
      <c r="A190" t="s">
        <v>79</v>
      </c>
      <c r="B190" t="s">
        <v>90</v>
      </c>
    </row>
    <row r="191" spans="1:8" x14ac:dyDescent="0.3">
      <c r="A191" t="s">
        <v>132</v>
      </c>
      <c r="B191">
        <f>INDEX('vehicles specifications'!$B$3:$CK$86,MATCH(B186,'vehicles specifications'!$A$3:$A$86,0),MATCH("Lifetime [km]",'vehicles specifications'!$B$2:$CK$2,0))</f>
        <v>39800</v>
      </c>
    </row>
    <row r="192" spans="1:8" x14ac:dyDescent="0.3">
      <c r="A192" t="s">
        <v>133</v>
      </c>
      <c r="B192">
        <f>INDEX('vehicles specifications'!$B$3:$CK$86,MATCH(B186,'vehicles specifications'!$A$3:$A$86,0),MATCH("Passengers [unit]",'vehicles specifications'!$B$2:$CK$2,0))</f>
        <v>1.1000000000000001</v>
      </c>
    </row>
    <row r="193" spans="1:8" x14ac:dyDescent="0.3">
      <c r="A193" t="s">
        <v>134</v>
      </c>
      <c r="B193">
        <f>INDEX('vehicles specifications'!$B$3:$CK$86,MATCH(B186,'vehicles specifications'!$A$3:$A$86,0),MATCH("Servicing [unit]",'vehicles specifications'!$B$2:$CK$2,0))</f>
        <v>0.79600000000000004</v>
      </c>
    </row>
    <row r="194" spans="1:8" x14ac:dyDescent="0.3">
      <c r="A194" t="s">
        <v>135</v>
      </c>
      <c r="B194">
        <f>INDEX('vehicles specifications'!$B$3:$CK$86,MATCH(B186,'vehicles specifications'!$A$3:$A$86,0),MATCH("Energy battery replacement [unit]",'vehicles specifications'!$B$2:$CK$2,0))</f>
        <v>1</v>
      </c>
    </row>
    <row r="195" spans="1:8" x14ac:dyDescent="0.3">
      <c r="A195" t="s">
        <v>136</v>
      </c>
      <c r="B195">
        <f>INDEX('vehicles specifications'!$B$3:$CK$86,MATCH(B186,'vehicles specifications'!$A$3:$A$86,0),MATCH("Annual kilometers [km]",'vehicles specifications'!$B$2:$CK$2,0))</f>
        <v>2731</v>
      </c>
    </row>
    <row r="196" spans="1:8" x14ac:dyDescent="0.3">
      <c r="A196" t="s">
        <v>137</v>
      </c>
      <c r="B196" s="2">
        <f>INDEX('vehicles specifications'!$B$3:$CK$86,MATCH(B186,'vehicles specifications'!$A$3:$A$86,0),MATCH("Curb mass [kg]",'vehicles specifications'!$B$2:$CK$2,0))</f>
        <v>103.63382696032849</v>
      </c>
    </row>
    <row r="197" spans="1:8" x14ac:dyDescent="0.3">
      <c r="A197" t="s">
        <v>138</v>
      </c>
      <c r="B197">
        <f>INDEX('vehicles specifications'!$B$3:$CK$86,MATCH(B186,'vehicles specifications'!$A$3:$A$86,0),MATCH("Power [kW]",'vehicles specifications'!$B$2:$CK$2,0))</f>
        <v>4.7</v>
      </c>
    </row>
    <row r="198" spans="1:8" x14ac:dyDescent="0.3">
      <c r="A198" t="s">
        <v>139</v>
      </c>
      <c r="B198">
        <f>INDEX('vehicles specifications'!$B$3:$CK$86,MATCH(B186,'vehicles specifications'!$A$3:$A$86,0),MATCH("Energy battery mass [kg]",'vehicles specifications'!$B$2:$CK$2,0))</f>
        <v>17.399999999999999</v>
      </c>
    </row>
    <row r="199" spans="1:8" x14ac:dyDescent="0.3">
      <c r="A199" t="s">
        <v>140</v>
      </c>
      <c r="B199" s="21">
        <f>INDEX('vehicles specifications'!$B$3:$CK$86,MATCH(B186,'vehicles specifications'!$A$3:$A$86,0),MATCH("Electric energy stored [kWh]",'vehicles specifications'!$B$2:$CK$2,0))</f>
        <v>2.9</v>
      </c>
    </row>
    <row r="200" spans="1:8" s="21" customFormat="1" x14ac:dyDescent="0.3">
      <c r="A200" s="21" t="s">
        <v>654</v>
      </c>
      <c r="B200" s="21">
        <f>INDEX('vehicles specifications'!$B$3:$CK$86,MATCH(B186,'vehicles specifications'!$A$3:$A$86,0),MATCH("Electric energy available [kWh]",'vehicles specifications'!$B$2:$CK$2,0))</f>
        <v>2.3199999999999998</v>
      </c>
    </row>
    <row r="201" spans="1:8" x14ac:dyDescent="0.3">
      <c r="A201" t="s">
        <v>143</v>
      </c>
      <c r="B201" s="2">
        <f>INDEX('vehicles specifications'!$B$3:$CK$86,MATCH(B186,'vehicles specifications'!$A$3:$A$86,0),MATCH("Oxydation energy stored [kWh]",'vehicles specifications'!$B$2:$CK$2,0))</f>
        <v>0</v>
      </c>
    </row>
    <row r="202" spans="1:8" x14ac:dyDescent="0.3">
      <c r="A202" t="s">
        <v>145</v>
      </c>
      <c r="B202">
        <f>INDEX('vehicles specifications'!$B$3:$CK$86,MATCH(B186,'vehicles specifications'!$A$3:$A$86,0),MATCH("Fuel mass [kg]",'vehicles specifications'!$B$2:$CK$2,0))</f>
        <v>0</v>
      </c>
    </row>
    <row r="203" spans="1:8" x14ac:dyDescent="0.3">
      <c r="A203" t="s">
        <v>141</v>
      </c>
      <c r="B203" s="2">
        <f>INDEX('vehicles specifications'!$B$3:$CK$86,MATCH(B186,'vehicles specifications'!$A$3:$A$86,0),MATCH("Range [km]",'vehicles specifications'!$B$2:$CK$2,0))</f>
        <v>45.890109890109891</v>
      </c>
    </row>
    <row r="204" spans="1:8" x14ac:dyDescent="0.3">
      <c r="A204" t="s">
        <v>142</v>
      </c>
      <c r="B204" t="str">
        <f>INDEX('vehicles specifications'!$B$3:$CK$86,MATCH(B186,'vehicles specifications'!$A$3:$A$86,0),MATCH("Emission standard",'vehicles specifications'!$B$2:$CK$2,0))</f>
        <v>None</v>
      </c>
    </row>
    <row r="205" spans="1:8" x14ac:dyDescent="0.3">
      <c r="A205" t="s">
        <v>144</v>
      </c>
      <c r="B205" s="6">
        <f>INDEX('vehicles specifications'!$B$3:$CK$86,MATCH(B186,'vehicles specifications'!$A$3:$A$86,0),MATCH("Lightweighting rate [%]",'vehicles specifications'!$B$2:$CK$2,0))</f>
        <v>0</v>
      </c>
    </row>
    <row r="206" spans="1:8" x14ac:dyDescent="0.3">
      <c r="A206"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"&amp;'lci-kick scooter'!B149</f>
        <v>Power: 4.7 kW. Lifetime: 39800 km. Annual kilometers: 2731 km. Number of passengers: 1.1. Curb mass: 103.6 kg. Lightweighting of glider: 0%. Emission standard: None. Service visits throughout lifetime: 0.8. Range: 46 km. Battery capacity: 2.9 kWh. Available battery capacity: 2.32 kWh. Battery mass: 17.4 kg. Battery replacement throughout lifetime: 1. Fuel tank capacity: 0 kWh. Fuel mass: 0 kg. Documentation: 2021 UVEK life-cycle inventories update of on-road vehicles, Sacchi R. (PSI), Bauer C. (PSI), 2021. 2.6</v>
      </c>
    </row>
    <row r="207" spans="1:8" ht="15.6" x14ac:dyDescent="0.3">
      <c r="A207" s="11" t="s">
        <v>80</v>
      </c>
    </row>
    <row r="208" spans="1:8" x14ac:dyDescent="0.3">
      <c r="A208" t="s">
        <v>81</v>
      </c>
      <c r="B208" t="s">
        <v>82</v>
      </c>
      <c r="C208" t="s">
        <v>73</v>
      </c>
      <c r="D208" t="s">
        <v>77</v>
      </c>
      <c r="E208" t="s">
        <v>83</v>
      </c>
      <c r="F208" t="s">
        <v>75</v>
      </c>
      <c r="G208" t="s">
        <v>84</v>
      </c>
      <c r="H208" t="s">
        <v>74</v>
      </c>
    </row>
    <row r="209" spans="1:8" x14ac:dyDescent="0.3">
      <c r="A209" s="12" t="str">
        <f>B181</f>
        <v>transport, Motorbike, electric, 4-11kW, 2020</v>
      </c>
      <c r="B209" s="12">
        <v>1</v>
      </c>
      <c r="C209" s="12" t="str">
        <f>B182</f>
        <v>CH</v>
      </c>
      <c r="D209" s="12" t="s">
        <v>172</v>
      </c>
      <c r="E209" s="12"/>
      <c r="F209" s="12" t="s">
        <v>85</v>
      </c>
      <c r="G209" s="12" t="s">
        <v>86</v>
      </c>
      <c r="H209" s="12" t="str">
        <f>B187</f>
        <v>transport, Motorbike, electric, 4-11kW</v>
      </c>
    </row>
    <row r="210" spans="1:8" x14ac:dyDescent="0.3">
      <c r="A210" s="12" t="str">
        <f>RIGHT(A209,LEN(A209)-11)</f>
        <v>Motorbike, electric, 4-11kW, 2020</v>
      </c>
      <c r="B210" s="15">
        <f>1/B191</f>
        <v>2.5125628140703518E-5</v>
      </c>
      <c r="C210" s="12" t="str">
        <f>B182</f>
        <v>CH</v>
      </c>
      <c r="D210" s="12" t="s">
        <v>77</v>
      </c>
      <c r="E210" s="12"/>
      <c r="F210" s="12" t="s">
        <v>91</v>
      </c>
      <c r="G210" s="12"/>
      <c r="H210" s="12" t="str">
        <f>RIGHT(H209,LEN(H209)-11)</f>
        <v>Motorbike, electric, 4-11kW</v>
      </c>
    </row>
    <row r="211" spans="1:8" x14ac:dyDescent="0.3">
      <c r="A211" s="12" t="str">
        <f>INDEX('ei names mapping'!$B$4:$R$33,MATCH(B183,'ei names mapping'!$A$4:$A$33,0),MATCH(G211,'ei names mapping'!$B$3:$R$3,0))</f>
        <v>road maintenance</v>
      </c>
      <c r="B211" s="16">
        <f>INDEX('vehicles specifications'!$B$3:$CK$86,MATCH(B186,'vehicles specifications'!$A$3:$A$86,0),MATCH(G211,'vehicles specifications'!$B$2:$CK$2,0))*INDEX('ei names mapping'!$B$137:$BK$220,MATCH(B186,'ei names mapping'!$A$137:$A$220,0),MATCH(G211,'ei names mapping'!$B$136:$BK$136,0))</f>
        <v>1.2899999999999999E-3</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t="s">
        <v>117</v>
      </c>
      <c r="H211" s="12" t="str">
        <f>INDEX('ei names mapping'!$B$71:$BK$100,MATCH(B183,'ei names mapping'!$A$4:$A$33,0),MATCH(G211,'ei names mapping'!$B$3:$BK$3,0))</f>
        <v>road maintenance</v>
      </c>
    </row>
    <row r="212" spans="1:8" x14ac:dyDescent="0.3">
      <c r="A212" s="12" t="str">
        <f>INDEX('ei names mapping'!$B$4:$R$33,MATCH(B183,'ei names mapping'!$A$4:$A$33,0),MATCH(G212,'ei names mapping'!$B$3:$R$3,0))</f>
        <v>market for electricity, low voltage</v>
      </c>
      <c r="B212" s="14">
        <f>INDEX('vehicles specifications'!$B$3:$CK$86,MATCH(B186,'vehicles specifications'!$A$3:$A$86,0),MATCH(G212,'vehicles specifications'!$B$2:$CK$2,0))*INDEX('ei names mapping'!$B$137:$BK$220,MATCH(B186,'ei names mapping'!$A$137:$A$220,0),MATCH(G212,'ei names mapping'!$B$136:$BK$136,0))</f>
        <v>5.5611111111111111E-2</v>
      </c>
      <c r="C212" s="12" t="str">
        <f>INDEX('ei names mapping'!$B$38:$R$67,MATCH($B$3,'ei names mapping'!$A$4:$A$33,0),MATCH(G212,'ei names mapping'!$B$3:$R$3,0))</f>
        <v>CH</v>
      </c>
      <c r="D212" s="12" t="str">
        <f>INDEX('ei names mapping'!$B$104:$R$133,MATCH($B$3,'ei names mapping'!$A$4:$A$33,0),MATCH(G212,'ei names mapping'!$B$3:$R$3,0))</f>
        <v>kilowatt hour</v>
      </c>
      <c r="E212" s="12"/>
      <c r="F212" s="12" t="s">
        <v>91</v>
      </c>
      <c r="G212" t="s">
        <v>28</v>
      </c>
      <c r="H212" s="12" t="str">
        <f>INDEX('ei names mapping'!$B$71:$R$100,MATCH(B183,'ei names mapping'!$A$4:$A$33,0),MATCH(G212,'ei names mapping'!$B$3:$R$3,0))</f>
        <v>electricity, low voltage</v>
      </c>
    </row>
    <row r="213" spans="1:8" x14ac:dyDescent="0.3">
      <c r="A213" s="12" t="str">
        <f>INDEX('ei names mapping'!$B$4:$R$33,MATCH(B183,'ei names mapping'!$A$4:$A$33,0),MATCH(G213,'ei names mapping'!$B$3:$R$3,0))</f>
        <v>market for maintenance, electric scooter, without battery</v>
      </c>
      <c r="B213" s="16">
        <f>INDEX('vehicles specifications'!$B$3:$CK$86,MATCH(B186,'vehicles specifications'!$A$3:$A$86,0),MATCH(G213,'vehicles specifications'!$B$2:$CK$2,0))*INDEX('ei names mapping'!$B$137:$BK$220,MATCH(B186,'ei names mapping'!$A$137:$A$220,0),MATCH(G213,'ei names mapping'!$B$136:$BK$136,0))</f>
        <v>2.0000000000000002E-5</v>
      </c>
      <c r="C213" s="12" t="str">
        <f>INDEX('ei names mapping'!$B$38:$BK$67,MATCH(B183,'ei names mapping'!$A$4:$A$33,0),MATCH(G213,'ei names mapping'!$B$3:$BK$3,0))</f>
        <v>GLO</v>
      </c>
      <c r="D213" s="12" t="str">
        <f>INDEX('ei names mapping'!$B$104:$BK$133,MATCH(B183,'ei names mapping'!$A$4:$A$33,0),MATCH(G213,'ei names mapping'!$B$3:$BK$3,0))</f>
        <v>unit</v>
      </c>
      <c r="F213" s="12" t="s">
        <v>91</v>
      </c>
      <c r="G213" s="12" t="s">
        <v>123</v>
      </c>
      <c r="H213" s="12" t="str">
        <f>INDEX('ei names mapping'!$B$71:$BK$100,MATCH(B183,'ei names mapping'!$A$4:$A$33,0),MATCH(G213,'ei names mapping'!$B$3:$BK$3,0))</f>
        <v>maintenance, electric scooter, without battery</v>
      </c>
    </row>
    <row r="214" spans="1:8" s="21" customFormat="1" x14ac:dyDescent="0.3">
      <c r="A214" s="12" t="str">
        <f>INDEX('ei names mapping'!$B$4:$R$33,MATCH(B183,'ei names mapping'!$A$4:$A$33,0),MATCH(G214,'ei names mapping'!$B$3:$R$3,0))</f>
        <v>road construction</v>
      </c>
      <c r="B214" s="16">
        <f>INDEX('vehicles specifications'!$B$3:$CK$86,MATCH(B186,'vehicles specifications'!$A$3:$A$86,0),MATCH(G214,'vehicles specifications'!$B$2:$CK$2,0))*INDEX('ei names mapping'!$B$137:$BK$220,MATCH(B186,'ei names mapping'!$A$137:$A$220,0),MATCH(G214,'ei names mapping'!$B$136:$BK$136,0))</f>
        <v>1.002223650776964E-4</v>
      </c>
      <c r="C214" s="12" t="str">
        <f>INDEX('ei names mapping'!$B$38:$R$67,MATCH(B183,'ei names mapping'!$A$4:$A$33,0),MATCH(G214,'ei names mapping'!$B$3:$R$3,0))</f>
        <v>CH</v>
      </c>
      <c r="D214" s="12" t="str">
        <f>INDEX('ei names mapping'!$B$104:$R$133,MATCH(B183,'ei names mapping'!$A$104:$A$133,0),MATCH(G214,'ei names mapping'!$B$3:$R$3,0))</f>
        <v>meter-year</v>
      </c>
      <c r="E214" s="12"/>
      <c r="F214" s="12" t="s">
        <v>91</v>
      </c>
      <c r="G214" s="21" t="s">
        <v>108</v>
      </c>
      <c r="H214" s="12" t="str">
        <f>INDEX('ei names mapping'!$B$71:$R$100,MATCH(B183,'ei names mapping'!$A$4:$A$33,0),MATCH(G214,'ei names mapping'!$B$3:$R$3,0))</f>
        <v>road</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-7.3669999999999991E-6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-4.1749999999999998E-6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Motorbike, electric, 4-11kW, 2030</v>
      </c>
    </row>
    <row r="220" spans="1:8" x14ac:dyDescent="0.3">
      <c r="A220" t="s">
        <v>73</v>
      </c>
      <c r="B220" t="s">
        <v>37</v>
      </c>
    </row>
    <row r="221" spans="1:8" x14ac:dyDescent="0.3">
      <c r="A221" t="s">
        <v>87</v>
      </c>
      <c r="B221" t="s">
        <v>521</v>
      </c>
    </row>
    <row r="222" spans="1:8" x14ac:dyDescent="0.3">
      <c r="A222" t="s">
        <v>88</v>
      </c>
      <c r="B222" s="12"/>
    </row>
    <row r="223" spans="1:8" x14ac:dyDescent="0.3">
      <c r="A223" t="s">
        <v>89</v>
      </c>
      <c r="B223" s="12">
        <v>2030</v>
      </c>
    </row>
    <row r="224" spans="1:8" x14ac:dyDescent="0.3">
      <c r="A224" t="s">
        <v>131</v>
      </c>
      <c r="B224" s="12" t="str">
        <f>B221&amp;" - "&amp;B223&amp;" - "&amp;B220</f>
        <v>Motorbike, electric, 4-11kW - 2030 - CH</v>
      </c>
    </row>
    <row r="225" spans="1:2" x14ac:dyDescent="0.3">
      <c r="A225" t="s">
        <v>74</v>
      </c>
      <c r="B225" s="12" t="str">
        <f>"transport, "&amp;B221</f>
        <v>transport, Motorbike, electric, 4-11kW</v>
      </c>
    </row>
    <row r="226" spans="1:2" x14ac:dyDescent="0.3">
      <c r="A226" t="s">
        <v>75</v>
      </c>
      <c r="B226" t="s">
        <v>76</v>
      </c>
    </row>
    <row r="227" spans="1:2" x14ac:dyDescent="0.3">
      <c r="A227" t="s">
        <v>77</v>
      </c>
      <c r="B227" t="s">
        <v>172</v>
      </c>
    </row>
    <row r="228" spans="1:2" x14ac:dyDescent="0.3">
      <c r="A228" t="s">
        <v>79</v>
      </c>
      <c r="B228" t="s">
        <v>90</v>
      </c>
    </row>
    <row r="229" spans="1:2" x14ac:dyDescent="0.3">
      <c r="A229" t="s">
        <v>132</v>
      </c>
      <c r="B229">
        <f>INDEX('vehicles specifications'!$B$3:$CK$86,MATCH(B224,'vehicles specifications'!$A$3:$A$86,0),MATCH("Lifetime [km]",'vehicles specifications'!$B$2:$CK$2,0))</f>
        <v>39800</v>
      </c>
    </row>
    <row r="230" spans="1:2" x14ac:dyDescent="0.3">
      <c r="A230" t="s">
        <v>133</v>
      </c>
      <c r="B230">
        <f>INDEX('vehicles specifications'!$B$3:$CK$86,MATCH(B224,'vehicles specifications'!$A$3:$A$86,0),MATCH("Passengers [unit]",'vehicles specifications'!$B$2:$CK$2,0))</f>
        <v>1.1000000000000001</v>
      </c>
    </row>
    <row r="231" spans="1:2" x14ac:dyDescent="0.3">
      <c r="A231" t="s">
        <v>134</v>
      </c>
      <c r="B231">
        <f>INDEX('vehicles specifications'!$B$3:$CK$86,MATCH(B224,'vehicles specifications'!$A$3:$A$86,0),MATCH("Servicing [unit]",'vehicles specifications'!$B$2:$CK$2,0))</f>
        <v>0.79600000000000004</v>
      </c>
    </row>
    <row r="232" spans="1:2" x14ac:dyDescent="0.3">
      <c r="A232" t="s">
        <v>135</v>
      </c>
      <c r="B232">
        <f>INDEX('vehicles specifications'!$B$3:$CK$86,MATCH(B224,'vehicles specifications'!$A$3:$A$86,0),MATCH("Energy battery replacement [unit]",'vehicles specifications'!$B$2:$CK$2,0))</f>
        <v>0.5</v>
      </c>
    </row>
    <row r="233" spans="1:2" x14ac:dyDescent="0.3">
      <c r="A233" t="s">
        <v>136</v>
      </c>
      <c r="B233">
        <f>INDEX('vehicles specifications'!$B$3:$CK$86,MATCH(B224,'vehicles specifications'!$A$3:$A$86,0),MATCH("Annual kilometers [km]",'vehicles specifications'!$B$2:$CK$2,0))</f>
        <v>2731</v>
      </c>
    </row>
    <row r="234" spans="1:2" x14ac:dyDescent="0.3">
      <c r="A234" t="s">
        <v>137</v>
      </c>
      <c r="B234" s="2">
        <f>INDEX('vehicles specifications'!$B$3:$CK$86,MATCH(B224,'vehicles specifications'!$A$3:$A$86,0),MATCH("Curb mass [kg]",'vehicles specifications'!$B$2:$CK$2,0))</f>
        <v>104.27081215151863</v>
      </c>
    </row>
    <row r="235" spans="1:2" x14ac:dyDescent="0.3">
      <c r="A235" t="s">
        <v>138</v>
      </c>
      <c r="B235">
        <f>INDEX('vehicles specifications'!$B$3:$CK$86,MATCH(B224,'vehicles specifications'!$A$3:$A$86,0),MATCH("Power [kW]",'vehicles specifications'!$B$2:$CK$2,0))</f>
        <v>4.7</v>
      </c>
    </row>
    <row r="236" spans="1:2" x14ac:dyDescent="0.3">
      <c r="A236" t="s">
        <v>139</v>
      </c>
      <c r="B236">
        <f>INDEX('vehicles specifications'!$B$3:$CK$86,MATCH(B224,'vehicles specifications'!$A$3:$A$86,0),MATCH("Energy battery mass [kg]",'vehicles specifications'!$B$2:$CK$2,0))</f>
        <v>20</v>
      </c>
    </row>
    <row r="237" spans="1:2" x14ac:dyDescent="0.3">
      <c r="A237" t="s">
        <v>140</v>
      </c>
      <c r="B237" s="21">
        <f>INDEX('vehicles specifications'!$B$3:$CK$86,MATCH(B224,'vehicles specifications'!$A$3:$A$86,0),MATCH("Electric energy stored [kWh]",'vehicles specifications'!$B$2:$CK$2,0))</f>
        <v>5</v>
      </c>
    </row>
    <row r="238" spans="1:2" s="21" customFormat="1" x14ac:dyDescent="0.3">
      <c r="A238" s="21" t="s">
        <v>654</v>
      </c>
      <c r="B238" s="21">
        <f>INDEX('vehicles specifications'!$B$3:$CK$86,MATCH(B224,'vehicles specifications'!$A$3:$A$86,0),MATCH("Electric energy available [kWh]",'vehicles specifications'!$B$2:$CK$2,0))</f>
        <v>4</v>
      </c>
    </row>
    <row r="239" spans="1:2" x14ac:dyDescent="0.3">
      <c r="A239" t="s">
        <v>143</v>
      </c>
      <c r="B239" s="2">
        <f>INDEX('vehicles specifications'!$B$3:$CK$86,MATCH(B224,'vehicles specifications'!$A$3:$A$86,0),MATCH("Oxydation energy stored [kWh]",'vehicles specifications'!$B$2:$CK$2,0))</f>
        <v>0</v>
      </c>
    </row>
    <row r="240" spans="1:2" x14ac:dyDescent="0.3">
      <c r="A240" t="s">
        <v>145</v>
      </c>
      <c r="B240">
        <f>INDEX('vehicles specifications'!$B$3:$CK$86,MATCH(B224,'vehicles specifications'!$A$3:$A$86,0),MATCH("Fuel mass [kg]",'vehicles specifications'!$B$2:$CK$2,0))</f>
        <v>0</v>
      </c>
    </row>
    <row r="241" spans="1:8" x14ac:dyDescent="0.3">
      <c r="A241" t="s">
        <v>141</v>
      </c>
      <c r="B241" s="2">
        <f>INDEX('vehicles specifications'!$B$3:$CK$86,MATCH(B224,'vehicles specifications'!$A$3:$A$86,0),MATCH("Range [km]",'vehicles specifications'!$B$2:$CK$2,0))</f>
        <v>79.120879120879124</v>
      </c>
    </row>
    <row r="242" spans="1:8" x14ac:dyDescent="0.3">
      <c r="A242" t="s">
        <v>142</v>
      </c>
      <c r="B242" t="str">
        <f>INDEX('vehicles specifications'!$B$3:$CK$86,MATCH(B224,'vehicles specifications'!$A$3:$A$86,0),MATCH("Emission standard",'vehicles specifications'!$B$2:$CK$2,0))</f>
        <v>None</v>
      </c>
    </row>
    <row r="243" spans="1:8" x14ac:dyDescent="0.3">
      <c r="A243" t="s">
        <v>144</v>
      </c>
      <c r="B243" s="6">
        <f>INDEX('vehicles specifications'!$B$3:$CK$86,MATCH(B224,'vehicles specifications'!$A$3:$A$86,0),MATCH("Lightweighting rate [%]",'vehicles specifications'!$B$2:$CK$2,0))</f>
        <v>0.03</v>
      </c>
    </row>
    <row r="244" spans="1:8" x14ac:dyDescent="0.3">
      <c r="A244"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"&amp;'lci-kick scooter'!B187</f>
        <v>Power: 4.7 kW. Lifetime: 39800 km. Annual kilometers: 2731 km. Number of passengers: 1.1. Curb mass: 104.3 kg. Lightweighting of glider: 3%. Emission standard: None. Service visits throughout lifetime: 0.8. Range: 79 km. Battery capacity: 5 kWh. Available battery capacity: 4 kWh. Battery mass: 20 kg. Battery replacement throughout lifetime: 0.5. Fuel tank capacity: 0 kWh. Fuel mass: 0 kg. Documentation: 2021 UVEK life-cycle inventories update of on-road vehicles, Sacchi R. (PSI), Bauer C. (PSI), 2021. 0.44625</v>
      </c>
    </row>
    <row r="245" spans="1:8" ht="15.6" x14ac:dyDescent="0.3">
      <c r="A245" s="11" t="s">
        <v>80</v>
      </c>
    </row>
    <row r="246" spans="1:8" x14ac:dyDescent="0.3">
      <c r="A246" t="s">
        <v>81</v>
      </c>
      <c r="B246" t="s">
        <v>82</v>
      </c>
      <c r="C246" t="s">
        <v>73</v>
      </c>
      <c r="D246" t="s">
        <v>77</v>
      </c>
      <c r="E246" t="s">
        <v>83</v>
      </c>
      <c r="F246" t="s">
        <v>75</v>
      </c>
      <c r="G246" t="s">
        <v>84</v>
      </c>
      <c r="H246" t="s">
        <v>74</v>
      </c>
    </row>
    <row r="247" spans="1:8" x14ac:dyDescent="0.3">
      <c r="A247" s="12" t="str">
        <f>B219</f>
        <v>transport, Motorbike, electric, 4-11kW, 2030</v>
      </c>
      <c r="B247" s="12">
        <v>1</v>
      </c>
      <c r="C247" s="12" t="str">
        <f>B220</f>
        <v>CH</v>
      </c>
      <c r="D247" s="12" t="s">
        <v>172</v>
      </c>
      <c r="E247" s="12"/>
      <c r="F247" s="12" t="s">
        <v>85</v>
      </c>
      <c r="G247" s="12" t="s">
        <v>86</v>
      </c>
      <c r="H247" s="12" t="str">
        <f>B225</f>
        <v>transport, Motorbike, electric, 4-11kW</v>
      </c>
    </row>
    <row r="248" spans="1:8" x14ac:dyDescent="0.3">
      <c r="A248" s="12" t="str">
        <f>RIGHT(A247,LEN(A247)-11)</f>
        <v>Motorbike, electric, 4-11kW, 2030</v>
      </c>
      <c r="B248" s="12">
        <f>1/B229</f>
        <v>2.5125628140703518E-5</v>
      </c>
      <c r="C248" s="12" t="str">
        <f>B220</f>
        <v>CH</v>
      </c>
      <c r="D248" s="12" t="s">
        <v>77</v>
      </c>
      <c r="E248" s="12"/>
      <c r="F248" s="12" t="s">
        <v>91</v>
      </c>
      <c r="G248" s="12"/>
      <c r="H248" s="12" t="str">
        <f>RIGHT(H247,LEN(H247)-11)</f>
        <v>Motorbike, electric, 4-11kW</v>
      </c>
    </row>
    <row r="249" spans="1:8" x14ac:dyDescent="0.3">
      <c r="A249" s="12" t="str">
        <f>INDEX('ei names mapping'!$B$4:$R$33,MATCH(B221,'ei names mapping'!$A$4:$A$33,0),MATCH(G249,'ei names mapping'!$B$3:$R$3,0))</f>
        <v>road maintenance</v>
      </c>
      <c r="B249" s="16">
        <f>INDEX('vehicles specifications'!$B$3:$CK$86,MATCH(B224,'vehicles specifications'!$A$3:$A$86,0),MATCH(G249,'vehicles specifications'!$B$2:$CK$2,0))*INDEX('ei names mapping'!$B$137:$BK$220,MATCH(B224,'ei names mapping'!$A$137:$A$220,0),MATCH(G249,'ei names mapping'!$B$136:$BK$136,0))</f>
        <v>1.2899999999999999E-3</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t="s">
        <v>117</v>
      </c>
      <c r="H249" s="12" t="str">
        <f>INDEX('ei names mapping'!$B$71:$BK$100,MATCH(B221,'ei names mapping'!$A$4:$A$33,0),MATCH(G249,'ei names mapping'!$B$3:$BK$3,0))</f>
        <v>road maintenance</v>
      </c>
    </row>
    <row r="250" spans="1:8" x14ac:dyDescent="0.3">
      <c r="A250" s="12" t="str">
        <f>INDEX('ei names mapping'!$B$4:$R$33,MATCH(B221,'ei names mapping'!$A$4:$A$33,0),MATCH(G250,'ei names mapping'!$B$3:$R$3,0))</f>
        <v>market for electricity, low voltage</v>
      </c>
      <c r="B250" s="14">
        <f>INDEX('vehicles specifications'!$B$3:$CK$86,MATCH(B224,'vehicles specifications'!$A$3:$A$86,0),MATCH(G250,'vehicles specifications'!$B$2:$CK$2,0))*INDEX('ei names mapping'!$B$137:$BK$220,MATCH(B224,'ei names mapping'!$A$137:$A$220,0),MATCH(G250,'ei names mapping'!$B$136:$BK$136,0))</f>
        <v>5.5611111111111111E-2</v>
      </c>
      <c r="C250" s="12" t="str">
        <f>INDEX('ei names mapping'!$B$38:$R$67,MATCH($B$3,'ei names mapping'!$A$4:$A$33,0),MATCH(G250,'ei names mapping'!$B$3:$R$3,0))</f>
        <v>CH</v>
      </c>
      <c r="D250" s="12" t="str">
        <f>INDEX('ei names mapping'!$B$104:$R$133,MATCH($B$3,'ei names mapping'!$A$4:$A$33,0),MATCH(G250,'ei names mapping'!$B$3:$R$3,0))</f>
        <v>kilowatt hour</v>
      </c>
      <c r="E250" s="12"/>
      <c r="F250" s="12" t="s">
        <v>91</v>
      </c>
      <c r="G250" t="s">
        <v>28</v>
      </c>
      <c r="H250" s="12" t="str">
        <f>INDEX('ei names mapping'!$B$71:$R$100,MATCH(B221,'ei names mapping'!$A$4:$A$33,0),MATCH(G250,'ei names mapping'!$B$3:$R$3,0))</f>
        <v>electricity, low voltage</v>
      </c>
    </row>
    <row r="251" spans="1:8" x14ac:dyDescent="0.3">
      <c r="A251" s="12" t="str">
        <f>INDEX('ei names mapping'!$B$4:$R$33,MATCH(B221,'ei names mapping'!$A$4:$A$33,0),MATCH(G251,'ei names mapping'!$B$3:$R$3,0))</f>
        <v>market for maintenance, electric scooter, without battery</v>
      </c>
      <c r="B251" s="16">
        <f>INDEX('vehicles specifications'!$B$3:$CK$86,MATCH(B224,'vehicles specifications'!$A$3:$A$86,0),MATCH(G251,'vehicles specifications'!$B$2:$CK$2,0))*INDEX('ei names mapping'!$B$137:$BK$220,MATCH(B224,'ei names mapping'!$A$137:$A$220,0),MATCH(G251,'ei names mapping'!$B$136:$BK$136,0))</f>
        <v>2.0000000000000002E-5</v>
      </c>
      <c r="C251" s="12" t="str">
        <f>INDEX('ei names mapping'!$B$38:$BK$67,MATCH(B221,'ei names mapping'!$A$4:$A$33,0),MATCH(G251,'ei names mapping'!$B$3:$BK$3,0))</f>
        <v>GLO</v>
      </c>
      <c r="D251" s="12" t="str">
        <f>INDEX('ei names mapping'!$B$104:$BK$133,MATCH(B221,'ei names mapping'!$A$4:$A$33,0),MATCH(G251,'ei names mapping'!$B$3:$BK$3,0))</f>
        <v>unit</v>
      </c>
      <c r="F251" s="12" t="s">
        <v>91</v>
      </c>
      <c r="G251" s="12" t="s">
        <v>123</v>
      </c>
      <c r="H251" s="12" t="str">
        <f>INDEX('ei names mapping'!$B$71:$BK$100,MATCH(B221,'ei names mapping'!$A$4:$A$33,0),MATCH(G251,'ei names mapping'!$B$3:$BK$3,0))</f>
        <v>maintenance, electric scooter, without battery</v>
      </c>
    </row>
    <row r="252" spans="1:8" s="21" customFormat="1" x14ac:dyDescent="0.3">
      <c r="A252" s="12" t="str">
        <f>INDEX('ei names mapping'!$B$4:$R$33,MATCH(B221,'ei names mapping'!$A$4:$A$33,0),MATCH(G252,'ei names mapping'!$B$3:$R$3,0))</f>
        <v>road construction</v>
      </c>
      <c r="B252" s="16">
        <f>INDEX('vehicles specifications'!$B$3:$CK$86,MATCH(B224,'vehicles specifications'!$A$3:$A$86,0),MATCH(G252,'vehicles specifications'!$B$2:$CK$2,0))*INDEX('ei names mapping'!$B$137:$BK$220,MATCH(B224,'ei names mapping'!$A$137:$A$220,0),MATCH(G252,'ei names mapping'!$B$136:$BK$136,0))</f>
        <v>1.005644261253655E-4</v>
      </c>
      <c r="C252" s="12" t="str">
        <f>INDEX('ei names mapping'!$B$38:$R$67,MATCH(B221,'ei names mapping'!$A$4:$A$33,0),MATCH(G252,'ei names mapping'!$B$3:$R$3,0))</f>
        <v>CH</v>
      </c>
      <c r="D252" s="12" t="str">
        <f>INDEX('ei names mapping'!$B$104:$R$133,MATCH(B221,'ei names mapping'!$A$104:$A$133,0),MATCH(G252,'ei names mapping'!$B$3:$R$3,0))</f>
        <v>meter-year</v>
      </c>
      <c r="E252" s="12"/>
      <c r="F252" s="12" t="s">
        <v>91</v>
      </c>
      <c r="G252" s="21" t="s">
        <v>108</v>
      </c>
      <c r="H252" s="12" t="str">
        <f>INDEX('ei names mapping'!$B$71:$R$100,MATCH(B221,'ei names mapping'!$A$4:$A$33,0),MATCH(G252,'ei names mapping'!$B$3:$R$3,0))</f>
        <v>road</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-7.3669999999999991E-6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-4.1749999999999998E-6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Motorbike, electric, 4-11kW, 2040</v>
      </c>
    </row>
    <row r="258" spans="1:2" x14ac:dyDescent="0.3">
      <c r="A258" t="s">
        <v>73</v>
      </c>
      <c r="B258" t="s">
        <v>37</v>
      </c>
    </row>
    <row r="259" spans="1:2" x14ac:dyDescent="0.3">
      <c r="A259" t="s">
        <v>87</v>
      </c>
      <c r="B259" t="s">
        <v>521</v>
      </c>
    </row>
    <row r="260" spans="1:2" x14ac:dyDescent="0.3">
      <c r="A260" t="s">
        <v>88</v>
      </c>
      <c r="B260" s="12"/>
    </row>
    <row r="261" spans="1:2" x14ac:dyDescent="0.3">
      <c r="A261" t="s">
        <v>89</v>
      </c>
      <c r="B261" s="12">
        <v>2040</v>
      </c>
    </row>
    <row r="262" spans="1:2" x14ac:dyDescent="0.3">
      <c r="A262" t="s">
        <v>131</v>
      </c>
      <c r="B262" s="12" t="str">
        <f>B259&amp;" - "&amp;B261&amp;" - "&amp;B258</f>
        <v>Motorbike, electric, 4-11kW - 2040 - CH</v>
      </c>
    </row>
    <row r="263" spans="1:2" x14ac:dyDescent="0.3">
      <c r="A263" t="s">
        <v>74</v>
      </c>
      <c r="B263" s="12" t="str">
        <f>"transport, "&amp;B259</f>
        <v>transport, Motorbike, electric, 4-11kW</v>
      </c>
    </row>
    <row r="264" spans="1:2" x14ac:dyDescent="0.3">
      <c r="A264" t="s">
        <v>75</v>
      </c>
      <c r="B264" t="s">
        <v>76</v>
      </c>
    </row>
    <row r="265" spans="1:2" x14ac:dyDescent="0.3">
      <c r="A265" t="s">
        <v>77</v>
      </c>
      <c r="B265" t="s">
        <v>172</v>
      </c>
    </row>
    <row r="266" spans="1:2" x14ac:dyDescent="0.3">
      <c r="A266" t="s">
        <v>79</v>
      </c>
      <c r="B266" t="s">
        <v>90</v>
      </c>
    </row>
    <row r="267" spans="1:2" x14ac:dyDescent="0.3">
      <c r="A267" t="s">
        <v>132</v>
      </c>
      <c r="B267">
        <f>INDEX('vehicles specifications'!$B$3:$CK$86,MATCH(B262,'vehicles specifications'!$A$3:$A$86,0),MATCH("Lifetime [km]",'vehicles specifications'!$B$2:$CK$2,0))</f>
        <v>39800</v>
      </c>
    </row>
    <row r="268" spans="1:2" x14ac:dyDescent="0.3">
      <c r="A268" t="s">
        <v>133</v>
      </c>
      <c r="B268">
        <f>INDEX('vehicles specifications'!$B$3:$CK$86,MATCH(B262,'vehicles specifications'!$A$3:$A$86,0),MATCH("Passengers [unit]",'vehicles specifications'!$B$2:$CK$2,0))</f>
        <v>1.1000000000000001</v>
      </c>
    </row>
    <row r="269" spans="1:2" x14ac:dyDescent="0.3">
      <c r="A269" t="s">
        <v>134</v>
      </c>
      <c r="B269">
        <f>INDEX('vehicles specifications'!$B$3:$CK$86,MATCH(B262,'vehicles specifications'!$A$3:$A$86,0),MATCH("Servicing [unit]",'vehicles specifications'!$B$2:$CK$2,0))</f>
        <v>0.79600000000000004</v>
      </c>
    </row>
    <row r="270" spans="1:2" x14ac:dyDescent="0.3">
      <c r="A270" t="s">
        <v>135</v>
      </c>
      <c r="B270">
        <f>INDEX('vehicles specifications'!$B$3:$CK$86,MATCH(B262,'vehicles specifications'!$A$3:$A$86,0),MATCH("Energy battery replacement [unit]",'vehicles specifications'!$B$2:$CK$2,0))</f>
        <v>0.25</v>
      </c>
    </row>
    <row r="271" spans="1:2" x14ac:dyDescent="0.3">
      <c r="A271" t="s">
        <v>136</v>
      </c>
      <c r="B271">
        <f>INDEX('vehicles specifications'!$B$3:$CK$86,MATCH(B262,'vehicles specifications'!$A$3:$A$86,0),MATCH("Annual kilometers [km]",'vehicles specifications'!$B$2:$CK$2,0))</f>
        <v>2731</v>
      </c>
    </row>
    <row r="272" spans="1:2" x14ac:dyDescent="0.3">
      <c r="A272" t="s">
        <v>137</v>
      </c>
      <c r="B272" s="2">
        <f>INDEX('vehicles specifications'!$B$3:$CK$86,MATCH(B262,'vehicles specifications'!$A$3:$A$86,0),MATCH("Curb mass [kg]",'vehicles specifications'!$B$2:$CK$2,0))</f>
        <v>103.96213561231207</v>
      </c>
    </row>
    <row r="273" spans="1:8" x14ac:dyDescent="0.3">
      <c r="A273" t="s">
        <v>138</v>
      </c>
      <c r="B273">
        <f>INDEX('vehicles specifications'!$B$3:$CK$86,MATCH(B262,'vehicles specifications'!$A$3:$A$86,0),MATCH("Power [kW]",'vehicles specifications'!$B$2:$CK$2,0))</f>
        <v>4.7</v>
      </c>
    </row>
    <row r="274" spans="1:8" x14ac:dyDescent="0.3">
      <c r="A274" t="s">
        <v>139</v>
      </c>
      <c r="B274">
        <f>INDEX('vehicles specifications'!$B$3:$CK$86,MATCH(B262,'vehicles specifications'!$A$3:$A$86,0),MATCH("Energy battery mass [kg]",'vehicles specifications'!$B$2:$CK$2,0))</f>
        <v>21</v>
      </c>
    </row>
    <row r="275" spans="1:8" x14ac:dyDescent="0.3">
      <c r="A275" t="s">
        <v>140</v>
      </c>
      <c r="B275" s="21">
        <f>INDEX('vehicles specifications'!$B$3:$CK$86,MATCH(B262,'vehicles specifications'!$A$3:$A$86,0),MATCH("Electric energy stored [kWh]",'vehicles specifications'!$B$2:$CK$2,0))</f>
        <v>7</v>
      </c>
    </row>
    <row r="276" spans="1:8" s="21" customFormat="1" x14ac:dyDescent="0.3">
      <c r="A276" s="21" t="s">
        <v>654</v>
      </c>
      <c r="B276" s="21">
        <f>INDEX('vehicles specifications'!$B$3:$CK$86,MATCH(B262,'vehicles specifications'!$A$3:$A$86,0),MATCH("Electric energy available [kWh]",'vehicles specifications'!$B$2:$CK$2,0))</f>
        <v>5.6000000000000005</v>
      </c>
    </row>
    <row r="277" spans="1:8" x14ac:dyDescent="0.3">
      <c r="A277" t="s">
        <v>143</v>
      </c>
      <c r="B277" s="2">
        <f>INDEX('vehicles specifications'!$B$3:$CK$86,MATCH(B262,'vehicles specifications'!$A$3:$A$86,0),MATCH("Oxydation energy stored [kWh]",'vehicles specifications'!$B$2:$CK$2,0))</f>
        <v>0</v>
      </c>
    </row>
    <row r="278" spans="1:8" x14ac:dyDescent="0.3">
      <c r="A278" t="s">
        <v>145</v>
      </c>
      <c r="B278">
        <f>INDEX('vehicles specifications'!$B$3:$CK$86,MATCH(B262,'vehicles specifications'!$A$3:$A$86,0),MATCH("Fuel mass [kg]",'vehicles specifications'!$B$2:$CK$2,0))</f>
        <v>0</v>
      </c>
    </row>
    <row r="279" spans="1:8" x14ac:dyDescent="0.3">
      <c r="A279" t="s">
        <v>141</v>
      </c>
      <c r="B279" s="2">
        <f>INDEX('vehicles specifications'!$B$3:$CK$86,MATCH(B262,'vehicles specifications'!$A$3:$A$86,0),MATCH("Range [km]",'vehicles specifications'!$B$2:$CK$2,0))</f>
        <v>110.76923076923079</v>
      </c>
    </row>
    <row r="280" spans="1:8" x14ac:dyDescent="0.3">
      <c r="A280" t="s">
        <v>142</v>
      </c>
      <c r="B280" t="str">
        <f>INDEX('vehicles specifications'!$B$3:$CK$86,MATCH(B262,'vehicles specifications'!$A$3:$A$86,0),MATCH("Emission standard",'vehicles specifications'!$B$2:$CK$2,0))</f>
        <v>None</v>
      </c>
    </row>
    <row r="281" spans="1:8" x14ac:dyDescent="0.3">
      <c r="A281" t="s">
        <v>144</v>
      </c>
      <c r="B281" s="6">
        <f>INDEX('vehicles specifications'!$B$3:$CK$86,MATCH(B262,'vehicles specifications'!$A$3:$A$86,0),MATCH("Lightweighting rate [%]",'vehicles specifications'!$B$2:$CK$2,0))</f>
        <v>0.05</v>
      </c>
    </row>
    <row r="282" spans="1:8" x14ac:dyDescent="0.3">
      <c r="A282"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"&amp;'lci-kick scooter'!B225</f>
        <v>Power: 4.7 kW. Lifetime: 39800 km. Annual kilometers: 2731 km. Number of passengers: 1.1. Curb mass: 104 kg. Lightweighting of glider: 5%. Emission standard: None. Service visits throughout lifetime: 0.8. Range: 111 km. Battery capacity: 7 kWh. Available battery capacity: 5.6 kWh. Battery mass: 21 kg. Battery replacement throughout lifetime: 0.3. Fuel tank capacity: 0 kWh. Fuel mass: 0 kg. Documentation: 2021 UVEK life-cycle inventories update of on-road vehicles, Sacchi R. (PSI), Bauer C. (PSI), 2021. 0</v>
      </c>
    </row>
    <row r="283" spans="1:8" ht="15.6" x14ac:dyDescent="0.3">
      <c r="A283" s="11" t="s">
        <v>80</v>
      </c>
    </row>
    <row r="284" spans="1:8" x14ac:dyDescent="0.3">
      <c r="A284" t="s">
        <v>81</v>
      </c>
      <c r="B284" t="s">
        <v>82</v>
      </c>
      <c r="C284" t="s">
        <v>73</v>
      </c>
      <c r="D284" t="s">
        <v>77</v>
      </c>
      <c r="E284" t="s">
        <v>83</v>
      </c>
      <c r="F284" t="s">
        <v>75</v>
      </c>
      <c r="G284" t="s">
        <v>84</v>
      </c>
      <c r="H284" t="s">
        <v>74</v>
      </c>
    </row>
    <row r="285" spans="1:8" x14ac:dyDescent="0.3">
      <c r="A285" s="12" t="str">
        <f>B257</f>
        <v>transport, Motorbike, electric, 4-11kW, 2040</v>
      </c>
      <c r="B285" s="12">
        <v>1</v>
      </c>
      <c r="C285" s="12" t="str">
        <f>B258</f>
        <v>CH</v>
      </c>
      <c r="D285" s="12" t="s">
        <v>172</v>
      </c>
      <c r="E285" s="12"/>
      <c r="F285" s="12" t="s">
        <v>85</v>
      </c>
      <c r="G285" s="12" t="s">
        <v>86</v>
      </c>
      <c r="H285" s="12" t="str">
        <f>B263</f>
        <v>transport, Motorbike, electric, 4-11kW</v>
      </c>
    </row>
    <row r="286" spans="1:8" x14ac:dyDescent="0.3">
      <c r="A286" s="12" t="str">
        <f>RIGHT(A285,LEN(A285)-11)</f>
        <v>Motorbike, electric, 4-11kW, 2040</v>
      </c>
      <c r="B286" s="12">
        <f>1/B267</f>
        <v>2.5125628140703518E-5</v>
      </c>
      <c r="C286" s="12" t="str">
        <f>B258</f>
        <v>CH</v>
      </c>
      <c r="D286" s="12" t="s">
        <v>77</v>
      </c>
      <c r="E286" s="12"/>
      <c r="F286" s="12" t="s">
        <v>91</v>
      </c>
      <c r="G286" s="12"/>
      <c r="H286" s="12" t="str">
        <f>RIGHT(H285,LEN(H285)-11)</f>
        <v>Motorbike, electric, 4-11kW</v>
      </c>
    </row>
    <row r="287" spans="1:8" x14ac:dyDescent="0.3">
      <c r="A287" s="12" t="str">
        <f>INDEX('ei names mapping'!$B$4:$R$33,MATCH(B259,'ei names mapping'!$A$4:$A$33,0),MATCH(G287,'ei names mapping'!$B$3:$R$3,0))</f>
        <v>road maintenance</v>
      </c>
      <c r="B287" s="16">
        <f>INDEX('vehicles specifications'!$B$3:$CK$86,MATCH(B262,'vehicles specifications'!$A$3:$A$86,0),MATCH(G287,'vehicles specifications'!$B$2:$CK$2,0))*INDEX('ei names mapping'!$B$137:$BK$220,MATCH(B262,'ei names mapping'!$A$137:$A$220,0),MATCH(G287,'ei names mapping'!$B$136:$BK$136,0))</f>
        <v>1.2899999999999999E-3</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t="s">
        <v>117</v>
      </c>
      <c r="H287" s="12" t="str">
        <f>INDEX('ei names mapping'!$B$71:$BK$100,MATCH(B259,'ei names mapping'!$A$4:$A$33,0),MATCH(G287,'ei names mapping'!$B$3:$BK$3,0))</f>
        <v>road maintenance</v>
      </c>
    </row>
    <row r="288" spans="1:8" x14ac:dyDescent="0.3">
      <c r="A288" s="12" t="str">
        <f>INDEX('ei names mapping'!$B$4:$R$33,MATCH(B259,'ei names mapping'!$A$4:$A$33,0),MATCH(G288,'ei names mapping'!$B$3:$R$3,0))</f>
        <v>market for electricity, low voltage</v>
      </c>
      <c r="B288" s="14">
        <f>INDEX('vehicles specifications'!$B$3:$CK$86,MATCH(B262,'vehicles specifications'!$A$3:$A$86,0),MATCH(G288,'vehicles specifications'!$B$2:$CK$2,0))*INDEX('ei names mapping'!$B$137:$BK$220,MATCH(B262,'ei names mapping'!$A$137:$A$220,0),MATCH(G288,'ei names mapping'!$B$136:$BK$136,0))</f>
        <v>5.5611111111111111E-2</v>
      </c>
      <c r="C288" s="12" t="str">
        <f>INDEX('ei names mapping'!$B$38:$R$67,MATCH($B$3,'ei names mapping'!$A$4:$A$33,0),MATCH(G288,'ei names mapping'!$B$3:$R$3,0))</f>
        <v>CH</v>
      </c>
      <c r="D288" s="12" t="str">
        <f>INDEX('ei names mapping'!$B$104:$R$133,MATCH($B$3,'ei names mapping'!$A$4:$A$33,0),MATCH(G288,'ei names mapping'!$B$3:$R$3,0))</f>
        <v>kilowatt hour</v>
      </c>
      <c r="E288" s="12"/>
      <c r="F288" s="12" t="s">
        <v>91</v>
      </c>
      <c r="G288" t="s">
        <v>28</v>
      </c>
      <c r="H288" s="12" t="str">
        <f>INDEX('ei names mapping'!$B$71:$R$100,MATCH(B259,'ei names mapping'!$A$4:$A$33,0),MATCH(G288,'ei names mapping'!$B$3:$R$3,0))</f>
        <v>electricity, low voltage</v>
      </c>
    </row>
    <row r="289" spans="1:8" x14ac:dyDescent="0.3">
      <c r="A289" s="12" t="str">
        <f>INDEX('ei names mapping'!$B$4:$R$33,MATCH(B259,'ei names mapping'!$A$4:$A$33,0),MATCH(G289,'ei names mapping'!$B$3:$R$3,0))</f>
        <v>market for maintenance, electric scooter, without battery</v>
      </c>
      <c r="B289" s="16">
        <f>INDEX('vehicles specifications'!$B$3:$CK$86,MATCH(B262,'vehicles specifications'!$A$3:$A$86,0),MATCH(G289,'vehicles specifications'!$B$2:$CK$2,0))*INDEX('ei names mapping'!$B$137:$BK$220,MATCH(B262,'ei names mapping'!$A$137:$A$220,0),MATCH(G289,'ei names mapping'!$B$136:$BK$136,0))</f>
        <v>2.0000000000000002E-5</v>
      </c>
      <c r="C289" s="12" t="str">
        <f>INDEX('ei names mapping'!$B$38:$BK$67,MATCH(B259,'ei names mapping'!$A$4:$A$33,0),MATCH(G289,'ei names mapping'!$B$3:$BK$3,0))</f>
        <v>GLO</v>
      </c>
      <c r="D289" s="12" t="str">
        <f>INDEX('ei names mapping'!$B$104:$BK$133,MATCH(B259,'ei names mapping'!$A$4:$A$33,0),MATCH(G289,'ei names mapping'!$B$3:$BK$3,0))</f>
        <v>unit</v>
      </c>
      <c r="F289" s="12" t="s">
        <v>91</v>
      </c>
      <c r="G289" s="12" t="s">
        <v>123</v>
      </c>
      <c r="H289" s="12" t="str">
        <f>INDEX('ei names mapping'!$B$71:$BK$100,MATCH(B259,'ei names mapping'!$A$4:$A$33,0),MATCH(G289,'ei names mapping'!$B$3:$BK$3,0))</f>
        <v>maintenance, electric scooter, without battery</v>
      </c>
    </row>
    <row r="290" spans="1:8" s="21" customFormat="1" x14ac:dyDescent="0.3">
      <c r="A290" s="12" t="str">
        <f>INDEX('ei names mapping'!$B$4:$R$33,MATCH(B259,'ei names mapping'!$A$4:$A$33,0),MATCH(G290,'ei names mapping'!$B$3:$R$3,0))</f>
        <v>road construction</v>
      </c>
      <c r="B290" s="16">
        <f>INDEX('vehicles specifications'!$B$3:$CK$86,MATCH(B262,'vehicles specifications'!$A$3:$A$86,0),MATCH(G290,'vehicles specifications'!$B$2:$CK$2,0))*INDEX('ei names mapping'!$B$137:$BK$220,MATCH(B262,'ei names mapping'!$A$137:$A$220,0),MATCH(G290,'ei names mapping'!$B$136:$BK$136,0))</f>
        <v>1.0039866682381158E-4</v>
      </c>
      <c r="C290" s="12" t="str">
        <f>INDEX('ei names mapping'!$B$38:$R$67,MATCH(B259,'ei names mapping'!$A$4:$A$33,0),MATCH(G290,'ei names mapping'!$B$3:$R$3,0))</f>
        <v>CH</v>
      </c>
      <c r="D290" s="12" t="str">
        <f>INDEX('ei names mapping'!$B$104:$R$133,MATCH(B259,'ei names mapping'!$A$104:$A$133,0),MATCH(G290,'ei names mapping'!$B$3:$R$3,0))</f>
        <v>meter-year</v>
      </c>
      <c r="E290" s="12"/>
      <c r="F290" s="12" t="s">
        <v>91</v>
      </c>
      <c r="G290" s="21" t="s">
        <v>108</v>
      </c>
      <c r="H290" s="12" t="str">
        <f>INDEX('ei names mapping'!$B$71:$R$100,MATCH(B259,'ei names mapping'!$A$4:$A$33,0),MATCH(G290,'ei names mapping'!$B$3:$R$3,0))</f>
        <v>road</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-7.3669999999999991E-6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-4.1749999999999998E-6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Motorbike, electric, 4-11kW, 2050</v>
      </c>
    </row>
    <row r="296" spans="1:8" x14ac:dyDescent="0.3">
      <c r="A296" t="s">
        <v>73</v>
      </c>
      <c r="B296" t="s">
        <v>37</v>
      </c>
    </row>
    <row r="297" spans="1:8" x14ac:dyDescent="0.3">
      <c r="A297" t="s">
        <v>87</v>
      </c>
      <c r="B297" t="s">
        <v>521</v>
      </c>
    </row>
    <row r="298" spans="1:8" x14ac:dyDescent="0.3">
      <c r="A298" t="s">
        <v>88</v>
      </c>
      <c r="B298" s="12"/>
    </row>
    <row r="299" spans="1:8" x14ac:dyDescent="0.3">
      <c r="A299" t="s">
        <v>89</v>
      </c>
      <c r="B299" s="12">
        <v>2050</v>
      </c>
    </row>
    <row r="300" spans="1:8" x14ac:dyDescent="0.3">
      <c r="A300" t="s">
        <v>131</v>
      </c>
      <c r="B300" s="12" t="str">
        <f>B297&amp;" - "&amp;B299&amp;" - "&amp;B296</f>
        <v>Motorbike, electric, 4-11kW - 2050 - CH</v>
      </c>
    </row>
    <row r="301" spans="1:8" x14ac:dyDescent="0.3">
      <c r="A301" t="s">
        <v>74</v>
      </c>
      <c r="B301" s="12" t="str">
        <f>"transport, "&amp;B297</f>
        <v>transport, Motorbike, electric, 4-11kW</v>
      </c>
    </row>
    <row r="302" spans="1:8" x14ac:dyDescent="0.3">
      <c r="A302" t="s">
        <v>75</v>
      </c>
      <c r="B302" t="s">
        <v>76</v>
      </c>
    </row>
    <row r="303" spans="1:8" x14ac:dyDescent="0.3">
      <c r="A303" t="s">
        <v>77</v>
      </c>
      <c r="B303" t="s">
        <v>172</v>
      </c>
    </row>
    <row r="304" spans="1:8" x14ac:dyDescent="0.3">
      <c r="A304" t="s">
        <v>79</v>
      </c>
      <c r="B304" t="s">
        <v>90</v>
      </c>
    </row>
    <row r="305" spans="1:2" x14ac:dyDescent="0.3">
      <c r="A305" t="s">
        <v>132</v>
      </c>
      <c r="B305">
        <f>INDEX('vehicles specifications'!$B$3:$CK$86,MATCH(B300,'vehicles specifications'!$A$3:$A$86,0),MATCH("Lifetime [km]",'vehicles specifications'!$B$2:$CK$2,0))</f>
        <v>39800</v>
      </c>
    </row>
    <row r="306" spans="1:2" x14ac:dyDescent="0.3">
      <c r="A306" t="s">
        <v>133</v>
      </c>
      <c r="B306">
        <f>INDEX('vehicles specifications'!$B$3:$CK$86,MATCH(B300,'vehicles specifications'!$A$3:$A$86,0),MATCH("Passengers [unit]",'vehicles specifications'!$B$2:$CK$2,0))</f>
        <v>1.1000000000000001</v>
      </c>
    </row>
    <row r="307" spans="1:2" x14ac:dyDescent="0.3">
      <c r="A307" t="s">
        <v>134</v>
      </c>
      <c r="B307">
        <f>INDEX('vehicles specifications'!$B$3:$CK$86,MATCH(B300,'vehicles specifications'!$A$3:$A$86,0),MATCH("Servicing [unit]",'vehicles specifications'!$B$2:$CK$2,0))</f>
        <v>0.79600000000000004</v>
      </c>
    </row>
    <row r="308" spans="1:2" x14ac:dyDescent="0.3">
      <c r="A308" t="s">
        <v>135</v>
      </c>
      <c r="B308">
        <f>INDEX('vehicles specifications'!$B$3:$CK$86,MATCH(B300,'vehicles specifications'!$A$3:$A$86,0),MATCH("Energy battery replacement [unit]",'vehicles specifications'!$B$2:$CK$2,0))</f>
        <v>0</v>
      </c>
    </row>
    <row r="309" spans="1:2" x14ac:dyDescent="0.3">
      <c r="A309" t="s">
        <v>136</v>
      </c>
      <c r="B309">
        <f>INDEX('vehicles specifications'!$B$3:$CK$86,MATCH(B300,'vehicles specifications'!$A$3:$A$86,0),MATCH("Annual kilometers [km]",'vehicles specifications'!$B$2:$CK$2,0))</f>
        <v>2731</v>
      </c>
    </row>
    <row r="310" spans="1:2" x14ac:dyDescent="0.3">
      <c r="A310" t="s">
        <v>137</v>
      </c>
      <c r="B310" s="2">
        <f>INDEX('vehicles specifications'!$B$3:$CK$86,MATCH(B300,'vehicles specifications'!$A$3:$A$86,0),MATCH("Curb mass [kg]",'vehicles specifications'!$B$2:$CK$2,0))</f>
        <v>104.45345907310549</v>
      </c>
    </row>
    <row r="311" spans="1:2" x14ac:dyDescent="0.3">
      <c r="A311" t="s">
        <v>138</v>
      </c>
      <c r="B311">
        <f>INDEX('vehicles specifications'!$B$3:$CK$86,MATCH(B300,'vehicles specifications'!$A$3:$A$86,0),MATCH("Power [kW]",'vehicles specifications'!$B$2:$CK$2,0))</f>
        <v>4.7</v>
      </c>
    </row>
    <row r="312" spans="1:2" x14ac:dyDescent="0.3">
      <c r="A312" t="s">
        <v>139</v>
      </c>
      <c r="B312">
        <f>INDEX('vehicles specifications'!$B$3:$CK$86,MATCH(B300,'vehicles specifications'!$A$3:$A$86,0),MATCH("Energy battery mass [kg]",'vehicles specifications'!$B$2:$CK$2,0))</f>
        <v>22.8</v>
      </c>
    </row>
    <row r="313" spans="1:2" x14ac:dyDescent="0.3">
      <c r="A313" t="s">
        <v>140</v>
      </c>
      <c r="B313" s="21">
        <f>INDEX('vehicles specifications'!$B$3:$CK$86,MATCH(B300,'vehicles specifications'!$A$3:$A$86,0),MATCH("Electric energy stored [kWh]",'vehicles specifications'!$B$2:$CK$2,0))</f>
        <v>9.5</v>
      </c>
    </row>
    <row r="314" spans="1:2" s="21" customFormat="1" x14ac:dyDescent="0.3">
      <c r="A314" s="21" t="s">
        <v>654</v>
      </c>
      <c r="B314" s="21">
        <f>INDEX('vehicles specifications'!$B$3:$CK$86,MATCH(B300,'vehicles specifications'!$A$3:$A$86,0),MATCH("Electric energy available [kWh]",'vehicles specifications'!$B$2:$CK$2,0))</f>
        <v>7.6000000000000005</v>
      </c>
    </row>
    <row r="315" spans="1:2" x14ac:dyDescent="0.3">
      <c r="A315" t="s">
        <v>143</v>
      </c>
      <c r="B315" s="2">
        <f>INDEX('vehicles specifications'!$B$3:$CK$86,MATCH(B300,'vehicles specifications'!$A$3:$A$86,0),MATCH("Oxydation energy stored [kWh]",'vehicles specifications'!$B$2:$CK$2,0))</f>
        <v>0</v>
      </c>
    </row>
    <row r="316" spans="1:2" x14ac:dyDescent="0.3">
      <c r="A316" t="s">
        <v>145</v>
      </c>
      <c r="B316">
        <f>INDEX('vehicles specifications'!$B$3:$CK$86,MATCH(B300,'vehicles specifications'!$A$3:$A$86,0),MATCH("Fuel mass [kg]",'vehicles specifications'!$B$2:$CK$2,0))</f>
        <v>0</v>
      </c>
    </row>
    <row r="317" spans="1:2" x14ac:dyDescent="0.3">
      <c r="A317" t="s">
        <v>141</v>
      </c>
      <c r="B317" s="2">
        <f>INDEX('vehicles specifications'!$B$3:$CK$86,MATCH(B300,'vehicles specifications'!$A$3:$A$86,0),MATCH("Range [km]",'vehicles specifications'!$B$2:$CK$2,0))</f>
        <v>150.32967032967034</v>
      </c>
    </row>
    <row r="318" spans="1:2" x14ac:dyDescent="0.3">
      <c r="A318" t="s">
        <v>142</v>
      </c>
      <c r="B318" t="str">
        <f>INDEX('vehicles specifications'!$B$3:$CK$86,MATCH(B300,'vehicles specifications'!$A$3:$A$86,0),MATCH("Emission standard",'vehicles specifications'!$B$2:$CK$2,0))</f>
        <v>None</v>
      </c>
    </row>
    <row r="319" spans="1:2" x14ac:dyDescent="0.3">
      <c r="A319" t="s">
        <v>144</v>
      </c>
      <c r="B319" s="6">
        <f>INDEX('vehicles specifications'!$B$3:$CK$86,MATCH(B300,'vehicles specifications'!$A$3:$A$86,0),MATCH("Lightweighting rate [%]",'vehicles specifications'!$B$2:$CK$2,0))</f>
        <v>7.0000000000000007E-2</v>
      </c>
    </row>
    <row r="320" spans="1:2" x14ac:dyDescent="0.3">
      <c r="A320"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"&amp;'lci-kick scooter'!B263</f>
        <v>Power: 4.7 kW. Lifetime: 39800 km. Annual kilometers: 2731 km. Number of passengers: 1.1. Curb mass: 104.5 kg. Lightweighting of glider: 7%. Emission standard: None. Service visits throughout lifetime: 0.8. Range: 150 km. Battery capacity: 9.5 kWh. Available battery capacity: 7.6 kWh. Battery mass: 22.8 kg. Battery replacement throughout lifetime: 0. Fuel tank capacity: 0 kWh. Fuel mass: 0 kg. Documentation: 2021 UVEK life-cycle inventories update of on-road vehicles, Sacchi R. (PSI), Bauer C. (PSI), 2021. 890</v>
      </c>
    </row>
    <row r="321" spans="1:8" ht="15.6" x14ac:dyDescent="0.3">
      <c r="A321" s="11" t="s">
        <v>80</v>
      </c>
    </row>
    <row r="322" spans="1:8" x14ac:dyDescent="0.3">
      <c r="A322" t="s">
        <v>81</v>
      </c>
      <c r="B322" t="s">
        <v>82</v>
      </c>
      <c r="C322" t="s">
        <v>73</v>
      </c>
      <c r="D322" t="s">
        <v>77</v>
      </c>
      <c r="E322" t="s">
        <v>83</v>
      </c>
      <c r="F322" t="s">
        <v>75</v>
      </c>
      <c r="G322" t="s">
        <v>84</v>
      </c>
      <c r="H322" t="s">
        <v>74</v>
      </c>
    </row>
    <row r="323" spans="1:8" x14ac:dyDescent="0.3">
      <c r="A323" s="12" t="str">
        <f>B295</f>
        <v>transport, Motorbike, electric, 4-11kW, 2050</v>
      </c>
      <c r="B323" s="12">
        <v>1</v>
      </c>
      <c r="C323" s="12" t="str">
        <f>B296</f>
        <v>CH</v>
      </c>
      <c r="D323" s="12" t="s">
        <v>172</v>
      </c>
      <c r="E323" s="12"/>
      <c r="F323" s="12" t="s">
        <v>85</v>
      </c>
      <c r="G323" s="12" t="s">
        <v>86</v>
      </c>
      <c r="H323" s="12" t="str">
        <f>B301</f>
        <v>transport, Motorbike, electric, 4-11kW</v>
      </c>
    </row>
    <row r="324" spans="1:8" x14ac:dyDescent="0.3">
      <c r="A324" s="12" t="str">
        <f>RIGHT(A323,LEN(A323)-11)</f>
        <v>Motorbike, electric, 4-11kW, 2050</v>
      </c>
      <c r="B324" s="12">
        <f>1/B305</f>
        <v>2.5125628140703518E-5</v>
      </c>
      <c r="C324" s="12" t="str">
        <f>B296</f>
        <v>CH</v>
      </c>
      <c r="D324" s="12" t="s">
        <v>77</v>
      </c>
      <c r="E324" s="12"/>
      <c r="F324" s="12" t="s">
        <v>91</v>
      </c>
      <c r="G324" s="12"/>
      <c r="H324" s="12" t="str">
        <f>RIGHT(H323,LEN(H323)-11)</f>
        <v>Motorbike, electric, 4-11kW</v>
      </c>
    </row>
    <row r="325" spans="1:8" x14ac:dyDescent="0.3">
      <c r="A325" s="12" t="str">
        <f>INDEX('ei names mapping'!$B$4:$R$33,MATCH(B297,'ei names mapping'!$A$4:$A$33,0),MATCH(G325,'ei names mapping'!$B$3:$R$3,0))</f>
        <v>road maintenance</v>
      </c>
      <c r="B325" s="16">
        <f>INDEX('vehicles specifications'!$B$3:$CK$86,MATCH(B300,'vehicles specifications'!$A$3:$A$86,0),MATCH(G325,'vehicles specifications'!$B$2:$CK$2,0))*INDEX('ei names mapping'!$B$137:$BK$220,MATCH(B300,'ei names mapping'!$A$137:$A$220,0),MATCH(G325,'ei names mapping'!$B$136:$BK$136,0))</f>
        <v>1.2899999999999999E-3</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t="s">
        <v>117</v>
      </c>
      <c r="H325" s="12" t="str">
        <f>INDEX('ei names mapping'!$B$71:$BK$100,MATCH(B297,'ei names mapping'!$A$4:$A$33,0),MATCH(G325,'ei names mapping'!$B$3:$BK$3,0))</f>
        <v>road maintenance</v>
      </c>
    </row>
    <row r="326" spans="1:8" x14ac:dyDescent="0.3">
      <c r="A326" s="12" t="str">
        <f>INDEX('ei names mapping'!$B$4:$R$33,MATCH(B297,'ei names mapping'!$A$4:$A$33,0),MATCH(G326,'ei names mapping'!$B$3:$R$3,0))</f>
        <v>market for electricity, low voltage</v>
      </c>
      <c r="B326" s="14">
        <f>INDEX('vehicles specifications'!$B$3:$CK$86,MATCH(B300,'vehicles specifications'!$A$3:$A$86,0),MATCH(G326,'vehicles specifications'!$B$2:$CK$2,0))*INDEX('ei names mapping'!$B$137:$BK$220,MATCH(B300,'ei names mapping'!$A$137:$A$220,0),MATCH(G326,'ei names mapping'!$B$136:$BK$136,0))</f>
        <v>5.5611111111111111E-2</v>
      </c>
      <c r="C326" s="12" t="str">
        <f>INDEX('ei names mapping'!$B$38:$R$67,MATCH($B$3,'ei names mapping'!$A$4:$A$33,0),MATCH(G326,'ei names mapping'!$B$3:$R$3,0))</f>
        <v>CH</v>
      </c>
      <c r="D326" s="12" t="str">
        <f>INDEX('ei names mapping'!$B$104:$R$133,MATCH($B$3,'ei names mapping'!$A$4:$A$33,0),MATCH(G326,'ei names mapping'!$B$3:$R$3,0))</f>
        <v>kilowatt hour</v>
      </c>
      <c r="E326" s="12"/>
      <c r="F326" s="12" t="s">
        <v>91</v>
      </c>
      <c r="G326" t="s">
        <v>28</v>
      </c>
      <c r="H326" s="12" t="str">
        <f>INDEX('ei names mapping'!$B$71:$R$100,MATCH(B297,'ei names mapping'!$A$4:$A$33,0),MATCH(G326,'ei names mapping'!$B$3:$R$3,0))</f>
        <v>electricity, low voltage</v>
      </c>
    </row>
    <row r="327" spans="1:8" x14ac:dyDescent="0.3">
      <c r="A327" s="12" t="str">
        <f>INDEX('ei names mapping'!$B$4:$R$33,MATCH(B297,'ei names mapping'!$A$4:$A$33,0),MATCH(G327,'ei names mapping'!$B$3:$R$3,0))</f>
        <v>market for maintenance, electric scooter, without battery</v>
      </c>
      <c r="B327" s="16">
        <f>INDEX('vehicles specifications'!$B$3:$CK$86,MATCH(B300,'vehicles specifications'!$A$3:$A$86,0),MATCH(G327,'vehicles specifications'!$B$2:$CK$2,0))*INDEX('ei names mapping'!$B$137:$BK$220,MATCH(B300,'ei names mapping'!$A$137:$A$220,0),MATCH(G327,'ei names mapping'!$B$136:$BK$136,0))</f>
        <v>2.0000000000000002E-5</v>
      </c>
      <c r="C327" s="12" t="str">
        <f>INDEX('ei names mapping'!$B$38:$BK$67,MATCH(B297,'ei names mapping'!$A$4:$A$33,0),MATCH(G327,'ei names mapping'!$B$3:$BK$3,0))</f>
        <v>GLO</v>
      </c>
      <c r="D327" s="12" t="str">
        <f>INDEX('ei names mapping'!$B$104:$BK$133,MATCH(B297,'ei names mapping'!$A$4:$A$33,0),MATCH(G327,'ei names mapping'!$B$3:$BK$3,0))</f>
        <v>unit</v>
      </c>
      <c r="F327" s="12" t="s">
        <v>91</v>
      </c>
      <c r="G327" s="12" t="s">
        <v>123</v>
      </c>
      <c r="H327" s="12" t="str">
        <f>INDEX('ei names mapping'!$B$71:$BK$100,MATCH(B297,'ei names mapping'!$A$4:$A$33,0),MATCH(G327,'ei names mapping'!$B$3:$BK$3,0))</f>
        <v>maintenance, electric scooter, without battery</v>
      </c>
    </row>
    <row r="328" spans="1:8" s="21" customFormat="1" x14ac:dyDescent="0.3">
      <c r="A328" s="12" t="str">
        <f>INDEX('ei names mapping'!$B$4:$R$33,MATCH(B297,'ei names mapping'!$A$4:$A$33,0),MATCH(G328,'ei names mapping'!$B$3:$R$3,0))</f>
        <v>road construction</v>
      </c>
      <c r="B328" s="16">
        <f>INDEX('vehicles specifications'!$B$3:$CK$86,MATCH(B300,'vehicles specifications'!$A$3:$A$86,0),MATCH(G328,'vehicles specifications'!$B$2:$CK$2,0))*INDEX('ei names mapping'!$B$137:$BK$220,MATCH(B300,'ei names mapping'!$A$137:$A$220,0),MATCH(G328,'ei names mapping'!$B$136:$BK$136,0))</f>
        <v>1.0066250752225764E-4</v>
      </c>
      <c r="C328" s="12" t="str">
        <f>INDEX('ei names mapping'!$B$38:$R$67,MATCH(B297,'ei names mapping'!$A$4:$A$33,0),MATCH(G328,'ei names mapping'!$B$3:$R$3,0))</f>
        <v>CH</v>
      </c>
      <c r="D328" s="12" t="str">
        <f>INDEX('ei names mapping'!$B$104:$R$133,MATCH(B297,'ei names mapping'!$A$104:$A$133,0),MATCH(G328,'ei names mapping'!$B$3:$R$3,0))</f>
        <v>meter-year</v>
      </c>
      <c r="E328" s="12"/>
      <c r="F328" s="12" t="s">
        <v>91</v>
      </c>
      <c r="G328" s="21" t="s">
        <v>108</v>
      </c>
      <c r="H328" s="12" t="str">
        <f>INDEX('ei names mapping'!$B$71:$R$100,MATCH(B297,'ei names mapping'!$A$4:$A$33,0),MATCH(G328,'ei names mapping'!$B$3:$R$3,0))</f>
        <v>road</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-7.3669999999999991E-6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-4.1749999999999998E-6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t="s">
        <v>31</v>
      </c>
      <c r="H331" s="12" t="str">
        <f>INDEX('ei names mapping'!$B$71:$BK$100,MATCH(B297,'ei names mapping'!$A$4:$A$33,0),MATCH(G331,'ei names mapping'!$B$3:$BK$3,0))</f>
        <v>brake wear emissions, passenger car</v>
      </c>
    </row>
    <row r="333" spans="1:8" ht="15.6" x14ac:dyDescent="0.3">
      <c r="A333" s="11" t="s">
        <v>72</v>
      </c>
      <c r="B333" s="9" t="str">
        <f>"transport, "&amp;B335&amp;", "&amp;B337&amp;", label-certified electricity"</f>
        <v>transport, Motorbike, electric, 4-11kW, 2020, label-certified electricity</v>
      </c>
    </row>
    <row r="334" spans="1:8" x14ac:dyDescent="0.3">
      <c r="A334" t="s">
        <v>73</v>
      </c>
      <c r="B334" t="s">
        <v>37</v>
      </c>
    </row>
    <row r="335" spans="1:8" x14ac:dyDescent="0.3">
      <c r="A335" t="s">
        <v>87</v>
      </c>
      <c r="B335" t="s">
        <v>521</v>
      </c>
    </row>
    <row r="336" spans="1:8" x14ac:dyDescent="0.3">
      <c r="A336" t="s">
        <v>88</v>
      </c>
      <c r="B336" s="12"/>
    </row>
    <row r="337" spans="1:2" x14ac:dyDescent="0.3">
      <c r="A337" t="s">
        <v>89</v>
      </c>
      <c r="B337" s="12">
        <v>2020</v>
      </c>
    </row>
    <row r="338" spans="1:2" x14ac:dyDescent="0.3">
      <c r="A338" t="s">
        <v>131</v>
      </c>
      <c r="B338" s="12" t="str">
        <f>B335&amp;" - "&amp;B337&amp;" - "&amp;B334</f>
        <v>Motorbike, electric, 4-11kW - 2020 - CH</v>
      </c>
    </row>
    <row r="339" spans="1:2" x14ac:dyDescent="0.3">
      <c r="A339" t="s">
        <v>74</v>
      </c>
      <c r="B339" s="12" t="str">
        <f>"transport, "&amp;B335</f>
        <v>transport, Motorbike, electric, 4-11kW</v>
      </c>
    </row>
    <row r="340" spans="1:2" x14ac:dyDescent="0.3">
      <c r="A340" t="s">
        <v>75</v>
      </c>
      <c r="B340" t="s">
        <v>76</v>
      </c>
    </row>
    <row r="341" spans="1:2" x14ac:dyDescent="0.3">
      <c r="A341" t="s">
        <v>77</v>
      </c>
      <c r="B341" t="s">
        <v>172</v>
      </c>
    </row>
    <row r="342" spans="1:2" x14ac:dyDescent="0.3">
      <c r="A342" t="s">
        <v>79</v>
      </c>
      <c r="B342" t="s">
        <v>90</v>
      </c>
    </row>
    <row r="343" spans="1:2" x14ac:dyDescent="0.3">
      <c r="A343" t="s">
        <v>132</v>
      </c>
      <c r="B343">
        <f>INDEX('vehicles specifications'!$B$3:$CK$86,MATCH(B338,'vehicles specifications'!$A$3:$A$86,0),MATCH("Lifetime [km]",'vehicles specifications'!$B$2:$CK$2,0))</f>
        <v>39800</v>
      </c>
    </row>
    <row r="344" spans="1:2" x14ac:dyDescent="0.3">
      <c r="A344" t="s">
        <v>133</v>
      </c>
      <c r="B344">
        <f>INDEX('vehicles specifications'!$B$3:$CK$86,MATCH(B338,'vehicles specifications'!$A$3:$A$86,0),MATCH("Passengers [unit]",'vehicles specifications'!$B$2:$CK$2,0))</f>
        <v>1.1000000000000001</v>
      </c>
    </row>
    <row r="345" spans="1:2" x14ac:dyDescent="0.3">
      <c r="A345" t="s">
        <v>134</v>
      </c>
      <c r="B345">
        <f>INDEX('vehicles specifications'!$B$3:$CK$86,MATCH(B338,'vehicles specifications'!$A$3:$A$86,0),MATCH("Servicing [unit]",'vehicles specifications'!$B$2:$CK$2,0))</f>
        <v>0.79600000000000004</v>
      </c>
    </row>
    <row r="346" spans="1:2" x14ac:dyDescent="0.3">
      <c r="A346" t="s">
        <v>135</v>
      </c>
      <c r="B346">
        <f>INDEX('vehicles specifications'!$B$3:$CK$86,MATCH(B338,'vehicles specifications'!$A$3:$A$86,0),MATCH("Energy battery replacement [unit]",'vehicles specifications'!$B$2:$CK$2,0))</f>
        <v>1</v>
      </c>
    </row>
    <row r="347" spans="1:2" x14ac:dyDescent="0.3">
      <c r="A347" t="s">
        <v>136</v>
      </c>
      <c r="B347">
        <f>INDEX('vehicles specifications'!$B$3:$CK$86,MATCH(B338,'vehicles specifications'!$A$3:$A$86,0),MATCH("Annual kilometers [km]",'vehicles specifications'!$B$2:$CK$2,0))</f>
        <v>2731</v>
      </c>
    </row>
    <row r="348" spans="1:2" x14ac:dyDescent="0.3">
      <c r="A348" t="s">
        <v>137</v>
      </c>
      <c r="B348" s="2">
        <f>INDEX('vehicles specifications'!$B$3:$CK$86,MATCH(B338,'vehicles specifications'!$A$3:$A$86,0),MATCH("Curb mass [kg]",'vehicles specifications'!$B$2:$CK$2,0))</f>
        <v>103.63382696032849</v>
      </c>
    </row>
    <row r="349" spans="1:2" x14ac:dyDescent="0.3">
      <c r="A349" t="s">
        <v>138</v>
      </c>
      <c r="B349">
        <f>INDEX('vehicles specifications'!$B$3:$CK$86,MATCH(B338,'vehicles specifications'!$A$3:$A$86,0),MATCH("Power [kW]",'vehicles specifications'!$B$2:$CK$2,0))</f>
        <v>4.7</v>
      </c>
    </row>
    <row r="350" spans="1:2" x14ac:dyDescent="0.3">
      <c r="A350" t="s">
        <v>139</v>
      </c>
      <c r="B350">
        <f>INDEX('vehicles specifications'!$B$3:$CK$86,MATCH(B338,'vehicles specifications'!$A$3:$A$86,0),MATCH("Energy battery mass [kg]",'vehicles specifications'!$B$2:$CK$2,0))</f>
        <v>17.399999999999999</v>
      </c>
    </row>
    <row r="351" spans="1:2" x14ac:dyDescent="0.3">
      <c r="A351" t="s">
        <v>140</v>
      </c>
      <c r="B351" s="21">
        <f>INDEX('vehicles specifications'!$B$3:$CK$86,MATCH(B338,'vehicles specifications'!$A$3:$A$86,0),MATCH("Electric energy stored [kWh]",'vehicles specifications'!$B$2:$CK$2,0))</f>
        <v>2.9</v>
      </c>
    </row>
    <row r="352" spans="1:2" s="21" customFormat="1" x14ac:dyDescent="0.3">
      <c r="A352" s="21" t="s">
        <v>654</v>
      </c>
      <c r="B352" s="21">
        <f>INDEX('vehicles specifications'!$B$3:$CK$86,MATCH(B338,'vehicles specifications'!$A$3:$A$86,0),MATCH("Electric energy available [kWh]",'vehicles specifications'!$B$2:$CK$2,0))</f>
        <v>2.3199999999999998</v>
      </c>
    </row>
    <row r="353" spans="1:8" x14ac:dyDescent="0.3">
      <c r="A353" t="s">
        <v>143</v>
      </c>
      <c r="B353" s="2">
        <f>INDEX('vehicles specifications'!$B$3:$CK$86,MATCH(B338,'vehicles specifications'!$A$3:$A$86,0),MATCH("Oxydation energy stored [kWh]",'vehicles specifications'!$B$2:$CK$2,0))</f>
        <v>0</v>
      </c>
    </row>
    <row r="354" spans="1:8" x14ac:dyDescent="0.3">
      <c r="A354" t="s">
        <v>145</v>
      </c>
      <c r="B354">
        <f>INDEX('vehicles specifications'!$B$3:$CK$86,MATCH(B338,'vehicles specifications'!$A$3:$A$86,0),MATCH("Fuel mass [kg]",'vehicles specifications'!$B$2:$CK$2,0))</f>
        <v>0</v>
      </c>
    </row>
    <row r="355" spans="1:8" x14ac:dyDescent="0.3">
      <c r="A355" t="s">
        <v>141</v>
      </c>
      <c r="B355" s="2">
        <f>INDEX('vehicles specifications'!$B$3:$CK$86,MATCH(B338,'vehicles specifications'!$A$3:$A$86,0),MATCH("Range [km]",'vehicles specifications'!$B$2:$CK$2,0))</f>
        <v>45.890109890109891</v>
      </c>
    </row>
    <row r="356" spans="1:8" x14ac:dyDescent="0.3">
      <c r="A356" t="s">
        <v>142</v>
      </c>
      <c r="B356" t="str">
        <f>INDEX('vehicles specifications'!$B$3:$CK$86,MATCH(B338,'vehicles specifications'!$A$3:$A$86,0),MATCH("Emission standard",'vehicles specifications'!$B$2:$CK$2,0))</f>
        <v>None</v>
      </c>
    </row>
    <row r="357" spans="1:8" x14ac:dyDescent="0.3">
      <c r="A357" t="s">
        <v>144</v>
      </c>
      <c r="B357" s="6">
        <f>INDEX('vehicles specifications'!$B$3:$CK$86,MATCH(B338,'vehicles specifications'!$A$3:$A$86,0),MATCH("Lightweighting rate [%]",'vehicles specifications'!$B$2:$CK$2,0))</f>
        <v>0</v>
      </c>
    </row>
    <row r="358" spans="1:8" x14ac:dyDescent="0.3">
      <c r="A358" t="s">
        <v>84</v>
      </c>
      <c r="B358" s="21" t="str">
        <f>"Power: "&amp;B349&amp;" kW. Lifetime: "&amp;B343&amp;" km. Annual kilometers: "&amp;B347&amp;" km. Number of passengers: "&amp;B344&amp;". Curb mass: "&amp;ROUND(B348,1)&amp;" kg. Lightweighting of glider: "&amp;ROUND(B357*100,0)&amp;"%. Emission standard: "&amp;B356&amp;". Service visits throughout lifetime: "&amp;ROUND(B345,1)&amp;". Range: "&amp;ROUND(B355,0)&amp;" km. Battery capacity: "&amp;ROUND(B351,1)&amp;" kWh. Available battery capacity: "&amp;B352&amp;" kWh. Battery mass: "&amp;ROUND(B350,1)&amp; " kg. Battery replacement throughout lifetime: "&amp;ROUND(B346,1)&amp;". Fuel tank capacity: "&amp;ROUND(B353,1)&amp;" kWh. Fuel mass: "&amp;ROUND(B354,1)&amp;" kg. Documentation: "&amp;Readmefirst!$B$2&amp;", "&amp;Readmefirst!$B$3&amp;". "&amp;'lci-kick scooter'!B301</f>
        <v>Power: 4.7 kW. Lifetime: 39800 km. Annual kilometers: 2731 km. Number of passengers: 1.1. Curb mass: 103.6 kg. Lightweighting of glider: 0%. Emission standard: None. Service visits throughout lifetime: 0.8. Range: 46 km. Battery capacity: 2.9 kWh. Available battery capacity: 2.32 kWh. Battery mass: 17.4 kg. Battery replacement throughout lifetime: 1. Fuel tank capacity: 0 kWh. Fuel mass: 0 kg. Documentation: 2021 UVEK life-cycle inventories update of on-road vehicles, Sacchi R. (PSI), Bauer C. (PSI), 2021. 11.81</v>
      </c>
    </row>
    <row r="359" spans="1:8" ht="15.6" x14ac:dyDescent="0.3">
      <c r="A359" s="11" t="s">
        <v>80</v>
      </c>
    </row>
    <row r="360" spans="1:8" x14ac:dyDescent="0.3">
      <c r="A360" t="s">
        <v>81</v>
      </c>
      <c r="B360" t="s">
        <v>82</v>
      </c>
      <c r="C360" t="s">
        <v>73</v>
      </c>
      <c r="D360" t="s">
        <v>77</v>
      </c>
      <c r="E360" t="s">
        <v>83</v>
      </c>
      <c r="F360" t="s">
        <v>75</v>
      </c>
      <c r="G360" t="s">
        <v>84</v>
      </c>
      <c r="H360" t="s">
        <v>74</v>
      </c>
    </row>
    <row r="361" spans="1:8" x14ac:dyDescent="0.3">
      <c r="A361" s="12" t="str">
        <f>B333</f>
        <v>transport, Motorbike, electric, 4-11kW, 2020, label-certified electricity</v>
      </c>
      <c r="B361" s="12">
        <v>1</v>
      </c>
      <c r="C361" s="12" t="str">
        <f>B334</f>
        <v>CH</v>
      </c>
      <c r="D361" s="12" t="s">
        <v>172</v>
      </c>
      <c r="E361" s="12"/>
      <c r="F361" s="12" t="s">
        <v>85</v>
      </c>
      <c r="G361" s="12" t="s">
        <v>86</v>
      </c>
      <c r="H361" s="12" t="str">
        <f>B339</f>
        <v>transport, Motorbike, electric, 4-11kW</v>
      </c>
    </row>
    <row r="362" spans="1:8" x14ac:dyDescent="0.3">
      <c r="A362" s="12" t="str">
        <f>B335&amp;", "&amp;B337</f>
        <v>Motorbike, electric, 4-11kW, 2020</v>
      </c>
      <c r="B362" s="15">
        <f>1/B343</f>
        <v>2.5125628140703518E-5</v>
      </c>
      <c r="C362" s="12" t="str">
        <f>B334</f>
        <v>CH</v>
      </c>
      <c r="D362" s="12" t="s">
        <v>77</v>
      </c>
      <c r="E362" s="12"/>
      <c r="F362" s="12" t="s">
        <v>91</v>
      </c>
      <c r="G362" s="12"/>
      <c r="H362" s="12" t="str">
        <f>RIGHT(H361,LEN(H361)-11)</f>
        <v>Motorbike, electric, 4-11kW</v>
      </c>
    </row>
    <row r="363" spans="1:8" x14ac:dyDescent="0.3">
      <c r="A363" s="12" t="str">
        <f>INDEX('ei names mapping'!$B$4:$R$33,MATCH(B335,'ei names mapping'!$A$4:$A$33,0),MATCH(G363,'ei names mapping'!$B$3:$R$3,0))</f>
        <v>road maintenance</v>
      </c>
      <c r="B363" s="16">
        <f>INDEX('vehicles specifications'!$B$3:$CK$86,MATCH(B338,'vehicles specifications'!$A$3:$A$86,0),MATCH(G363,'vehicles specifications'!$B$2:$CK$2,0))*INDEX('ei names mapping'!$B$137:$BK$220,MATCH(B338,'ei names mapping'!$A$137:$A$220,0),MATCH(G363,'ei names mapping'!$B$136:$BK$136,0))</f>
        <v>1.2899999999999999E-3</v>
      </c>
      <c r="C363" s="12" t="str">
        <f>INDEX('ei names mapping'!$B$38:$R$67,MATCH(B335,'ei names mapping'!$A$4:$A$33,0),MATCH(G363,'ei names mapping'!$B$3:$R$3,0))</f>
        <v>CH</v>
      </c>
      <c r="D363" s="12" t="str">
        <f>INDEX('ei names mapping'!$B$104:$BK$133,MATCH(B335,'ei names mapping'!$A$4:$A$33,0),MATCH(G363,'ei names mapping'!$B$3:$BK$3,0))</f>
        <v>meter-year</v>
      </c>
      <c r="E363" s="12"/>
      <c r="F363" s="12" t="s">
        <v>91</v>
      </c>
      <c r="G363" t="s">
        <v>117</v>
      </c>
      <c r="H363" s="12" t="str">
        <f>INDEX('ei names mapping'!$B$71:$BK$100,MATCH(B335,'ei names mapping'!$A$4:$A$33,0),MATCH(G363,'ei names mapping'!$B$3:$BK$3,0))</f>
        <v>road maintenance</v>
      </c>
    </row>
    <row r="364" spans="1:8" x14ac:dyDescent="0.3">
      <c r="A364" s="12" t="s">
        <v>114</v>
      </c>
      <c r="B364" s="14">
        <f>INDEX('vehicles specifications'!$B$3:$CK$86,MATCH(B338,'vehicles specifications'!$A$3:$A$86,0),MATCH(G364,'vehicles specifications'!$B$2:$CK$2,0))*INDEX('ei names mapping'!$B$137:$BK$220,MATCH(B338,'ei names mapping'!$A$137:$A$220,0),MATCH(G364,'ei names mapping'!$B$136:$BK$136,0))</f>
        <v>5.5611111111111111E-2</v>
      </c>
      <c r="C364" s="12" t="str">
        <f>INDEX('ei names mapping'!$B$38:$R$67,MATCH($B$3,'ei names mapping'!$A$4:$A$33,0),MATCH(G364,'ei names mapping'!$B$3:$R$3,0))</f>
        <v>CH</v>
      </c>
      <c r="D364" s="12" t="str">
        <f>INDEX('ei names mapping'!$B$104:$R$133,MATCH($B$3,'ei names mapping'!$A$4:$A$33,0),MATCH(G364,'ei names mapping'!$B$3:$R$3,0))</f>
        <v>kilowatt hour</v>
      </c>
      <c r="E364" s="12"/>
      <c r="F364" s="12" t="s">
        <v>91</v>
      </c>
      <c r="G364" t="s">
        <v>28</v>
      </c>
      <c r="H364" s="12" t="s">
        <v>116</v>
      </c>
    </row>
    <row r="365" spans="1:8" x14ac:dyDescent="0.3">
      <c r="A365" s="12" t="str">
        <f>INDEX('ei names mapping'!$B$4:$R$33,MATCH(B335,'ei names mapping'!$A$4:$A$33,0),MATCH(G365,'ei names mapping'!$B$3:$R$3,0))</f>
        <v>market for maintenance, electric scooter, without battery</v>
      </c>
      <c r="B365" s="16">
        <f>INDEX('vehicles specifications'!$B$3:$CK$86,MATCH(B338,'vehicles specifications'!$A$3:$A$86,0),MATCH(G365,'vehicles specifications'!$B$2:$CK$2,0))*INDEX('ei names mapping'!$B$137:$BK$220,MATCH(B338,'ei names mapping'!$A$137:$A$220,0),MATCH(G365,'ei names mapping'!$B$136:$BK$136,0))</f>
        <v>2.0000000000000002E-5</v>
      </c>
      <c r="C365" s="12" t="str">
        <f>INDEX('ei names mapping'!$B$38:$BK$67,MATCH(B335,'ei names mapping'!$A$4:$A$33,0),MATCH(G365,'ei names mapping'!$B$3:$BK$3,0))</f>
        <v>GLO</v>
      </c>
      <c r="D365" s="12" t="str">
        <f>INDEX('ei names mapping'!$B$104:$BK$133,MATCH(B335,'ei names mapping'!$A$4:$A$33,0),MATCH(G365,'ei names mapping'!$B$3:$BK$3,0))</f>
        <v>unit</v>
      </c>
      <c r="F365" s="12" t="s">
        <v>91</v>
      </c>
      <c r="G365" s="12" t="s">
        <v>123</v>
      </c>
      <c r="H365" s="12" t="str">
        <f>INDEX('ei names mapping'!$B$71:$BK$100,MATCH(B335,'ei names mapping'!$A$4:$A$33,0),MATCH(G365,'ei names mapping'!$B$3:$BK$3,0))</f>
        <v>maintenance, electric scooter, without battery</v>
      </c>
    </row>
    <row r="366" spans="1:8" s="21" customFormat="1" x14ac:dyDescent="0.3">
      <c r="A366" s="12" t="str">
        <f>INDEX('ei names mapping'!$B$4:$R$33,MATCH(B335,'ei names mapping'!$A$4:$A$33,0),MATCH(G366,'ei names mapping'!$B$3:$R$3,0))</f>
        <v>road construction</v>
      </c>
      <c r="B366" s="16">
        <f>INDEX('vehicles specifications'!$B$3:$CK$86,MATCH(B338,'vehicles specifications'!$A$3:$A$86,0),MATCH(G366,'vehicles specifications'!$B$2:$CK$2,0))*INDEX('ei names mapping'!$B$137:$BK$220,MATCH(B338,'ei names mapping'!$A$137:$A$220,0),MATCH(G366,'ei names mapping'!$B$136:$BK$136,0))</f>
        <v>1.002223650776964E-4</v>
      </c>
      <c r="C366" s="12" t="str">
        <f>INDEX('ei names mapping'!$B$38:$R$67,MATCH(B335,'ei names mapping'!$A$4:$A$33,0),MATCH(G366,'ei names mapping'!$B$3:$R$3,0))</f>
        <v>CH</v>
      </c>
      <c r="D366" s="12" t="str">
        <f>INDEX('ei names mapping'!$B$104:$R$133,MATCH(B335,'ei names mapping'!$A$104:$A$133,0),MATCH(G366,'ei names mapping'!$B$3:$R$3,0))</f>
        <v>meter-year</v>
      </c>
      <c r="E366" s="12"/>
      <c r="F366" s="12" t="s">
        <v>91</v>
      </c>
      <c r="G366" s="21" t="s">
        <v>108</v>
      </c>
      <c r="H366" s="12" t="str">
        <f>INDEX('ei names mapping'!$B$71:$R$100,MATCH(B335,'ei names mapping'!$A$4:$A$33,0),MATCH(G366,'ei names mapping'!$B$3:$R$3,0))</f>
        <v>road</v>
      </c>
    </row>
    <row r="367" spans="1:8" x14ac:dyDescent="0.3">
      <c r="A367" s="12" t="str">
        <f>INDEX('ei names mapping'!$B$4:$BK$33,MATCH(B335,'ei names mapping'!$A$4:$A$33,0),MATCH(G367,'ei names mapping'!$B$3:$BK$3,0))</f>
        <v>treatment of road wear emissions, passenger car</v>
      </c>
      <c r="B367" s="16">
        <f>INDEX('vehicles specifications'!$B$3:$CK$86,MATCH(B338,'vehicles specifications'!$A$3:$A$86,0),MATCH(G367,'vehicles specifications'!$B$2:$CK$2,0))*INDEX('ei names mapping'!$B$137:$BK$220,MATCH(B338,'ei names mapping'!$A$137:$A$220,0),MATCH(G367,'ei names mapping'!$B$136:$BK$136,0))</f>
        <v>-6.0000000000000002E-6</v>
      </c>
      <c r="C367" s="12" t="str">
        <f>INDEX('ei names mapping'!$B$38:$BK$67,MATCH(B335,'ei names mapping'!$A$4:$A$33,0),MATCH(G367,'ei names mapping'!$B$3:$BK$3,0))</f>
        <v>RER</v>
      </c>
      <c r="D367" s="12" t="str">
        <f>INDEX('ei names mapping'!$B$104:$BK$133,MATCH(B335,'ei names mapping'!$A$4:$A$33,0),MATCH(G367,'ei names mapping'!$B$3:$BK$3,0))</f>
        <v>kilogram</v>
      </c>
      <c r="E367" s="12"/>
      <c r="F367" s="12" t="s">
        <v>91</v>
      </c>
      <c r="G367" t="s">
        <v>29</v>
      </c>
      <c r="H367" s="12" t="str">
        <f>INDEX('ei names mapping'!$B$71:$BK$100,MATCH(B335,'ei names mapping'!$A$4:$A$33,0),MATCH(G367,'ei names mapping'!$B$3:$BK$3,0))</f>
        <v>road wear emissions, passenger car</v>
      </c>
    </row>
    <row r="368" spans="1:8" x14ac:dyDescent="0.3">
      <c r="A368" s="12" t="str">
        <f>INDEX('ei names mapping'!$B$4:$BK$33,MATCH(B335,'ei names mapping'!$A$4:$A$33,0),MATCH(G368,'ei names mapping'!$B$3:$BK$3,0))</f>
        <v>treatment of tyre wear emissions, passenger car</v>
      </c>
      <c r="B368" s="16">
        <f>INDEX('vehicles specifications'!$B$3:$CK$86,MATCH(B338,'vehicles specifications'!$A$3:$A$86,0),MATCH(G368,'vehicles specifications'!$B$2:$CK$2,0))*INDEX('ei names mapping'!$B$137:$BK$220,MATCH(B338,'ei names mapping'!$A$137:$A$220,0),MATCH(G368,'ei names mapping'!$B$136:$BK$136,0))</f>
        <v>-7.3669999999999991E-6</v>
      </c>
      <c r="C368" s="12" t="str">
        <f>INDEX('ei names mapping'!$B$38:$BK$67,MATCH(B335,'ei names mapping'!$A$4:$A$33,0),MATCH(G368,'ei names mapping'!$B$3:$BK$3,0))</f>
        <v>RER</v>
      </c>
      <c r="D368" s="12" t="str">
        <f>INDEX('ei names mapping'!$B$104:$BK$133,MATCH(B335,'ei names mapping'!$A$4:$A$33,0),MATCH(G368,'ei names mapping'!$B$3:$BK$3,0))</f>
        <v>kilogram</v>
      </c>
      <c r="E368" s="12"/>
      <c r="F368" s="12" t="s">
        <v>91</v>
      </c>
      <c r="G368" t="s">
        <v>30</v>
      </c>
      <c r="H368" s="12" t="str">
        <f>INDEX('ei names mapping'!$B$71:$BK$100,MATCH(B335,'ei names mapping'!$A$4:$A$33,0),MATCH(G368,'ei names mapping'!$B$3:$BK$3,0))</f>
        <v>tyre wear emissions, passenger car</v>
      </c>
    </row>
    <row r="369" spans="1:8" x14ac:dyDescent="0.3">
      <c r="A369" s="12" t="str">
        <f>INDEX('ei names mapping'!$B$4:$BK$33,MATCH(B335,'ei names mapping'!$A$4:$A$33,0),MATCH(G369,'ei names mapping'!$B$3:$BK$3,0))</f>
        <v>treatment of brake wear emissions, passenger car</v>
      </c>
      <c r="B369" s="16">
        <f>INDEX('vehicles specifications'!$B$3:$CK$86,MATCH(B338,'vehicles specifications'!$A$3:$A$86,0),MATCH(G369,'vehicles specifications'!$B$2:$CK$2,0))*INDEX('ei names mapping'!$B$137:$BK$220,MATCH(B338,'ei names mapping'!$A$137:$A$220,0),MATCH(G369,'ei names mapping'!$B$136:$BK$136,0))</f>
        <v>-4.1749999999999998E-6</v>
      </c>
      <c r="C369" s="12" t="str">
        <f>INDEX('ei names mapping'!$B$38:$BK$67,MATCH(B335,'ei names mapping'!$A$4:$A$33,0),MATCH(G369,'ei names mapping'!$B$3:$BK$3,0))</f>
        <v>RER</v>
      </c>
      <c r="D369" s="12" t="str">
        <f>INDEX('ei names mapping'!$B$104:$BK$133,MATCH(B335,'ei names mapping'!$A$4:$A$33,0),MATCH(G369,'ei names mapping'!$B$3:$BK$3,0))</f>
        <v>kilogram</v>
      </c>
      <c r="E369" s="12"/>
      <c r="F369" s="12" t="s">
        <v>91</v>
      </c>
      <c r="G369" t="s">
        <v>31</v>
      </c>
      <c r="H369" s="12" t="str">
        <f>INDEX('ei names mapping'!$B$71:$BK$100,MATCH(B335,'ei names mapping'!$A$4:$A$33,0),MATCH(G369,'ei names mapping'!$B$3:$BK$3,0))</f>
        <v>brake wear emissions, passenger car</v>
      </c>
    </row>
    <row r="370" spans="1:8" x14ac:dyDescent="0.3">
      <c r="B370" s="6"/>
    </row>
    <row r="371" spans="1:8" ht="15.6" x14ac:dyDescent="0.3">
      <c r="A371" s="11" t="s">
        <v>72</v>
      </c>
      <c r="B371" s="9" t="str">
        <f>"transport, "&amp;B373&amp;", "&amp;B375&amp;", label-certified electricity"</f>
        <v>transport, Motorbike, electric, 4-11kW, 2030, label-certified electricity</v>
      </c>
    </row>
    <row r="372" spans="1:8" x14ac:dyDescent="0.3">
      <c r="A372" t="s">
        <v>73</v>
      </c>
      <c r="B372" t="s">
        <v>37</v>
      </c>
    </row>
    <row r="373" spans="1:8" x14ac:dyDescent="0.3">
      <c r="A373" t="s">
        <v>87</v>
      </c>
      <c r="B373" t="s">
        <v>521</v>
      </c>
    </row>
    <row r="374" spans="1:8" x14ac:dyDescent="0.3">
      <c r="A374" t="s">
        <v>88</v>
      </c>
      <c r="B374" s="12"/>
    </row>
    <row r="375" spans="1:8" x14ac:dyDescent="0.3">
      <c r="A375" t="s">
        <v>89</v>
      </c>
      <c r="B375" s="12">
        <v>2030</v>
      </c>
    </row>
    <row r="376" spans="1:8" x14ac:dyDescent="0.3">
      <c r="A376" t="s">
        <v>131</v>
      </c>
      <c r="B376" s="12" t="str">
        <f>B373&amp;" - "&amp;B375&amp;" - "&amp;B372</f>
        <v>Motorbike, electric, 4-11kW - 2030 - CH</v>
      </c>
    </row>
    <row r="377" spans="1:8" x14ac:dyDescent="0.3">
      <c r="A377" t="s">
        <v>74</v>
      </c>
      <c r="B377" s="12" t="str">
        <f>"transport, "&amp;B373</f>
        <v>transport, Motorbike, electric, 4-11kW</v>
      </c>
    </row>
    <row r="378" spans="1:8" x14ac:dyDescent="0.3">
      <c r="A378" t="s">
        <v>75</v>
      </c>
      <c r="B378" t="s">
        <v>76</v>
      </c>
    </row>
    <row r="379" spans="1:8" x14ac:dyDescent="0.3">
      <c r="A379" t="s">
        <v>77</v>
      </c>
      <c r="B379" t="s">
        <v>172</v>
      </c>
    </row>
    <row r="380" spans="1:8" x14ac:dyDescent="0.3">
      <c r="A380" t="s">
        <v>79</v>
      </c>
      <c r="B380" t="s">
        <v>90</v>
      </c>
    </row>
    <row r="381" spans="1:8" x14ac:dyDescent="0.3">
      <c r="A381" t="s">
        <v>132</v>
      </c>
      <c r="B381">
        <f>INDEX('vehicles specifications'!$B$3:$CK$86,MATCH(B376,'vehicles specifications'!$A$3:$A$86,0),MATCH("Lifetime [km]",'vehicles specifications'!$B$2:$CK$2,0))</f>
        <v>39800</v>
      </c>
    </row>
    <row r="382" spans="1:8" x14ac:dyDescent="0.3">
      <c r="A382" t="s">
        <v>133</v>
      </c>
      <c r="B382">
        <f>INDEX('vehicles specifications'!$B$3:$CK$86,MATCH(B376,'vehicles specifications'!$A$3:$A$86,0),MATCH("Passengers [unit]",'vehicles specifications'!$B$2:$CK$2,0))</f>
        <v>1.1000000000000001</v>
      </c>
    </row>
    <row r="383" spans="1:8" x14ac:dyDescent="0.3">
      <c r="A383" t="s">
        <v>134</v>
      </c>
      <c r="B383">
        <f>INDEX('vehicles specifications'!$B$3:$CK$86,MATCH(B376,'vehicles specifications'!$A$3:$A$86,0),MATCH("Servicing [unit]",'vehicles specifications'!$B$2:$CK$2,0))</f>
        <v>0.79600000000000004</v>
      </c>
    </row>
    <row r="384" spans="1:8" x14ac:dyDescent="0.3">
      <c r="A384" t="s">
        <v>135</v>
      </c>
      <c r="B384">
        <f>INDEX('vehicles specifications'!$B$3:$CK$86,MATCH(B376,'vehicles specifications'!$A$3:$A$86,0),MATCH("Energy battery replacement [unit]",'vehicles specifications'!$B$2:$CK$2,0))</f>
        <v>0.5</v>
      </c>
    </row>
    <row r="385" spans="1:8" x14ac:dyDescent="0.3">
      <c r="A385" t="s">
        <v>136</v>
      </c>
      <c r="B385">
        <f>INDEX('vehicles specifications'!$B$3:$CK$86,MATCH(B376,'vehicles specifications'!$A$3:$A$86,0),MATCH("Annual kilometers [km]",'vehicles specifications'!$B$2:$CK$2,0))</f>
        <v>2731</v>
      </c>
    </row>
    <row r="386" spans="1:8" x14ac:dyDescent="0.3">
      <c r="A386" t="s">
        <v>137</v>
      </c>
      <c r="B386" s="2">
        <f>INDEX('vehicles specifications'!$B$3:$CK$86,MATCH(B376,'vehicles specifications'!$A$3:$A$86,0),MATCH("Curb mass [kg]",'vehicles specifications'!$B$2:$CK$2,0))</f>
        <v>104.27081215151863</v>
      </c>
    </row>
    <row r="387" spans="1:8" x14ac:dyDescent="0.3">
      <c r="A387" t="s">
        <v>138</v>
      </c>
      <c r="B387">
        <f>INDEX('vehicles specifications'!$B$3:$CK$86,MATCH(B376,'vehicles specifications'!$A$3:$A$86,0),MATCH("Power [kW]",'vehicles specifications'!$B$2:$CK$2,0))</f>
        <v>4.7</v>
      </c>
    </row>
    <row r="388" spans="1:8" x14ac:dyDescent="0.3">
      <c r="A388" t="s">
        <v>139</v>
      </c>
      <c r="B388">
        <f>INDEX('vehicles specifications'!$B$3:$CK$86,MATCH(B376,'vehicles specifications'!$A$3:$A$86,0),MATCH("Energy battery mass [kg]",'vehicles specifications'!$B$2:$CK$2,0))</f>
        <v>20</v>
      </c>
    </row>
    <row r="389" spans="1:8" x14ac:dyDescent="0.3">
      <c r="A389" t="s">
        <v>140</v>
      </c>
      <c r="B389" s="21">
        <f>INDEX('vehicles specifications'!$B$3:$CK$86,MATCH(B376,'vehicles specifications'!$A$3:$A$86,0),MATCH("Electric energy stored [kWh]",'vehicles specifications'!$B$2:$CK$2,0))</f>
        <v>5</v>
      </c>
    </row>
    <row r="390" spans="1:8" s="21" customFormat="1" x14ac:dyDescent="0.3">
      <c r="A390" s="21" t="s">
        <v>654</v>
      </c>
      <c r="B390" s="21">
        <f>INDEX('vehicles specifications'!$B$3:$CK$86,MATCH(B376,'vehicles specifications'!$A$3:$A$86,0),MATCH("Electric energy available [kWh]",'vehicles specifications'!$B$2:$CK$2,0))</f>
        <v>4</v>
      </c>
    </row>
    <row r="391" spans="1:8" x14ac:dyDescent="0.3">
      <c r="A391" t="s">
        <v>143</v>
      </c>
      <c r="B391" s="2">
        <f>INDEX('vehicles specifications'!$B$3:$CK$86,MATCH(B376,'vehicles specifications'!$A$3:$A$86,0),MATCH("Oxydation energy stored [kWh]",'vehicles specifications'!$B$2:$CK$2,0))</f>
        <v>0</v>
      </c>
    </row>
    <row r="392" spans="1:8" x14ac:dyDescent="0.3">
      <c r="A392" t="s">
        <v>145</v>
      </c>
      <c r="B392">
        <f>INDEX('vehicles specifications'!$B$3:$CK$86,MATCH(B376,'vehicles specifications'!$A$3:$A$86,0),MATCH("Fuel mass [kg]",'vehicles specifications'!$B$2:$CK$2,0))</f>
        <v>0</v>
      </c>
    </row>
    <row r="393" spans="1:8" x14ac:dyDescent="0.3">
      <c r="A393" t="s">
        <v>141</v>
      </c>
      <c r="B393" s="2">
        <f>INDEX('vehicles specifications'!$B$3:$CK$86,MATCH(B376,'vehicles specifications'!$A$3:$A$86,0),MATCH("Range [km]",'vehicles specifications'!$B$2:$CK$2,0))</f>
        <v>79.120879120879124</v>
      </c>
    </row>
    <row r="394" spans="1:8" x14ac:dyDescent="0.3">
      <c r="A394" t="s">
        <v>142</v>
      </c>
      <c r="B394" t="str">
        <f>INDEX('vehicles specifications'!$B$3:$CK$86,MATCH(B376,'vehicles specifications'!$A$3:$A$86,0),MATCH("Emission standard",'vehicles specifications'!$B$2:$CK$2,0))</f>
        <v>None</v>
      </c>
    </row>
    <row r="395" spans="1:8" x14ac:dyDescent="0.3">
      <c r="A395" t="s">
        <v>144</v>
      </c>
      <c r="B395" s="6">
        <f>INDEX('vehicles specifications'!$B$3:$CK$86,MATCH(B376,'vehicles specifications'!$A$3:$A$86,0),MATCH("Lightweighting rate [%]",'vehicles specifications'!$B$2:$CK$2,0))</f>
        <v>0.03</v>
      </c>
    </row>
    <row r="396" spans="1:8" x14ac:dyDescent="0.3">
      <c r="A396" t="s">
        <v>84</v>
      </c>
      <c r="B396" s="21" t="str">
        <f>"Power: "&amp;B387&amp;" kW. Lifetime: "&amp;B381&amp;" km. Annual kilometers: "&amp;B385&amp;" km. Number of passengers: "&amp;B382&amp;". Curb mass: "&amp;ROUND(B386,1)&amp;" kg. Lightweighting of glider: "&amp;ROUND(B395*100,0)&amp;"%. Emission standard: "&amp;B394&amp;". Service visits throughout lifetime: "&amp;ROUND(B383,1)&amp;". Range: "&amp;ROUND(B393,0)&amp;" km. Battery capacity: "&amp;ROUND(B389,1)&amp;" kWh. Available battery capacity: "&amp;B390&amp;" kWh. Battery mass: "&amp;ROUND(B388,1)&amp; " kg. Battery replacement throughout lifetime: "&amp;ROUND(B384,1)&amp;". Fuel tank capacity: "&amp;ROUND(B391,1)&amp;" kWh. Fuel mass: "&amp;ROUND(B392,1)&amp;" kg. Documentation: "&amp;Readmefirst!$B$2&amp;", "&amp;Readmefirst!$B$3&amp;". "&amp;'lci-kick scooter'!B339</f>
        <v xml:space="preserve">Power: 4.7 kW. Lifetime: 39800 km. Annual kilometers: 2731 km. Number of passengers: 1.1. Curb mass: 104.3 kg. Lightweighting of glider: 3%. Emission standard: None. Service visits throughout lifetime: 0.8. Range: 79 km. Battery capacity: 5 kWh. Available battery capacity: 4 kWh. Battery mass: 20 kg. Battery replacement throughout lifetime: 0.5. Fuel tank capacity: 0 kWh. Fuel mass: 0 kg. Documentation: 2021 UVEK life-cycle inventories update of on-road vehicles, Sacchi R. (PSI), Bauer C. (PSI), 2021. </v>
      </c>
    </row>
    <row r="397" spans="1:8" ht="15.6" x14ac:dyDescent="0.3">
      <c r="A397" s="11" t="s">
        <v>80</v>
      </c>
    </row>
    <row r="398" spans="1:8" x14ac:dyDescent="0.3">
      <c r="A398" t="s">
        <v>81</v>
      </c>
      <c r="B398" t="s">
        <v>82</v>
      </c>
      <c r="C398" t="s">
        <v>73</v>
      </c>
      <c r="D398" t="s">
        <v>77</v>
      </c>
      <c r="E398" t="s">
        <v>83</v>
      </c>
      <c r="F398" t="s">
        <v>75</v>
      </c>
      <c r="G398" t="s">
        <v>84</v>
      </c>
      <c r="H398" t="s">
        <v>74</v>
      </c>
    </row>
    <row r="399" spans="1:8" x14ac:dyDescent="0.3">
      <c r="A399" s="12" t="str">
        <f>B371</f>
        <v>transport, Motorbike, electric, 4-11kW, 2030, label-certified electricity</v>
      </c>
      <c r="B399" s="12">
        <v>1</v>
      </c>
      <c r="C399" s="12" t="str">
        <f>B372</f>
        <v>CH</v>
      </c>
      <c r="D399" s="12" t="s">
        <v>172</v>
      </c>
      <c r="E399" s="12"/>
      <c r="F399" s="12" t="s">
        <v>85</v>
      </c>
      <c r="G399" s="12" t="s">
        <v>86</v>
      </c>
      <c r="H399" s="12" t="str">
        <f>B377</f>
        <v>transport, Motorbike, electric, 4-11kW</v>
      </c>
    </row>
    <row r="400" spans="1:8" x14ac:dyDescent="0.3">
      <c r="A400" s="12" t="str">
        <f>B373&amp;", "&amp;B375</f>
        <v>Motorbike, electric, 4-11kW, 2030</v>
      </c>
      <c r="B400" s="12">
        <f>1/B381</f>
        <v>2.5125628140703518E-5</v>
      </c>
      <c r="C400" s="12" t="str">
        <f>B372</f>
        <v>CH</v>
      </c>
      <c r="D400" s="12" t="s">
        <v>77</v>
      </c>
      <c r="E400" s="12"/>
      <c r="F400" s="12" t="s">
        <v>91</v>
      </c>
      <c r="G400" s="12"/>
      <c r="H400" s="12" t="str">
        <f>RIGHT(H399,LEN(H399)-11)</f>
        <v>Motorbike, electric, 4-11kW</v>
      </c>
    </row>
    <row r="401" spans="1:8" x14ac:dyDescent="0.3">
      <c r="A401" s="12" t="str">
        <f>INDEX('ei names mapping'!$B$4:$R$33,MATCH(B373,'ei names mapping'!$A$4:$A$33,0),MATCH(G401,'ei names mapping'!$B$3:$R$3,0))</f>
        <v>road maintenance</v>
      </c>
      <c r="B401" s="16">
        <f>INDEX('vehicles specifications'!$B$3:$CK$86,MATCH(B376,'vehicles specifications'!$A$3:$A$86,0),MATCH(G401,'vehicles specifications'!$B$2:$CK$2,0))*INDEX('ei names mapping'!$B$137:$BK$220,MATCH(B376,'ei names mapping'!$A$137:$A$220,0),MATCH(G401,'ei names mapping'!$B$136:$BK$136,0))</f>
        <v>1.2899999999999999E-3</v>
      </c>
      <c r="C401" s="12" t="str">
        <f>INDEX('ei names mapping'!$B$38:$R$67,MATCH(B373,'ei names mapping'!$A$4:$A$33,0),MATCH(G401,'ei names mapping'!$B$3:$R$3,0))</f>
        <v>CH</v>
      </c>
      <c r="D401" s="12" t="str">
        <f>INDEX('ei names mapping'!$B$104:$BK$133,MATCH(B373,'ei names mapping'!$A$4:$A$33,0),MATCH(G401,'ei names mapping'!$B$3:$BK$3,0))</f>
        <v>meter-year</v>
      </c>
      <c r="E401" s="12"/>
      <c r="F401" s="12" t="s">
        <v>91</v>
      </c>
      <c r="G401" t="s">
        <v>117</v>
      </c>
      <c r="H401" s="12" t="str">
        <f>INDEX('ei names mapping'!$B$71:$BK$100,MATCH(B373,'ei names mapping'!$A$4:$A$33,0),MATCH(G401,'ei names mapping'!$B$3:$BK$3,0))</f>
        <v>road maintenance</v>
      </c>
    </row>
    <row r="402" spans="1:8" x14ac:dyDescent="0.3">
      <c r="A402" s="12" t="s">
        <v>114</v>
      </c>
      <c r="B402" s="14">
        <f>INDEX('vehicles specifications'!$B$3:$CK$86,MATCH(B376,'vehicles specifications'!$A$3:$A$86,0),MATCH(G402,'vehicles specifications'!$B$2:$CK$2,0))*INDEX('ei names mapping'!$B$137:$BK$220,MATCH(B376,'ei names mapping'!$A$137:$A$220,0),MATCH(G402,'ei names mapping'!$B$136:$BK$136,0))</f>
        <v>5.5611111111111111E-2</v>
      </c>
      <c r="C402" s="12" t="str">
        <f>INDEX('ei names mapping'!$B$38:$R$67,MATCH($B$3,'ei names mapping'!$A$4:$A$33,0),MATCH(G402,'ei names mapping'!$B$3:$R$3,0))</f>
        <v>CH</v>
      </c>
      <c r="D402" s="12" t="str">
        <f>INDEX('ei names mapping'!$B$104:$R$133,MATCH($B$3,'ei names mapping'!$A$4:$A$33,0),MATCH(G402,'ei names mapping'!$B$3:$R$3,0))</f>
        <v>kilowatt hour</v>
      </c>
      <c r="E402" s="12"/>
      <c r="F402" s="12" t="s">
        <v>91</v>
      </c>
      <c r="G402" t="s">
        <v>28</v>
      </c>
      <c r="H402" s="12" t="s">
        <v>116</v>
      </c>
    </row>
    <row r="403" spans="1:8" x14ac:dyDescent="0.3">
      <c r="A403" s="12" t="str">
        <f>INDEX('ei names mapping'!$B$4:$R$33,MATCH(B373,'ei names mapping'!$A$4:$A$33,0),MATCH(G403,'ei names mapping'!$B$3:$R$3,0))</f>
        <v>market for maintenance, electric scooter, without battery</v>
      </c>
      <c r="B403" s="16">
        <f>INDEX('vehicles specifications'!$B$3:$CK$86,MATCH(B376,'vehicles specifications'!$A$3:$A$86,0),MATCH(G403,'vehicles specifications'!$B$2:$CK$2,0))*INDEX('ei names mapping'!$B$137:$BK$220,MATCH(B376,'ei names mapping'!$A$137:$A$220,0),MATCH(G403,'ei names mapping'!$B$136:$BK$136,0))</f>
        <v>2.0000000000000002E-5</v>
      </c>
      <c r="C403" s="12" t="str">
        <f>INDEX('ei names mapping'!$B$38:$BK$67,MATCH(B373,'ei names mapping'!$A$4:$A$33,0),MATCH(G403,'ei names mapping'!$B$3:$BK$3,0))</f>
        <v>GLO</v>
      </c>
      <c r="D403" s="12" t="str">
        <f>INDEX('ei names mapping'!$B$104:$BK$133,MATCH(B373,'ei names mapping'!$A$4:$A$33,0),MATCH(G403,'ei names mapping'!$B$3:$BK$3,0))</f>
        <v>unit</v>
      </c>
      <c r="F403" s="12" t="s">
        <v>91</v>
      </c>
      <c r="G403" s="12" t="s">
        <v>123</v>
      </c>
      <c r="H403" s="12" t="str">
        <f>INDEX('ei names mapping'!$B$71:$BK$100,MATCH(B373,'ei names mapping'!$A$4:$A$33,0),MATCH(G403,'ei names mapping'!$B$3:$BK$3,0))</f>
        <v>maintenance, electric scooter, without battery</v>
      </c>
    </row>
    <row r="404" spans="1:8" s="21" customFormat="1" x14ac:dyDescent="0.3">
      <c r="A404" s="12" t="str">
        <f>INDEX('ei names mapping'!$B$4:$R$33,MATCH(B373,'ei names mapping'!$A$4:$A$33,0),MATCH(G404,'ei names mapping'!$B$3:$R$3,0))</f>
        <v>road construction</v>
      </c>
      <c r="B404" s="16">
        <f>INDEX('vehicles specifications'!$B$3:$CK$86,MATCH(B376,'vehicles specifications'!$A$3:$A$86,0),MATCH(G404,'vehicles specifications'!$B$2:$CK$2,0))*INDEX('ei names mapping'!$B$137:$BK$220,MATCH(B376,'ei names mapping'!$A$137:$A$220,0),MATCH(G404,'ei names mapping'!$B$136:$BK$136,0))</f>
        <v>1.005644261253655E-4</v>
      </c>
      <c r="C404" s="12" t="str">
        <f>INDEX('ei names mapping'!$B$38:$R$67,MATCH(B373,'ei names mapping'!$A$4:$A$33,0),MATCH(G404,'ei names mapping'!$B$3:$R$3,0))</f>
        <v>CH</v>
      </c>
      <c r="D404" s="12" t="str">
        <f>INDEX('ei names mapping'!$B$104:$R$133,MATCH(B373,'ei names mapping'!$A$104:$A$133,0),MATCH(G404,'ei names mapping'!$B$3:$R$3,0))</f>
        <v>meter-year</v>
      </c>
      <c r="E404" s="12"/>
      <c r="F404" s="12" t="s">
        <v>91</v>
      </c>
      <c r="G404" s="21" t="s">
        <v>108</v>
      </c>
      <c r="H404" s="12" t="str">
        <f>INDEX('ei names mapping'!$B$71:$R$100,MATCH(B373,'ei names mapping'!$A$4:$A$33,0),MATCH(G404,'ei names mapping'!$B$3:$R$3,0))</f>
        <v>road</v>
      </c>
    </row>
    <row r="405" spans="1:8" x14ac:dyDescent="0.3">
      <c r="A405" s="12" t="str">
        <f>INDEX('ei names mapping'!$B$4:$BK$33,MATCH(B373,'ei names mapping'!$A$4:$A$33,0),MATCH(G405,'ei names mapping'!$B$3:$BK$3,0))</f>
        <v>treatment of road wear emissions, passenger car</v>
      </c>
      <c r="B405" s="16">
        <f>INDEX('vehicles specifications'!$B$3:$CK$86,MATCH(B376,'vehicles specifications'!$A$3:$A$86,0),MATCH(G405,'vehicles specifications'!$B$2:$CK$2,0))*INDEX('ei names mapping'!$B$137:$BK$220,MATCH(B376,'ei names mapping'!$A$137:$A$220,0),MATCH(G405,'ei names mapping'!$B$136:$BK$136,0))</f>
        <v>-6.0000000000000002E-6</v>
      </c>
      <c r="C405" s="12" t="str">
        <f>INDEX('ei names mapping'!$B$38:$BK$67,MATCH(B373,'ei names mapping'!$A$4:$A$33,0),MATCH(G405,'ei names mapping'!$B$3:$BK$3,0))</f>
        <v>RER</v>
      </c>
      <c r="D405" s="12" t="str">
        <f>INDEX('ei names mapping'!$B$104:$BK$133,MATCH(B373,'ei names mapping'!$A$4:$A$33,0),MATCH(G405,'ei names mapping'!$B$3:$BK$3,0))</f>
        <v>kilogram</v>
      </c>
      <c r="E405" s="12"/>
      <c r="F405" s="12" t="s">
        <v>91</v>
      </c>
      <c r="G405" t="s">
        <v>29</v>
      </c>
      <c r="H405" s="12" t="str">
        <f>INDEX('ei names mapping'!$B$71:$BK$100,MATCH(B373,'ei names mapping'!$A$4:$A$33,0),MATCH(G405,'ei names mapping'!$B$3:$BK$3,0))</f>
        <v>road wear emissions, passenger car</v>
      </c>
    </row>
    <row r="406" spans="1:8" x14ac:dyDescent="0.3">
      <c r="A406" s="12" t="str">
        <f>INDEX('ei names mapping'!$B$4:$BK$33,MATCH(B373,'ei names mapping'!$A$4:$A$33,0),MATCH(G406,'ei names mapping'!$B$3:$BK$3,0))</f>
        <v>treatment of tyre wear emissions, passenger car</v>
      </c>
      <c r="B406" s="16">
        <f>INDEX('vehicles specifications'!$B$3:$CK$86,MATCH(B376,'vehicles specifications'!$A$3:$A$86,0),MATCH(G406,'vehicles specifications'!$B$2:$CK$2,0))*INDEX('ei names mapping'!$B$137:$BK$220,MATCH(B376,'ei names mapping'!$A$137:$A$220,0),MATCH(G406,'ei names mapping'!$B$136:$BK$136,0))</f>
        <v>-7.3669999999999991E-6</v>
      </c>
      <c r="C406" s="12" t="str">
        <f>INDEX('ei names mapping'!$B$38:$BK$67,MATCH(B373,'ei names mapping'!$A$4:$A$33,0),MATCH(G406,'ei names mapping'!$B$3:$BK$3,0))</f>
        <v>RER</v>
      </c>
      <c r="D406" s="12" t="str">
        <f>INDEX('ei names mapping'!$B$104:$BK$133,MATCH(B373,'ei names mapping'!$A$4:$A$33,0),MATCH(G406,'ei names mapping'!$B$3:$BK$3,0))</f>
        <v>kilogram</v>
      </c>
      <c r="E406" s="12"/>
      <c r="F406" s="12" t="s">
        <v>91</v>
      </c>
      <c r="G406" t="s">
        <v>30</v>
      </c>
      <c r="H406" s="12" t="str">
        <f>INDEX('ei names mapping'!$B$71:$BK$100,MATCH(B373,'ei names mapping'!$A$4:$A$33,0),MATCH(G406,'ei names mapping'!$B$3:$BK$3,0))</f>
        <v>tyre wear emissions, passenger car</v>
      </c>
    </row>
    <row r="407" spans="1:8" x14ac:dyDescent="0.3">
      <c r="A407" s="12" t="str">
        <f>INDEX('ei names mapping'!$B$4:$BK$33,MATCH(B373,'ei names mapping'!$A$4:$A$33,0),MATCH(G407,'ei names mapping'!$B$3:$BK$3,0))</f>
        <v>treatment of brake wear emissions, passenger car</v>
      </c>
      <c r="B407" s="16">
        <f>INDEX('vehicles specifications'!$B$3:$CK$86,MATCH(B376,'vehicles specifications'!$A$3:$A$86,0),MATCH(G407,'vehicles specifications'!$B$2:$CK$2,0))*INDEX('ei names mapping'!$B$137:$BK$220,MATCH(B376,'ei names mapping'!$A$137:$A$220,0),MATCH(G407,'ei names mapping'!$B$136:$BK$136,0))</f>
        <v>-4.1749999999999998E-6</v>
      </c>
      <c r="C407" s="12" t="str">
        <f>INDEX('ei names mapping'!$B$38:$BK$67,MATCH(B373,'ei names mapping'!$A$4:$A$33,0),MATCH(G407,'ei names mapping'!$B$3:$BK$3,0))</f>
        <v>RER</v>
      </c>
      <c r="D407" s="12" t="str">
        <f>INDEX('ei names mapping'!$B$104:$BK$133,MATCH(B373,'ei names mapping'!$A$4:$A$33,0),MATCH(G407,'ei names mapping'!$B$3:$BK$3,0))</f>
        <v>kilogram</v>
      </c>
      <c r="E407" s="12"/>
      <c r="F407" s="12" t="s">
        <v>91</v>
      </c>
      <c r="G407" t="s">
        <v>31</v>
      </c>
      <c r="H407" s="12" t="str">
        <f>INDEX('ei names mapping'!$B$71:$BK$100,MATCH(B373,'ei names mapping'!$A$4:$A$33,0),MATCH(G407,'ei names mapping'!$B$3:$BK$3,0))</f>
        <v>brake wear emissions, passenger car</v>
      </c>
    </row>
    <row r="409" spans="1:8" ht="15.6" x14ac:dyDescent="0.3">
      <c r="A409" s="11" t="s">
        <v>72</v>
      </c>
      <c r="B409" s="9" t="str">
        <f>"transport, "&amp;B411&amp;", "&amp;B413&amp;", label-certified electricity"</f>
        <v>transport, Motorbike, electric, 4-11kW, 2040, label-certified electricity</v>
      </c>
    </row>
    <row r="410" spans="1:8" x14ac:dyDescent="0.3">
      <c r="A410" t="s">
        <v>73</v>
      </c>
      <c r="B410" t="s">
        <v>37</v>
      </c>
    </row>
    <row r="411" spans="1:8" x14ac:dyDescent="0.3">
      <c r="A411" t="s">
        <v>87</v>
      </c>
      <c r="B411" t="s">
        <v>521</v>
      </c>
    </row>
    <row r="412" spans="1:8" x14ac:dyDescent="0.3">
      <c r="A412" t="s">
        <v>88</v>
      </c>
      <c r="B412" s="12"/>
    </row>
    <row r="413" spans="1:8" x14ac:dyDescent="0.3">
      <c r="A413" t="s">
        <v>89</v>
      </c>
      <c r="B413" s="12">
        <v>2040</v>
      </c>
    </row>
    <row r="414" spans="1:8" x14ac:dyDescent="0.3">
      <c r="A414" t="s">
        <v>131</v>
      </c>
      <c r="B414" s="12" t="str">
        <f>B411&amp;" - "&amp;B413&amp;" - "&amp;B410</f>
        <v>Motorbike, electric, 4-11kW - 2040 - CH</v>
      </c>
    </row>
    <row r="415" spans="1:8" x14ac:dyDescent="0.3">
      <c r="A415" t="s">
        <v>74</v>
      </c>
      <c r="B415" s="12" t="str">
        <f>"transport, "&amp;B411</f>
        <v>transport, Motorbike, electric, 4-11kW</v>
      </c>
    </row>
    <row r="416" spans="1:8" x14ac:dyDescent="0.3">
      <c r="A416" t="s">
        <v>75</v>
      </c>
      <c r="B416" t="s">
        <v>76</v>
      </c>
    </row>
    <row r="417" spans="1:2" x14ac:dyDescent="0.3">
      <c r="A417" t="s">
        <v>77</v>
      </c>
      <c r="B417" t="s">
        <v>172</v>
      </c>
    </row>
    <row r="418" spans="1:2" x14ac:dyDescent="0.3">
      <c r="A418" t="s">
        <v>79</v>
      </c>
      <c r="B418" t="s">
        <v>90</v>
      </c>
    </row>
    <row r="419" spans="1:2" x14ac:dyDescent="0.3">
      <c r="A419" t="s">
        <v>132</v>
      </c>
      <c r="B419">
        <f>INDEX('vehicles specifications'!$B$3:$CK$86,MATCH(B414,'vehicles specifications'!$A$3:$A$86,0),MATCH("Lifetime [km]",'vehicles specifications'!$B$2:$CK$2,0))</f>
        <v>39800</v>
      </c>
    </row>
    <row r="420" spans="1:2" x14ac:dyDescent="0.3">
      <c r="A420" t="s">
        <v>133</v>
      </c>
      <c r="B420">
        <f>INDEX('vehicles specifications'!$B$3:$CK$86,MATCH(B414,'vehicles specifications'!$A$3:$A$86,0),MATCH("Passengers [unit]",'vehicles specifications'!$B$2:$CK$2,0))</f>
        <v>1.1000000000000001</v>
      </c>
    </row>
    <row r="421" spans="1:2" x14ac:dyDescent="0.3">
      <c r="A421" t="s">
        <v>134</v>
      </c>
      <c r="B421">
        <f>INDEX('vehicles specifications'!$B$3:$CK$86,MATCH(B414,'vehicles specifications'!$A$3:$A$86,0),MATCH("Servicing [unit]",'vehicles specifications'!$B$2:$CK$2,0))</f>
        <v>0.79600000000000004</v>
      </c>
    </row>
    <row r="422" spans="1:2" x14ac:dyDescent="0.3">
      <c r="A422" t="s">
        <v>135</v>
      </c>
      <c r="B422">
        <f>INDEX('vehicles specifications'!$B$3:$CK$86,MATCH(B414,'vehicles specifications'!$A$3:$A$86,0),MATCH("Energy battery replacement [unit]",'vehicles specifications'!$B$2:$CK$2,0))</f>
        <v>0.25</v>
      </c>
    </row>
    <row r="423" spans="1:2" x14ac:dyDescent="0.3">
      <c r="A423" t="s">
        <v>136</v>
      </c>
      <c r="B423">
        <f>INDEX('vehicles specifications'!$B$3:$CK$86,MATCH(B414,'vehicles specifications'!$A$3:$A$86,0),MATCH("Annual kilometers [km]",'vehicles specifications'!$B$2:$CK$2,0))</f>
        <v>2731</v>
      </c>
    </row>
    <row r="424" spans="1:2" x14ac:dyDescent="0.3">
      <c r="A424" t="s">
        <v>137</v>
      </c>
      <c r="B424" s="2">
        <f>INDEX('vehicles specifications'!$B$3:$CK$86,MATCH(B414,'vehicles specifications'!$A$3:$A$86,0),MATCH("Curb mass [kg]",'vehicles specifications'!$B$2:$CK$2,0))</f>
        <v>103.96213561231207</v>
      </c>
    </row>
    <row r="425" spans="1:2" x14ac:dyDescent="0.3">
      <c r="A425" t="s">
        <v>138</v>
      </c>
      <c r="B425">
        <f>INDEX('vehicles specifications'!$B$3:$CK$86,MATCH(B414,'vehicles specifications'!$A$3:$A$86,0),MATCH("Power [kW]",'vehicles specifications'!$B$2:$CK$2,0))</f>
        <v>4.7</v>
      </c>
    </row>
    <row r="426" spans="1:2" x14ac:dyDescent="0.3">
      <c r="A426" t="s">
        <v>139</v>
      </c>
      <c r="B426">
        <f>INDEX('vehicles specifications'!$B$3:$CK$86,MATCH(B414,'vehicles specifications'!$A$3:$A$86,0),MATCH("Energy battery mass [kg]",'vehicles specifications'!$B$2:$CK$2,0))</f>
        <v>21</v>
      </c>
    </row>
    <row r="427" spans="1:2" x14ac:dyDescent="0.3">
      <c r="A427" t="s">
        <v>140</v>
      </c>
      <c r="B427" s="21">
        <f>INDEX('vehicles specifications'!$B$3:$CK$86,MATCH(B414,'vehicles specifications'!$A$3:$A$86,0),MATCH("Electric energy stored [kWh]",'vehicles specifications'!$B$2:$CK$2,0))</f>
        <v>7</v>
      </c>
    </row>
    <row r="428" spans="1:2" s="21" customFormat="1" x14ac:dyDescent="0.3">
      <c r="A428" s="21" t="s">
        <v>654</v>
      </c>
      <c r="B428" s="21">
        <f>INDEX('vehicles specifications'!$B$3:$CK$86,MATCH(B414,'vehicles specifications'!$A$3:$A$86,0),MATCH("Electric energy available [kWh]",'vehicles specifications'!$B$2:$CK$2,0))</f>
        <v>5.6000000000000005</v>
      </c>
    </row>
    <row r="429" spans="1:2" x14ac:dyDescent="0.3">
      <c r="A429" t="s">
        <v>143</v>
      </c>
      <c r="B429" s="2">
        <f>INDEX('vehicles specifications'!$B$3:$CK$86,MATCH(B414,'vehicles specifications'!$A$3:$A$86,0),MATCH("Oxydation energy stored [kWh]",'vehicles specifications'!$B$2:$CK$2,0))</f>
        <v>0</v>
      </c>
    </row>
    <row r="430" spans="1:2" x14ac:dyDescent="0.3">
      <c r="A430" t="s">
        <v>145</v>
      </c>
      <c r="B430">
        <f>INDEX('vehicles specifications'!$B$3:$CK$86,MATCH(B414,'vehicles specifications'!$A$3:$A$86,0),MATCH("Fuel mass [kg]",'vehicles specifications'!$B$2:$CK$2,0))</f>
        <v>0</v>
      </c>
    </row>
    <row r="431" spans="1:2" x14ac:dyDescent="0.3">
      <c r="A431" t="s">
        <v>141</v>
      </c>
      <c r="B431" s="2">
        <f>INDEX('vehicles specifications'!$B$3:$CK$86,MATCH(B414,'vehicles specifications'!$A$3:$A$86,0),MATCH("Range [km]",'vehicles specifications'!$B$2:$CK$2,0))</f>
        <v>110.76923076923079</v>
      </c>
    </row>
    <row r="432" spans="1:2" x14ac:dyDescent="0.3">
      <c r="A432" t="s">
        <v>142</v>
      </c>
      <c r="B432" t="str">
        <f>INDEX('vehicles specifications'!$B$3:$CK$86,MATCH(B414,'vehicles specifications'!$A$3:$A$86,0),MATCH("Emission standard",'vehicles specifications'!$B$2:$CK$2,0))</f>
        <v>None</v>
      </c>
    </row>
    <row r="433" spans="1:8" x14ac:dyDescent="0.3">
      <c r="A433" t="s">
        <v>144</v>
      </c>
      <c r="B433" s="6">
        <f>INDEX('vehicles specifications'!$B$3:$CK$86,MATCH(B414,'vehicles specifications'!$A$3:$A$86,0),MATCH("Lightweighting rate [%]",'vehicles specifications'!$B$2:$CK$2,0))</f>
        <v>0.05</v>
      </c>
    </row>
    <row r="434" spans="1:8" x14ac:dyDescent="0.3">
      <c r="A434" t="s">
        <v>84</v>
      </c>
      <c r="B434" s="21" t="str">
        <f>"Power: "&amp;B425&amp;" kW. Lifetime: "&amp;B419&amp;" km. Annual kilometers: "&amp;B423&amp;" km. Number of passengers: "&amp;B420&amp;". Curb mass: "&amp;ROUND(B424,1)&amp;" kg. Lightweighting of glider: "&amp;ROUND(B433*100,0)&amp;"%. Emission standard: "&amp;B432&amp;". Service visits throughout lifetime: "&amp;ROUND(B421,1)&amp;". Range: "&amp;ROUND(B431,0)&amp;" km. Battery capacity: "&amp;ROUND(B427,1)&amp;" kWh. Available battery capacity: "&amp;B428&amp;" kWh. Battery mass: "&amp;ROUND(B426,1)&amp; " kg. Battery replacement throughout lifetime: "&amp;ROUND(B422,1)&amp;". Fuel tank capacity: "&amp;ROUND(B429,1)&amp;" kWh. Fuel mass: "&amp;ROUND(B430,1)&amp;" kg. Documentation: "&amp;Readmefirst!$B$2&amp;", "&amp;Readmefirst!$B$3&amp;". "&amp;'lci-kick scooter'!B377</f>
        <v xml:space="preserve">Power: 4.7 kW. Lifetime: 39800 km. Annual kilometers: 2731 km. Number of passengers: 1.1. Curb mass: 104 kg. Lightweighting of glider: 5%. Emission standard: None. Service visits throughout lifetime: 0.8. Range: 111 km. Battery capacity: 7 kWh. Available battery capacity: 5.6 kWh. Battery mass: 21 kg. Battery replacement throughout lifetime: 0.3. Fuel tank capacity: 0 kWh. Fuel mass: 0 kg. Documentation: 2021 UVEK life-cycle inventories update of on-road vehicles, Sacchi R. (PSI), Bauer C. (PSI), 2021. </v>
      </c>
    </row>
    <row r="435" spans="1:8" ht="15.6" x14ac:dyDescent="0.3">
      <c r="A435" s="11" t="s">
        <v>80</v>
      </c>
    </row>
    <row r="436" spans="1:8" x14ac:dyDescent="0.3">
      <c r="A436" t="s">
        <v>81</v>
      </c>
      <c r="B436" t="s">
        <v>82</v>
      </c>
      <c r="C436" t="s">
        <v>73</v>
      </c>
      <c r="D436" t="s">
        <v>77</v>
      </c>
      <c r="E436" t="s">
        <v>83</v>
      </c>
      <c r="F436" t="s">
        <v>75</v>
      </c>
      <c r="G436" t="s">
        <v>84</v>
      </c>
      <c r="H436" t="s">
        <v>74</v>
      </c>
    </row>
    <row r="437" spans="1:8" x14ac:dyDescent="0.3">
      <c r="A437" s="12" t="str">
        <f>B409</f>
        <v>transport, Motorbike, electric, 4-11kW, 2040, label-certified electricity</v>
      </c>
      <c r="B437" s="12">
        <v>1</v>
      </c>
      <c r="C437" s="12" t="str">
        <f>B410</f>
        <v>CH</v>
      </c>
      <c r="D437" s="12" t="s">
        <v>172</v>
      </c>
      <c r="E437" s="12"/>
      <c r="F437" s="12" t="s">
        <v>85</v>
      </c>
      <c r="G437" s="12" t="s">
        <v>86</v>
      </c>
      <c r="H437" s="12" t="str">
        <f>B415</f>
        <v>transport, Motorbike, electric, 4-11kW</v>
      </c>
    </row>
    <row r="438" spans="1:8" x14ac:dyDescent="0.3">
      <c r="A438" s="12" t="str">
        <f>B411&amp;", "&amp;B413</f>
        <v>Motorbike, electric, 4-11kW, 2040</v>
      </c>
      <c r="B438" s="12">
        <f>1/B419</f>
        <v>2.5125628140703518E-5</v>
      </c>
      <c r="C438" s="12" t="str">
        <f>B410</f>
        <v>CH</v>
      </c>
      <c r="D438" s="12" t="s">
        <v>77</v>
      </c>
      <c r="E438" s="12"/>
      <c r="F438" s="12" t="s">
        <v>91</v>
      </c>
      <c r="G438" s="12"/>
      <c r="H438" s="12" t="str">
        <f>RIGHT(H437,LEN(H437)-11)</f>
        <v>Motorbike, electric, 4-11kW</v>
      </c>
    </row>
    <row r="439" spans="1:8" x14ac:dyDescent="0.3">
      <c r="A439" s="12" t="str">
        <f>INDEX('ei names mapping'!$B$4:$R$33,MATCH(B411,'ei names mapping'!$A$4:$A$33,0),MATCH(G439,'ei names mapping'!$B$3:$R$3,0))</f>
        <v>road maintenance</v>
      </c>
      <c r="B439" s="16">
        <f>INDEX('vehicles specifications'!$B$3:$CK$86,MATCH(B414,'vehicles specifications'!$A$3:$A$86,0),MATCH(G439,'vehicles specifications'!$B$2:$CK$2,0))*INDEX('ei names mapping'!$B$137:$BK$220,MATCH(B414,'ei names mapping'!$A$137:$A$220,0),MATCH(G439,'ei names mapping'!$B$136:$BK$136,0))</f>
        <v>1.2899999999999999E-3</v>
      </c>
      <c r="C439" s="12" t="str">
        <f>INDEX('ei names mapping'!$B$38:$R$67,MATCH(B411,'ei names mapping'!$A$4:$A$33,0),MATCH(G439,'ei names mapping'!$B$3:$R$3,0))</f>
        <v>CH</v>
      </c>
      <c r="D439" s="12" t="str">
        <f>INDEX('ei names mapping'!$B$104:$BK$133,MATCH(B411,'ei names mapping'!$A$4:$A$33,0),MATCH(G439,'ei names mapping'!$B$3:$BK$3,0))</f>
        <v>meter-year</v>
      </c>
      <c r="E439" s="12"/>
      <c r="F439" s="12" t="s">
        <v>91</v>
      </c>
      <c r="G439" t="s">
        <v>117</v>
      </c>
      <c r="H439" s="12" t="str">
        <f>INDEX('ei names mapping'!$B$71:$BK$100,MATCH(B411,'ei names mapping'!$A$4:$A$33,0),MATCH(G439,'ei names mapping'!$B$3:$BK$3,0))</f>
        <v>road maintenance</v>
      </c>
    </row>
    <row r="440" spans="1:8" x14ac:dyDescent="0.3">
      <c r="A440" s="12" t="s">
        <v>114</v>
      </c>
      <c r="B440" s="14">
        <f>INDEX('vehicles specifications'!$B$3:$CK$86,MATCH(B414,'vehicles specifications'!$A$3:$A$86,0),MATCH(G440,'vehicles specifications'!$B$2:$CK$2,0))*INDEX('ei names mapping'!$B$137:$BK$220,MATCH(B414,'ei names mapping'!$A$137:$A$220,0),MATCH(G440,'ei names mapping'!$B$136:$BK$136,0))</f>
        <v>5.5611111111111111E-2</v>
      </c>
      <c r="C440" s="12" t="str">
        <f>INDEX('ei names mapping'!$B$38:$R$67,MATCH($B$3,'ei names mapping'!$A$4:$A$33,0),MATCH(G440,'ei names mapping'!$B$3:$R$3,0))</f>
        <v>CH</v>
      </c>
      <c r="D440" s="12" t="str">
        <f>INDEX('ei names mapping'!$B$104:$R$133,MATCH($B$3,'ei names mapping'!$A$4:$A$33,0),MATCH(G440,'ei names mapping'!$B$3:$R$3,0))</f>
        <v>kilowatt hour</v>
      </c>
      <c r="E440" s="12"/>
      <c r="F440" s="12" t="s">
        <v>91</v>
      </c>
      <c r="G440" t="s">
        <v>28</v>
      </c>
      <c r="H440" s="12" t="s">
        <v>116</v>
      </c>
    </row>
    <row r="441" spans="1:8" x14ac:dyDescent="0.3">
      <c r="A441" s="12" t="str">
        <f>INDEX('ei names mapping'!$B$4:$R$33,MATCH(B411,'ei names mapping'!$A$4:$A$33,0),MATCH(G441,'ei names mapping'!$B$3:$R$3,0))</f>
        <v>market for maintenance, electric scooter, without battery</v>
      </c>
      <c r="B441" s="16">
        <f>INDEX('vehicles specifications'!$B$3:$CK$86,MATCH(B414,'vehicles specifications'!$A$3:$A$86,0),MATCH(G441,'vehicles specifications'!$B$2:$CK$2,0))*INDEX('ei names mapping'!$B$137:$BK$220,MATCH(B414,'ei names mapping'!$A$137:$A$220,0),MATCH(G441,'ei names mapping'!$B$136:$BK$136,0))</f>
        <v>2.0000000000000002E-5</v>
      </c>
      <c r="C441" s="12" t="str">
        <f>INDEX('ei names mapping'!$B$38:$BK$67,MATCH(B411,'ei names mapping'!$A$4:$A$33,0),MATCH(G441,'ei names mapping'!$B$3:$BK$3,0))</f>
        <v>GLO</v>
      </c>
      <c r="D441" s="12" t="str">
        <f>INDEX('ei names mapping'!$B$104:$BK$133,MATCH(B411,'ei names mapping'!$A$4:$A$33,0),MATCH(G441,'ei names mapping'!$B$3:$BK$3,0))</f>
        <v>unit</v>
      </c>
      <c r="F441" s="12" t="s">
        <v>91</v>
      </c>
      <c r="G441" s="12" t="s">
        <v>123</v>
      </c>
      <c r="H441" s="12" t="str">
        <f>INDEX('ei names mapping'!$B$71:$BK$100,MATCH(B411,'ei names mapping'!$A$4:$A$33,0),MATCH(G441,'ei names mapping'!$B$3:$BK$3,0))</f>
        <v>maintenance, electric scooter, without battery</v>
      </c>
    </row>
    <row r="442" spans="1:8" s="21" customFormat="1" x14ac:dyDescent="0.3">
      <c r="A442" s="12" t="str">
        <f>INDEX('ei names mapping'!$B$4:$R$33,MATCH(B411,'ei names mapping'!$A$4:$A$33,0),MATCH(G442,'ei names mapping'!$B$3:$R$3,0))</f>
        <v>road construction</v>
      </c>
      <c r="B442" s="16">
        <f>INDEX('vehicles specifications'!$B$3:$CK$86,MATCH(B414,'vehicles specifications'!$A$3:$A$86,0),MATCH(G442,'vehicles specifications'!$B$2:$CK$2,0))*INDEX('ei names mapping'!$B$137:$BK$220,MATCH(B414,'ei names mapping'!$A$137:$A$220,0),MATCH(G442,'ei names mapping'!$B$136:$BK$136,0))</f>
        <v>1.0039866682381158E-4</v>
      </c>
      <c r="C442" s="12" t="str">
        <f>INDEX('ei names mapping'!$B$38:$R$67,MATCH(B411,'ei names mapping'!$A$4:$A$33,0),MATCH(G442,'ei names mapping'!$B$3:$R$3,0))</f>
        <v>CH</v>
      </c>
      <c r="D442" s="12" t="str">
        <f>INDEX('ei names mapping'!$B$104:$R$133,MATCH(B411,'ei names mapping'!$A$104:$A$133,0),MATCH(G442,'ei names mapping'!$B$3:$R$3,0))</f>
        <v>meter-year</v>
      </c>
      <c r="E442" s="12"/>
      <c r="F442" s="12" t="s">
        <v>91</v>
      </c>
      <c r="G442" s="21" t="s">
        <v>108</v>
      </c>
      <c r="H442" s="12" t="str">
        <f>INDEX('ei names mapping'!$B$71:$R$100,MATCH(B411,'ei names mapping'!$A$4:$A$33,0),MATCH(G442,'ei names mapping'!$B$3:$R$3,0))</f>
        <v>road</v>
      </c>
    </row>
    <row r="443" spans="1:8" x14ac:dyDescent="0.3">
      <c r="A443" s="12" t="str">
        <f>INDEX('ei names mapping'!$B$4:$BK$33,MATCH(B411,'ei names mapping'!$A$4:$A$33,0),MATCH(G443,'ei names mapping'!$B$3:$BK$3,0))</f>
        <v>treatment of road wear emissions, passenger car</v>
      </c>
      <c r="B443" s="16">
        <f>INDEX('vehicles specifications'!$B$3:$CK$86,MATCH(B414,'vehicles specifications'!$A$3:$A$86,0),MATCH(G443,'vehicles specifications'!$B$2:$CK$2,0))*INDEX('ei names mapping'!$B$137:$BK$220,MATCH(B414,'ei names mapping'!$A$137:$A$220,0),MATCH(G443,'ei names mapping'!$B$136:$BK$136,0))</f>
        <v>-6.0000000000000002E-6</v>
      </c>
      <c r="C443" s="12" t="str">
        <f>INDEX('ei names mapping'!$B$38:$BK$67,MATCH(B411,'ei names mapping'!$A$4:$A$33,0),MATCH(G443,'ei names mapping'!$B$3:$BK$3,0))</f>
        <v>RER</v>
      </c>
      <c r="D443" s="12" t="str">
        <f>INDEX('ei names mapping'!$B$104:$BK$133,MATCH(B411,'ei names mapping'!$A$4:$A$33,0),MATCH(G443,'ei names mapping'!$B$3:$BK$3,0))</f>
        <v>kilogram</v>
      </c>
      <c r="E443" s="12"/>
      <c r="F443" s="12" t="s">
        <v>91</v>
      </c>
      <c r="G443" t="s">
        <v>29</v>
      </c>
      <c r="H443" s="12" t="str">
        <f>INDEX('ei names mapping'!$B$71:$BK$100,MATCH(B411,'ei names mapping'!$A$4:$A$33,0),MATCH(G443,'ei names mapping'!$B$3:$BK$3,0))</f>
        <v>road wear emissions, passenger car</v>
      </c>
    </row>
    <row r="444" spans="1:8" x14ac:dyDescent="0.3">
      <c r="A444" s="12" t="str">
        <f>INDEX('ei names mapping'!$B$4:$BK$33,MATCH(B411,'ei names mapping'!$A$4:$A$33,0),MATCH(G444,'ei names mapping'!$B$3:$BK$3,0))</f>
        <v>treatment of tyre wear emissions, passenger car</v>
      </c>
      <c r="B444" s="16">
        <f>INDEX('vehicles specifications'!$B$3:$CK$86,MATCH(B414,'vehicles specifications'!$A$3:$A$86,0),MATCH(G444,'vehicles specifications'!$B$2:$CK$2,0))*INDEX('ei names mapping'!$B$137:$BK$220,MATCH(B414,'ei names mapping'!$A$137:$A$220,0),MATCH(G444,'ei names mapping'!$B$136:$BK$136,0))</f>
        <v>-7.3669999999999991E-6</v>
      </c>
      <c r="C444" s="12" t="str">
        <f>INDEX('ei names mapping'!$B$38:$BK$67,MATCH(B411,'ei names mapping'!$A$4:$A$33,0),MATCH(G444,'ei names mapping'!$B$3:$BK$3,0))</f>
        <v>RER</v>
      </c>
      <c r="D444" s="12" t="str">
        <f>INDEX('ei names mapping'!$B$104:$BK$133,MATCH(B411,'ei names mapping'!$A$4:$A$33,0),MATCH(G444,'ei names mapping'!$B$3:$BK$3,0))</f>
        <v>kilogram</v>
      </c>
      <c r="E444" s="12"/>
      <c r="F444" s="12" t="s">
        <v>91</v>
      </c>
      <c r="G444" t="s">
        <v>30</v>
      </c>
      <c r="H444" s="12" t="str">
        <f>INDEX('ei names mapping'!$B$71:$BK$100,MATCH(B411,'ei names mapping'!$A$4:$A$33,0),MATCH(G444,'ei names mapping'!$B$3:$BK$3,0))</f>
        <v>tyre wear emissions, passenger car</v>
      </c>
    </row>
    <row r="445" spans="1:8" x14ac:dyDescent="0.3">
      <c r="A445" s="12" t="str">
        <f>INDEX('ei names mapping'!$B$4:$BK$33,MATCH(B411,'ei names mapping'!$A$4:$A$33,0),MATCH(G445,'ei names mapping'!$B$3:$BK$3,0))</f>
        <v>treatment of brake wear emissions, passenger car</v>
      </c>
      <c r="B445" s="16">
        <f>INDEX('vehicles specifications'!$B$3:$CK$86,MATCH(B414,'vehicles specifications'!$A$3:$A$86,0),MATCH(G445,'vehicles specifications'!$B$2:$CK$2,0))*INDEX('ei names mapping'!$B$137:$BK$220,MATCH(B414,'ei names mapping'!$A$137:$A$220,0),MATCH(G445,'ei names mapping'!$B$136:$BK$136,0))</f>
        <v>-4.1749999999999998E-6</v>
      </c>
      <c r="C445" s="12" t="str">
        <f>INDEX('ei names mapping'!$B$38:$BK$67,MATCH(B411,'ei names mapping'!$A$4:$A$33,0),MATCH(G445,'ei names mapping'!$B$3:$BK$3,0))</f>
        <v>RER</v>
      </c>
      <c r="D445" s="12" t="str">
        <f>INDEX('ei names mapping'!$B$104:$BK$133,MATCH(B411,'ei names mapping'!$A$4:$A$33,0),MATCH(G445,'ei names mapping'!$B$3:$BK$3,0))</f>
        <v>kilogram</v>
      </c>
      <c r="E445" s="12"/>
      <c r="F445" s="12" t="s">
        <v>91</v>
      </c>
      <c r="G445" t="s">
        <v>31</v>
      </c>
      <c r="H445" s="12" t="str">
        <f>INDEX('ei names mapping'!$B$71:$BK$100,MATCH(B411,'ei names mapping'!$A$4:$A$33,0),MATCH(G445,'ei names mapping'!$B$3:$BK$3,0))</f>
        <v>brake wear emissions, passenger car</v>
      </c>
    </row>
    <row r="447" spans="1:8" ht="15.6" x14ac:dyDescent="0.3">
      <c r="A447" s="11" t="s">
        <v>72</v>
      </c>
      <c r="B447" s="9" t="str">
        <f>"transport, "&amp;B449&amp;", "&amp;B451&amp;", label-certified electricity"</f>
        <v>transport, Motorbike, electric, 4-11kW, 2050, label-certified electricity</v>
      </c>
    </row>
    <row r="448" spans="1:8" x14ac:dyDescent="0.3">
      <c r="A448" t="s">
        <v>73</v>
      </c>
      <c r="B448" t="s">
        <v>37</v>
      </c>
    </row>
    <row r="449" spans="1:2" x14ac:dyDescent="0.3">
      <c r="A449" t="s">
        <v>87</v>
      </c>
      <c r="B449" t="s">
        <v>521</v>
      </c>
    </row>
    <row r="450" spans="1:2" x14ac:dyDescent="0.3">
      <c r="A450" t="s">
        <v>88</v>
      </c>
      <c r="B450" s="12"/>
    </row>
    <row r="451" spans="1:2" x14ac:dyDescent="0.3">
      <c r="A451" t="s">
        <v>89</v>
      </c>
      <c r="B451" s="12">
        <v>2050</v>
      </c>
    </row>
    <row r="452" spans="1:2" x14ac:dyDescent="0.3">
      <c r="A452" t="s">
        <v>131</v>
      </c>
      <c r="B452" s="12" t="str">
        <f>B449&amp;" - "&amp;B451&amp;" - "&amp;B448</f>
        <v>Motorbike, electric, 4-11kW - 2050 - CH</v>
      </c>
    </row>
    <row r="453" spans="1:2" x14ac:dyDescent="0.3">
      <c r="A453" t="s">
        <v>74</v>
      </c>
      <c r="B453" s="12" t="str">
        <f>"transport, "&amp;B449</f>
        <v>transport, Motorbike, electric, 4-11kW</v>
      </c>
    </row>
    <row r="454" spans="1:2" x14ac:dyDescent="0.3">
      <c r="A454" t="s">
        <v>75</v>
      </c>
      <c r="B454" t="s">
        <v>76</v>
      </c>
    </row>
    <row r="455" spans="1:2" x14ac:dyDescent="0.3">
      <c r="A455" t="s">
        <v>77</v>
      </c>
      <c r="B455" t="s">
        <v>172</v>
      </c>
    </row>
    <row r="456" spans="1:2" x14ac:dyDescent="0.3">
      <c r="A456" t="s">
        <v>79</v>
      </c>
      <c r="B456" t="s">
        <v>90</v>
      </c>
    </row>
    <row r="457" spans="1:2" x14ac:dyDescent="0.3">
      <c r="A457" t="s">
        <v>132</v>
      </c>
      <c r="B457">
        <f>INDEX('vehicles specifications'!$B$3:$CK$86,MATCH(B452,'vehicles specifications'!$A$3:$A$86,0),MATCH("Lifetime [km]",'vehicles specifications'!$B$2:$CK$2,0))</f>
        <v>39800</v>
      </c>
    </row>
    <row r="458" spans="1:2" x14ac:dyDescent="0.3">
      <c r="A458" t="s">
        <v>133</v>
      </c>
      <c r="B458">
        <f>INDEX('vehicles specifications'!$B$3:$CK$86,MATCH(B452,'vehicles specifications'!$A$3:$A$86,0),MATCH("Passengers [unit]",'vehicles specifications'!$B$2:$CK$2,0))</f>
        <v>1.1000000000000001</v>
      </c>
    </row>
    <row r="459" spans="1:2" x14ac:dyDescent="0.3">
      <c r="A459" t="s">
        <v>134</v>
      </c>
      <c r="B459">
        <f>INDEX('vehicles specifications'!$B$3:$CK$86,MATCH(B452,'vehicles specifications'!$A$3:$A$86,0),MATCH("Servicing [unit]",'vehicles specifications'!$B$2:$CK$2,0))</f>
        <v>0.79600000000000004</v>
      </c>
    </row>
    <row r="460" spans="1:2" x14ac:dyDescent="0.3">
      <c r="A460" t="s">
        <v>135</v>
      </c>
      <c r="B460">
        <f>INDEX('vehicles specifications'!$B$3:$CK$86,MATCH(B452,'vehicles specifications'!$A$3:$A$86,0),MATCH("Energy battery replacement [unit]",'vehicles specifications'!$B$2:$CK$2,0))</f>
        <v>0</v>
      </c>
    </row>
    <row r="461" spans="1:2" x14ac:dyDescent="0.3">
      <c r="A461" t="s">
        <v>136</v>
      </c>
      <c r="B461">
        <f>INDEX('vehicles specifications'!$B$3:$CK$86,MATCH(B452,'vehicles specifications'!$A$3:$A$86,0),MATCH("Annual kilometers [km]",'vehicles specifications'!$B$2:$CK$2,0))</f>
        <v>2731</v>
      </c>
    </row>
    <row r="462" spans="1:2" x14ac:dyDescent="0.3">
      <c r="A462" t="s">
        <v>137</v>
      </c>
      <c r="B462" s="2">
        <f>INDEX('vehicles specifications'!$B$3:$CK$86,MATCH(B452,'vehicles specifications'!$A$3:$A$86,0),MATCH("Curb mass [kg]",'vehicles specifications'!$B$2:$CK$2,0))</f>
        <v>104.45345907310549</v>
      </c>
    </row>
    <row r="463" spans="1:2" x14ac:dyDescent="0.3">
      <c r="A463" t="s">
        <v>138</v>
      </c>
      <c r="B463">
        <f>INDEX('vehicles specifications'!$B$3:$CK$86,MATCH(B452,'vehicles specifications'!$A$3:$A$86,0),MATCH("Power [kW]",'vehicles specifications'!$B$2:$CK$2,0))</f>
        <v>4.7</v>
      </c>
    </row>
    <row r="464" spans="1:2" x14ac:dyDescent="0.3">
      <c r="A464" t="s">
        <v>139</v>
      </c>
      <c r="B464">
        <f>INDEX('vehicles specifications'!$B$3:$CK$86,MATCH(B452,'vehicles specifications'!$A$3:$A$86,0),MATCH("Energy battery mass [kg]",'vehicles specifications'!$B$2:$CK$2,0))</f>
        <v>22.8</v>
      </c>
    </row>
    <row r="465" spans="1:8" x14ac:dyDescent="0.3">
      <c r="A465" t="s">
        <v>140</v>
      </c>
      <c r="B465" s="21">
        <f>INDEX('vehicles specifications'!$B$3:$CK$86,MATCH(B452,'vehicles specifications'!$A$3:$A$86,0),MATCH("Electric energy stored [kWh]",'vehicles specifications'!$B$2:$CK$2,0))</f>
        <v>9.5</v>
      </c>
    </row>
    <row r="466" spans="1:8" s="21" customFormat="1" x14ac:dyDescent="0.3">
      <c r="A466" s="21" t="s">
        <v>654</v>
      </c>
      <c r="B466" s="21">
        <f>INDEX('vehicles specifications'!$B$3:$CK$86,MATCH(B452,'vehicles specifications'!$A$3:$A$86,0),MATCH("Electric energy available [kWh]",'vehicles specifications'!$B$2:$CK$2,0))</f>
        <v>7.6000000000000005</v>
      </c>
    </row>
    <row r="467" spans="1:8" x14ac:dyDescent="0.3">
      <c r="A467" t="s">
        <v>143</v>
      </c>
      <c r="B467" s="2">
        <f>INDEX('vehicles specifications'!$B$3:$CK$86,MATCH(B452,'vehicles specifications'!$A$3:$A$86,0),MATCH("Oxydation energy stored [kWh]",'vehicles specifications'!$B$2:$CK$2,0))</f>
        <v>0</v>
      </c>
    </row>
    <row r="468" spans="1:8" x14ac:dyDescent="0.3">
      <c r="A468" t="s">
        <v>145</v>
      </c>
      <c r="B468">
        <f>INDEX('vehicles specifications'!$B$3:$CK$86,MATCH(B452,'vehicles specifications'!$A$3:$A$86,0),MATCH("Fuel mass [kg]",'vehicles specifications'!$B$2:$CK$2,0))</f>
        <v>0</v>
      </c>
    </row>
    <row r="469" spans="1:8" x14ac:dyDescent="0.3">
      <c r="A469" t="s">
        <v>141</v>
      </c>
      <c r="B469" s="2">
        <f>INDEX('vehicles specifications'!$B$3:$CK$86,MATCH(B452,'vehicles specifications'!$A$3:$A$86,0),MATCH("Range [km]",'vehicles specifications'!$B$2:$CK$2,0))</f>
        <v>150.32967032967034</v>
      </c>
    </row>
    <row r="470" spans="1:8" x14ac:dyDescent="0.3">
      <c r="A470" t="s">
        <v>142</v>
      </c>
      <c r="B470" t="str">
        <f>INDEX('vehicles specifications'!$B$3:$CK$86,MATCH(B452,'vehicles specifications'!$A$3:$A$86,0),MATCH("Emission standard",'vehicles specifications'!$B$2:$CK$2,0))</f>
        <v>None</v>
      </c>
    </row>
    <row r="471" spans="1:8" x14ac:dyDescent="0.3">
      <c r="A471" t="s">
        <v>144</v>
      </c>
      <c r="B471" s="6">
        <f>INDEX('vehicles specifications'!$B$3:$CK$86,MATCH(B452,'vehicles specifications'!$A$3:$A$86,0),MATCH("Lightweighting rate [%]",'vehicles specifications'!$B$2:$CK$2,0))</f>
        <v>7.0000000000000007E-2</v>
      </c>
    </row>
    <row r="472" spans="1:8" x14ac:dyDescent="0.3">
      <c r="A472" t="s">
        <v>84</v>
      </c>
      <c r="B472" s="21" t="str">
        <f>"Power: "&amp;B463&amp;" kW. Lifetime: "&amp;B457&amp;" km. Annual kilometers: "&amp;B461&amp;" km. Number of passengers: "&amp;B458&amp;". Curb mass: "&amp;ROUND(B462,1)&amp;" kg. Lightweighting of glider: "&amp;ROUND(B471*100,0)&amp;"%. Emission standard: "&amp;B470&amp;". Service visits throughout lifetime: "&amp;ROUND(B459,1)&amp;". Range: "&amp;ROUND(B469,0)&amp;" km. Battery capacity: "&amp;ROUND(B465,1)&amp;" kWh. Available battery capacity: "&amp;B466&amp;" kWh. Battery mass: "&amp;ROUND(B464,1)&amp; " kg. Battery replacement throughout lifetime: "&amp;ROUND(B460,1)&amp;". Fuel tank capacity: "&amp;ROUND(B467,1)&amp;" kWh. Fuel mass: "&amp;ROUND(B468,1)&amp;" kg. Documentation: "&amp;Readmefirst!$B$2&amp;", "&amp;Readmefirst!$B$3&amp;". "&amp;'lci-kick scooter'!B415</f>
        <v xml:space="preserve">Power: 4.7 kW. Lifetime: 39800 km. Annual kilometers: 2731 km. Number of passengers: 1.1. Curb mass: 104.5 kg. Lightweighting of glider: 7%. Emission standard: None. Service visits throughout lifetime: 0.8. Range: 150 km. Battery capacity: 9.5 kWh. Available battery capacity: 7.6 kWh. Battery mass: 22.8 kg. Battery replacement throughout lifetime: 0. Fuel tank capacity: 0 kWh. Fuel mass: 0 kg. Documentation: 2021 UVEK life-cycle inventories update of on-road vehicles, Sacchi R. (PSI), Bauer C. (PSI), 2021. </v>
      </c>
    </row>
    <row r="473" spans="1:8" ht="15.6" x14ac:dyDescent="0.3">
      <c r="A473" s="11" t="s">
        <v>80</v>
      </c>
    </row>
    <row r="474" spans="1:8" x14ac:dyDescent="0.3">
      <c r="A474" t="s">
        <v>81</v>
      </c>
      <c r="B474" t="s">
        <v>82</v>
      </c>
      <c r="C474" t="s">
        <v>73</v>
      </c>
      <c r="D474" t="s">
        <v>77</v>
      </c>
      <c r="E474" t="s">
        <v>83</v>
      </c>
      <c r="F474" t="s">
        <v>75</v>
      </c>
      <c r="G474" t="s">
        <v>84</v>
      </c>
      <c r="H474" t="s">
        <v>74</v>
      </c>
    </row>
    <row r="475" spans="1:8" x14ac:dyDescent="0.3">
      <c r="A475" s="12" t="str">
        <f>B447</f>
        <v>transport, Motorbike, electric, 4-11kW, 2050, label-certified electricity</v>
      </c>
      <c r="B475" s="12">
        <v>1</v>
      </c>
      <c r="C475" s="12" t="str">
        <f>B448</f>
        <v>CH</v>
      </c>
      <c r="D475" s="12" t="s">
        <v>172</v>
      </c>
      <c r="E475" s="12"/>
      <c r="F475" s="12" t="s">
        <v>85</v>
      </c>
      <c r="G475" s="12" t="s">
        <v>86</v>
      </c>
      <c r="H475" s="12" t="str">
        <f>B453</f>
        <v>transport, Motorbike, electric, 4-11kW</v>
      </c>
    </row>
    <row r="476" spans="1:8" x14ac:dyDescent="0.3">
      <c r="A476" s="12" t="str">
        <f>B449&amp;", "&amp;B451</f>
        <v>Motorbike, electric, 4-11kW, 2050</v>
      </c>
      <c r="B476" s="12">
        <f>1/B457</f>
        <v>2.5125628140703518E-5</v>
      </c>
      <c r="C476" s="12" t="str">
        <f>B448</f>
        <v>CH</v>
      </c>
      <c r="D476" s="12" t="s">
        <v>77</v>
      </c>
      <c r="E476" s="12"/>
      <c r="F476" s="12" t="s">
        <v>91</v>
      </c>
      <c r="G476" s="12"/>
      <c r="H476" s="12" t="str">
        <f>RIGHT(H475,LEN(H475)-11)</f>
        <v>Motorbike, electric, 4-11kW</v>
      </c>
    </row>
    <row r="477" spans="1:8" x14ac:dyDescent="0.3">
      <c r="A477" s="12" t="str">
        <f>INDEX('ei names mapping'!$B$4:$R$33,MATCH(B449,'ei names mapping'!$A$4:$A$33,0),MATCH(G477,'ei names mapping'!$B$3:$R$3,0))</f>
        <v>road maintenance</v>
      </c>
      <c r="B477" s="16">
        <f>INDEX('vehicles specifications'!$B$3:$CK$86,MATCH(B452,'vehicles specifications'!$A$3:$A$86,0),MATCH(G477,'vehicles specifications'!$B$2:$CK$2,0))*INDEX('ei names mapping'!$B$137:$BK$220,MATCH(B452,'ei names mapping'!$A$137:$A$220,0),MATCH(G477,'ei names mapping'!$B$136:$BK$136,0))</f>
        <v>1.2899999999999999E-3</v>
      </c>
      <c r="C477" s="12" t="str">
        <f>INDEX('ei names mapping'!$B$38:$R$67,MATCH(B449,'ei names mapping'!$A$4:$A$33,0),MATCH(G477,'ei names mapping'!$B$3:$R$3,0))</f>
        <v>CH</v>
      </c>
      <c r="D477" s="12" t="str">
        <f>INDEX('ei names mapping'!$B$104:$BK$133,MATCH(B449,'ei names mapping'!$A$4:$A$33,0),MATCH(G477,'ei names mapping'!$B$3:$BK$3,0))</f>
        <v>meter-year</v>
      </c>
      <c r="E477" s="12"/>
      <c r="F477" s="12" t="s">
        <v>91</v>
      </c>
      <c r="G477" t="s">
        <v>117</v>
      </c>
      <c r="H477" s="12" t="str">
        <f>INDEX('ei names mapping'!$B$71:$BK$100,MATCH(B449,'ei names mapping'!$A$4:$A$33,0),MATCH(G477,'ei names mapping'!$B$3:$BK$3,0))</f>
        <v>road maintenance</v>
      </c>
    </row>
    <row r="478" spans="1:8" x14ac:dyDescent="0.3">
      <c r="A478" s="12" t="s">
        <v>114</v>
      </c>
      <c r="B478" s="14">
        <f>INDEX('vehicles specifications'!$B$3:$CK$86,MATCH(B452,'vehicles specifications'!$A$3:$A$86,0),MATCH(G478,'vehicles specifications'!$B$2:$CK$2,0))*INDEX('ei names mapping'!$B$137:$BK$220,MATCH(B452,'ei names mapping'!$A$137:$A$220,0),MATCH(G478,'ei names mapping'!$B$136:$BK$136,0))</f>
        <v>5.5611111111111111E-2</v>
      </c>
      <c r="C478" s="12" t="str">
        <f>INDEX('ei names mapping'!$B$38:$R$67,MATCH($B$3,'ei names mapping'!$A$4:$A$33,0),MATCH(G478,'ei names mapping'!$B$3:$R$3,0))</f>
        <v>CH</v>
      </c>
      <c r="D478" s="12" t="str">
        <f>INDEX('ei names mapping'!$B$104:$R$133,MATCH($B$3,'ei names mapping'!$A$4:$A$33,0),MATCH(G478,'ei names mapping'!$B$3:$R$3,0))</f>
        <v>kilowatt hour</v>
      </c>
      <c r="E478" s="12"/>
      <c r="F478" s="12" t="s">
        <v>91</v>
      </c>
      <c r="G478" t="s">
        <v>28</v>
      </c>
      <c r="H478" s="12" t="s">
        <v>116</v>
      </c>
    </row>
    <row r="479" spans="1:8" x14ac:dyDescent="0.3">
      <c r="A479" s="12" t="str">
        <f>INDEX('ei names mapping'!$B$4:$R$33,MATCH(B449,'ei names mapping'!$A$4:$A$33,0),MATCH(G479,'ei names mapping'!$B$3:$R$3,0))</f>
        <v>market for maintenance, electric scooter, without battery</v>
      </c>
      <c r="B479" s="16">
        <f>INDEX('vehicles specifications'!$B$3:$CK$86,MATCH(B452,'vehicles specifications'!$A$3:$A$86,0),MATCH(G479,'vehicles specifications'!$B$2:$CK$2,0))*INDEX('ei names mapping'!$B$137:$BK$220,MATCH(B452,'ei names mapping'!$A$137:$A$220,0),MATCH(G479,'ei names mapping'!$B$136:$BK$136,0))</f>
        <v>2.0000000000000002E-5</v>
      </c>
      <c r="C479" s="12" t="str">
        <f>INDEX('ei names mapping'!$B$38:$BK$67,MATCH(B449,'ei names mapping'!$A$4:$A$33,0),MATCH(G479,'ei names mapping'!$B$3:$BK$3,0))</f>
        <v>GLO</v>
      </c>
      <c r="D479" s="12" t="str">
        <f>INDEX('ei names mapping'!$B$104:$BK$133,MATCH(B449,'ei names mapping'!$A$4:$A$33,0),MATCH(G479,'ei names mapping'!$B$3:$BK$3,0))</f>
        <v>unit</v>
      </c>
      <c r="F479" s="12" t="s">
        <v>91</v>
      </c>
      <c r="G479" s="12" t="s">
        <v>123</v>
      </c>
      <c r="H479" s="12" t="str">
        <f>INDEX('ei names mapping'!$B$71:$BK$100,MATCH(B449,'ei names mapping'!$A$4:$A$33,0),MATCH(G479,'ei names mapping'!$B$3:$BK$3,0))</f>
        <v>maintenance, electric scooter, without battery</v>
      </c>
    </row>
    <row r="480" spans="1:8" s="21" customFormat="1" x14ac:dyDescent="0.3">
      <c r="A480" s="12" t="str">
        <f>INDEX('ei names mapping'!$B$4:$R$33,MATCH(B449,'ei names mapping'!$A$4:$A$33,0),MATCH(G480,'ei names mapping'!$B$3:$R$3,0))</f>
        <v>road construction</v>
      </c>
      <c r="B480" s="16">
        <f>INDEX('vehicles specifications'!$B$3:$CK$86,MATCH(B452,'vehicles specifications'!$A$3:$A$86,0),MATCH(G480,'vehicles specifications'!$B$2:$CK$2,0))*INDEX('ei names mapping'!$B$137:$BK$220,MATCH(B452,'ei names mapping'!$A$137:$A$220,0),MATCH(G480,'ei names mapping'!$B$136:$BK$136,0))</f>
        <v>1.0066250752225764E-4</v>
      </c>
      <c r="C480" s="12" t="str">
        <f>INDEX('ei names mapping'!$B$38:$R$67,MATCH(B449,'ei names mapping'!$A$4:$A$33,0),MATCH(G480,'ei names mapping'!$B$3:$R$3,0))</f>
        <v>CH</v>
      </c>
      <c r="D480" s="12" t="str">
        <f>INDEX('ei names mapping'!$B$104:$R$133,MATCH(B449,'ei names mapping'!$A$104:$A$133,0),MATCH(G480,'ei names mapping'!$B$3:$R$3,0))</f>
        <v>meter-year</v>
      </c>
      <c r="E480" s="12"/>
      <c r="F480" s="12" t="s">
        <v>91</v>
      </c>
      <c r="G480" s="21" t="s">
        <v>108</v>
      </c>
      <c r="H480" s="12" t="str">
        <f>INDEX('ei names mapping'!$B$71:$R$100,MATCH(B449,'ei names mapping'!$A$4:$A$33,0),MATCH(G480,'ei names mapping'!$B$3:$R$3,0))</f>
        <v>road</v>
      </c>
    </row>
    <row r="481" spans="1:8" x14ac:dyDescent="0.3">
      <c r="A481" s="12" t="str">
        <f>INDEX('ei names mapping'!$B$4:$BK$33,MATCH(B449,'ei names mapping'!$A$4:$A$33,0),MATCH(G481,'ei names mapping'!$B$3:$BK$3,0))</f>
        <v>treatment of road wear emissions, passenger car</v>
      </c>
      <c r="B481" s="16">
        <f>INDEX('vehicles specifications'!$B$3:$CK$86,MATCH(B452,'vehicles specifications'!$A$3:$A$86,0),MATCH(G481,'vehicles specifications'!$B$2:$CK$2,0))*INDEX('ei names mapping'!$B$137:$BK$220,MATCH(B452,'ei names mapping'!$A$137:$A$220,0),MATCH(G481,'ei names mapping'!$B$136:$BK$136,0))</f>
        <v>-6.0000000000000002E-6</v>
      </c>
      <c r="C481" s="12" t="str">
        <f>INDEX('ei names mapping'!$B$38:$BK$67,MATCH(B449,'ei names mapping'!$A$4:$A$33,0),MATCH(G481,'ei names mapping'!$B$3:$BK$3,0))</f>
        <v>RER</v>
      </c>
      <c r="D481" s="12" t="str">
        <f>INDEX('ei names mapping'!$B$104:$BK$133,MATCH(B449,'ei names mapping'!$A$4:$A$33,0),MATCH(G481,'ei names mapping'!$B$3:$BK$3,0))</f>
        <v>kilogram</v>
      </c>
      <c r="E481" s="12"/>
      <c r="F481" s="12" t="s">
        <v>91</v>
      </c>
      <c r="G481" t="s">
        <v>29</v>
      </c>
      <c r="H481" s="12" t="str">
        <f>INDEX('ei names mapping'!$B$71:$BK$100,MATCH(B449,'ei names mapping'!$A$4:$A$33,0),MATCH(G481,'ei names mapping'!$B$3:$BK$3,0))</f>
        <v>road wear emissions, passenger car</v>
      </c>
    </row>
    <row r="482" spans="1:8" x14ac:dyDescent="0.3">
      <c r="A482" s="12" t="str">
        <f>INDEX('ei names mapping'!$B$4:$BK$33,MATCH(B449,'ei names mapping'!$A$4:$A$33,0),MATCH(G482,'ei names mapping'!$B$3:$BK$3,0))</f>
        <v>treatment of tyre wear emissions, passenger car</v>
      </c>
      <c r="B482" s="16">
        <f>INDEX('vehicles specifications'!$B$3:$CK$86,MATCH(B452,'vehicles specifications'!$A$3:$A$86,0),MATCH(G482,'vehicles specifications'!$B$2:$CK$2,0))*INDEX('ei names mapping'!$B$137:$BK$220,MATCH(B452,'ei names mapping'!$A$137:$A$220,0),MATCH(G482,'ei names mapping'!$B$136:$BK$136,0))</f>
        <v>-7.3669999999999991E-6</v>
      </c>
      <c r="C482" s="12" t="str">
        <f>INDEX('ei names mapping'!$B$38:$BK$67,MATCH(B449,'ei names mapping'!$A$4:$A$33,0),MATCH(G482,'ei names mapping'!$B$3:$BK$3,0))</f>
        <v>RER</v>
      </c>
      <c r="D482" s="12" t="str">
        <f>INDEX('ei names mapping'!$B$104:$BK$133,MATCH(B449,'ei names mapping'!$A$4:$A$33,0),MATCH(G482,'ei names mapping'!$B$3:$BK$3,0))</f>
        <v>kilogram</v>
      </c>
      <c r="E482" s="12"/>
      <c r="F482" s="12" t="s">
        <v>91</v>
      </c>
      <c r="G482" t="s">
        <v>30</v>
      </c>
      <c r="H482" s="12" t="str">
        <f>INDEX('ei names mapping'!$B$71:$BK$100,MATCH(B449,'ei names mapping'!$A$4:$A$33,0),MATCH(G482,'ei names mapping'!$B$3:$BK$3,0))</f>
        <v>tyre wear emissions, passenger car</v>
      </c>
    </row>
    <row r="483" spans="1:8" x14ac:dyDescent="0.3">
      <c r="A483" s="12" t="str">
        <f>INDEX('ei names mapping'!$B$4:$BK$33,MATCH(B449,'ei names mapping'!$A$4:$A$33,0),MATCH(G483,'ei names mapping'!$B$3:$BK$3,0))</f>
        <v>treatment of brake wear emissions, passenger car</v>
      </c>
      <c r="B483" s="16">
        <f>INDEX('vehicles specifications'!$B$3:$CK$86,MATCH(B452,'vehicles specifications'!$A$3:$A$86,0),MATCH(G483,'vehicles specifications'!$B$2:$CK$2,0))*INDEX('ei names mapping'!$B$137:$BK$220,MATCH(B452,'ei names mapping'!$A$137:$A$220,0),MATCH(G483,'ei names mapping'!$B$136:$BK$136,0))</f>
        <v>-4.1749999999999998E-6</v>
      </c>
      <c r="C483" s="12" t="str">
        <f>INDEX('ei names mapping'!$B$38:$BK$67,MATCH(B449,'ei names mapping'!$A$4:$A$33,0),MATCH(G483,'ei names mapping'!$B$3:$BK$3,0))</f>
        <v>RER</v>
      </c>
      <c r="D483" s="12" t="str">
        <f>INDEX('ei names mapping'!$B$104:$BK$133,MATCH(B449,'ei names mapping'!$A$4:$A$33,0),MATCH(G483,'ei names mapping'!$B$3:$BK$3,0))</f>
        <v>kilogram</v>
      </c>
      <c r="E483" s="12"/>
      <c r="F483" s="12" t="s">
        <v>91</v>
      </c>
      <c r="G483" t="s">
        <v>31</v>
      </c>
      <c r="H483" s="12" t="str">
        <f>INDEX('ei names mapping'!$B$71:$BK$100,MATCH(B449,'ei names mapping'!$A$4:$A$33,0),MATCH(G483,'ei names mapping'!$B$3:$BK$3,0))</f>
        <v>brake wear emissions, passenger car</v>
      </c>
    </row>
    <row r="485" spans="1:8" ht="15.6" x14ac:dyDescent="0.3">
      <c r="A485" s="11"/>
      <c r="B485" s="9"/>
    </row>
    <row r="488" spans="1:8" x14ac:dyDescent="0.3">
      <c r="B488" s="12"/>
    </row>
    <row r="489" spans="1:8" x14ac:dyDescent="0.3">
      <c r="B489" s="12"/>
    </row>
    <row r="490" spans="1:8" x14ac:dyDescent="0.3">
      <c r="B490" s="12"/>
    </row>
    <row r="500" spans="1:8" x14ac:dyDescent="0.3">
      <c r="B500" s="2"/>
    </row>
    <row r="504" spans="1:8" x14ac:dyDescent="0.3">
      <c r="B504" s="2"/>
    </row>
    <row r="506" spans="1:8" x14ac:dyDescent="0.3">
      <c r="B506" s="2"/>
    </row>
    <row r="508" spans="1:8" x14ac:dyDescent="0.3">
      <c r="B508" s="6"/>
    </row>
    <row r="510" spans="1:8" ht="15.6" x14ac:dyDescent="0.3">
      <c r="A510" s="11"/>
    </row>
    <row r="512" spans="1:8" x14ac:dyDescent="0.3">
      <c r="A512" s="12"/>
      <c r="B512" s="12"/>
      <c r="C512" s="12"/>
      <c r="D512" s="12"/>
      <c r="E512" s="12"/>
      <c r="F512" s="12"/>
      <c r="G512" s="12"/>
      <c r="H512" s="12"/>
    </row>
    <row r="513" spans="1:8" x14ac:dyDescent="0.3">
      <c r="A513" s="12"/>
      <c r="B513" s="16"/>
      <c r="C513" s="12"/>
      <c r="D513" s="12"/>
      <c r="E513" s="12"/>
      <c r="F513" s="12"/>
      <c r="G513" s="12"/>
      <c r="H513" s="12"/>
    </row>
    <row r="514" spans="1:8" x14ac:dyDescent="0.3">
      <c r="A514" s="12"/>
      <c r="B514" s="16"/>
      <c r="C514" s="12"/>
      <c r="D514" s="12"/>
      <c r="E514" s="12"/>
      <c r="F514" s="12"/>
      <c r="H514" s="12"/>
    </row>
    <row r="515" spans="1:8" x14ac:dyDescent="0.3">
      <c r="A515" s="12"/>
      <c r="B515" s="16"/>
      <c r="C515" s="12"/>
      <c r="D515" s="12"/>
      <c r="E515" s="12"/>
      <c r="F515" s="12"/>
      <c r="H515" s="12"/>
    </row>
    <row r="516" spans="1:8" x14ac:dyDescent="0.3">
      <c r="A516" s="12"/>
      <c r="B516" s="16"/>
      <c r="C516" s="12"/>
      <c r="D516" s="12"/>
      <c r="E516" s="12"/>
      <c r="F516" s="12"/>
      <c r="H516" s="12"/>
    </row>
    <row r="517" spans="1:8" x14ac:dyDescent="0.3">
      <c r="A517" s="12"/>
      <c r="B517" s="16"/>
      <c r="C517" s="12"/>
      <c r="D517" s="12"/>
      <c r="E517" s="12"/>
      <c r="F517" s="12"/>
      <c r="H517" s="12"/>
    </row>
    <row r="518" spans="1:8" x14ac:dyDescent="0.3">
      <c r="A518" s="12"/>
      <c r="B518" s="16"/>
      <c r="C518" s="12"/>
      <c r="D518" s="12"/>
      <c r="E518" s="12"/>
      <c r="F518" s="12"/>
      <c r="H518" s="12"/>
    </row>
    <row r="519" spans="1:8" x14ac:dyDescent="0.3">
      <c r="A519" s="12"/>
      <c r="B519" s="16"/>
      <c r="C519" s="12"/>
      <c r="D519" s="12"/>
      <c r="E519" s="12"/>
      <c r="F519" s="12"/>
      <c r="H519" s="12"/>
    </row>
    <row r="520" spans="1:8" x14ac:dyDescent="0.3">
      <c r="A520" s="12"/>
      <c r="B520" s="16"/>
      <c r="C520" s="12"/>
      <c r="D520" s="12"/>
      <c r="E520" s="12"/>
      <c r="F520" s="12"/>
      <c r="H520" s="12"/>
    </row>
    <row r="521" spans="1:8" x14ac:dyDescent="0.3">
      <c r="A521" s="12"/>
      <c r="B521" s="16"/>
      <c r="C521" s="12"/>
      <c r="D521" s="12"/>
      <c r="E521" s="12"/>
      <c r="F521" s="12"/>
      <c r="H521" s="12"/>
    </row>
    <row r="522" spans="1:8" x14ac:dyDescent="0.3">
      <c r="A522" s="12"/>
      <c r="B522" s="16"/>
      <c r="C522" s="12"/>
      <c r="D522" s="12"/>
      <c r="E522" s="12"/>
      <c r="F522" s="12"/>
      <c r="H522" s="12"/>
    </row>
    <row r="523" spans="1:8" x14ac:dyDescent="0.3">
      <c r="A523" s="12"/>
      <c r="B523" s="16"/>
      <c r="C523" s="12"/>
      <c r="D523" s="12"/>
      <c r="E523" s="12"/>
      <c r="F523" s="12"/>
      <c r="H523" s="12"/>
    </row>
    <row r="524" spans="1:8" ht="15.6" x14ac:dyDescent="0.3">
      <c r="A524" s="11"/>
      <c r="B524" s="9"/>
    </row>
    <row r="527" spans="1:8" x14ac:dyDescent="0.3">
      <c r="B527" s="12"/>
    </row>
    <row r="528" spans="1:8" x14ac:dyDescent="0.3">
      <c r="B528" s="12"/>
    </row>
    <row r="529" spans="2:2" x14ac:dyDescent="0.3">
      <c r="B529" s="12"/>
    </row>
    <row r="539" spans="2:2" x14ac:dyDescent="0.3">
      <c r="B539" s="2"/>
    </row>
    <row r="543" spans="2:2" x14ac:dyDescent="0.3">
      <c r="B543" s="2"/>
    </row>
    <row r="545" spans="1:8" x14ac:dyDescent="0.3">
      <c r="B545" s="2"/>
    </row>
    <row r="547" spans="1:8" x14ac:dyDescent="0.3">
      <c r="B547" s="6"/>
    </row>
    <row r="549" spans="1:8" ht="15.6" x14ac:dyDescent="0.3">
      <c r="A549" s="11"/>
    </row>
    <row r="551" spans="1:8" x14ac:dyDescent="0.3">
      <c r="A551" s="12"/>
      <c r="B551" s="12"/>
      <c r="C551" s="12"/>
      <c r="D551" s="12"/>
      <c r="E551" s="12"/>
      <c r="F551" s="12"/>
      <c r="G551" s="12"/>
      <c r="H551" s="12"/>
    </row>
    <row r="552" spans="1:8" x14ac:dyDescent="0.3">
      <c r="A552" s="12"/>
      <c r="B552" s="16"/>
      <c r="C552" s="12"/>
      <c r="D552" s="12"/>
      <c r="E552" s="12"/>
      <c r="F552" s="12"/>
      <c r="G552" s="12"/>
      <c r="H552" s="12"/>
    </row>
    <row r="553" spans="1:8" x14ac:dyDescent="0.3">
      <c r="A553" s="12"/>
      <c r="B553" s="16"/>
      <c r="C553" s="12"/>
      <c r="D553" s="12"/>
      <c r="E553" s="12"/>
      <c r="F553" s="12"/>
      <c r="H553" s="12"/>
    </row>
    <row r="554" spans="1:8" x14ac:dyDescent="0.3">
      <c r="A554" s="12"/>
      <c r="B554" s="16"/>
      <c r="C554" s="12"/>
      <c r="D554" s="12"/>
      <c r="E554" s="12"/>
      <c r="F554" s="12"/>
      <c r="H554" s="12"/>
    </row>
    <row r="555" spans="1:8" x14ac:dyDescent="0.3">
      <c r="A555" s="12"/>
      <c r="B555" s="16"/>
      <c r="C555" s="12"/>
      <c r="D555" s="12"/>
      <c r="E555" s="12"/>
      <c r="F555" s="12"/>
      <c r="H555" s="12"/>
    </row>
    <row r="556" spans="1:8" x14ac:dyDescent="0.3">
      <c r="A556" s="12"/>
      <c r="B556" s="16"/>
      <c r="C556" s="12"/>
      <c r="D556" s="12"/>
      <c r="E556" s="12"/>
      <c r="F556" s="12"/>
      <c r="H556" s="12"/>
    </row>
    <row r="557" spans="1:8" x14ac:dyDescent="0.3">
      <c r="A557" s="12"/>
      <c r="B557" s="16"/>
      <c r="C557" s="12"/>
      <c r="D557" s="12"/>
      <c r="E557" s="12"/>
      <c r="F557" s="12"/>
      <c r="H557" s="12"/>
    </row>
    <row r="558" spans="1:8" x14ac:dyDescent="0.3">
      <c r="A558" s="12"/>
      <c r="B558" s="16"/>
      <c r="C558" s="12"/>
      <c r="D558" s="12"/>
      <c r="E558" s="12"/>
      <c r="F558" s="12"/>
      <c r="H558" s="12"/>
    </row>
    <row r="559" spans="1:8" x14ac:dyDescent="0.3">
      <c r="A559" s="12"/>
      <c r="B559" s="16"/>
      <c r="C559" s="12"/>
      <c r="D559" s="12"/>
      <c r="E559" s="12"/>
      <c r="F559" s="12"/>
      <c r="H559" s="12"/>
    </row>
    <row r="560" spans="1:8" x14ac:dyDescent="0.3">
      <c r="A560" s="12"/>
      <c r="B560" s="16"/>
      <c r="C560" s="12"/>
      <c r="D560" s="12"/>
      <c r="E560" s="12"/>
      <c r="F560" s="12"/>
      <c r="H560" s="12"/>
    </row>
    <row r="561" spans="1:8" x14ac:dyDescent="0.3">
      <c r="A561" s="12"/>
      <c r="B561" s="16"/>
      <c r="C561" s="12"/>
      <c r="D561" s="12"/>
      <c r="E561" s="12"/>
      <c r="F561" s="12"/>
      <c r="H561" s="12"/>
    </row>
    <row r="562" spans="1:8" x14ac:dyDescent="0.3">
      <c r="B562" s="12"/>
    </row>
    <row r="563" spans="1:8" ht="15.6" x14ac:dyDescent="0.3">
      <c r="A563" s="11"/>
      <c r="B563" s="9"/>
    </row>
    <row r="566" spans="1:8" x14ac:dyDescent="0.3">
      <c r="B566" s="12"/>
    </row>
    <row r="567" spans="1:8" x14ac:dyDescent="0.3">
      <c r="B567" s="12"/>
    </row>
    <row r="568" spans="1:8" x14ac:dyDescent="0.3">
      <c r="B568" s="12"/>
    </row>
    <row r="578" spans="1:8" x14ac:dyDescent="0.3">
      <c r="B578" s="2"/>
    </row>
    <row r="582" spans="1:8" x14ac:dyDescent="0.3">
      <c r="B582" s="2"/>
    </row>
    <row r="584" spans="1:8" x14ac:dyDescent="0.3">
      <c r="B584" s="2"/>
    </row>
    <row r="586" spans="1:8" x14ac:dyDescent="0.3">
      <c r="B586" s="6"/>
    </row>
    <row r="588" spans="1:8" ht="15.6" x14ac:dyDescent="0.3">
      <c r="A588" s="11"/>
    </row>
    <row r="590" spans="1:8" x14ac:dyDescent="0.3">
      <c r="A590" s="12"/>
      <c r="B590" s="12"/>
      <c r="C590" s="12"/>
      <c r="D590" s="12"/>
      <c r="E590" s="12"/>
      <c r="F590" s="12"/>
      <c r="G590" s="12"/>
      <c r="H590" s="12"/>
    </row>
    <row r="591" spans="1:8" x14ac:dyDescent="0.3">
      <c r="A591" s="12"/>
      <c r="B591" s="16"/>
      <c r="C591" s="12"/>
      <c r="D591" s="12"/>
      <c r="E591" s="12"/>
      <c r="F591" s="12"/>
      <c r="G591" s="12"/>
      <c r="H591" s="12"/>
    </row>
    <row r="592" spans="1:8" x14ac:dyDescent="0.3">
      <c r="A592" s="12"/>
      <c r="B592" s="16"/>
      <c r="C592" s="12"/>
      <c r="D592" s="12"/>
      <c r="E592" s="12"/>
      <c r="F592" s="12"/>
      <c r="H592" s="12"/>
    </row>
    <row r="593" spans="1:8" x14ac:dyDescent="0.3">
      <c r="A593" s="12"/>
      <c r="B593" s="16"/>
      <c r="C593" s="12"/>
      <c r="D593" s="12"/>
      <c r="E593" s="12"/>
      <c r="F593" s="12"/>
      <c r="H593" s="12"/>
    </row>
    <row r="594" spans="1:8" x14ac:dyDescent="0.3">
      <c r="A594" s="12"/>
      <c r="B594" s="16"/>
      <c r="C594" s="12"/>
      <c r="D594" s="12"/>
      <c r="E594" s="12"/>
      <c r="F594" s="12"/>
      <c r="H594" s="12"/>
    </row>
    <row r="595" spans="1:8" x14ac:dyDescent="0.3">
      <c r="A595" s="12"/>
      <c r="B595" s="16"/>
      <c r="C595" s="12"/>
      <c r="D595" s="12"/>
      <c r="E595" s="12"/>
      <c r="F595" s="12"/>
      <c r="H595" s="12"/>
    </row>
    <row r="596" spans="1:8" x14ac:dyDescent="0.3">
      <c r="A596" s="12"/>
      <c r="B596" s="16"/>
      <c r="C596" s="12"/>
      <c r="D596" s="12"/>
      <c r="E596" s="12"/>
      <c r="F596" s="12"/>
      <c r="H596" s="12"/>
    </row>
    <row r="597" spans="1:8" x14ac:dyDescent="0.3">
      <c r="A597" s="12"/>
      <c r="B597" s="16"/>
      <c r="C597" s="12"/>
      <c r="D597" s="12"/>
      <c r="E597" s="12"/>
      <c r="F597" s="12"/>
      <c r="H597" s="12"/>
    </row>
    <row r="598" spans="1:8" x14ac:dyDescent="0.3">
      <c r="A598" s="12"/>
      <c r="B598" s="16"/>
      <c r="C598" s="12"/>
      <c r="D598" s="12"/>
      <c r="E598" s="12"/>
      <c r="F598" s="12"/>
      <c r="H598" s="12"/>
    </row>
    <row r="599" spans="1:8" x14ac:dyDescent="0.3">
      <c r="A599" s="12"/>
      <c r="B599" s="16"/>
      <c r="C599" s="12"/>
      <c r="D599" s="12"/>
      <c r="E599" s="12"/>
      <c r="F599" s="12"/>
      <c r="H599" s="12"/>
    </row>
    <row r="600" spans="1:8" x14ac:dyDescent="0.3">
      <c r="A600" s="12"/>
      <c r="B600" s="16"/>
      <c r="C600" s="12"/>
      <c r="D600" s="12"/>
      <c r="E600" s="12"/>
      <c r="F600" s="12"/>
      <c r="H600" s="12"/>
    </row>
    <row r="602" spans="1:8" ht="15.6" x14ac:dyDescent="0.3">
      <c r="A602" s="11"/>
      <c r="B602" s="9"/>
    </row>
    <row r="605" spans="1:8" x14ac:dyDescent="0.3">
      <c r="B605" s="12"/>
    </row>
    <row r="606" spans="1:8" x14ac:dyDescent="0.3">
      <c r="B606" s="12"/>
    </row>
    <row r="607" spans="1:8" x14ac:dyDescent="0.3">
      <c r="B607" s="12"/>
    </row>
    <row r="617" spans="2:2" x14ac:dyDescent="0.3">
      <c r="B617" s="2"/>
    </row>
    <row r="621" spans="2:2" x14ac:dyDescent="0.3">
      <c r="B621" s="2"/>
    </row>
    <row r="623" spans="2:2" x14ac:dyDescent="0.3">
      <c r="B623" s="2"/>
    </row>
    <row r="625" spans="1:8" x14ac:dyDescent="0.3">
      <c r="B625" s="6"/>
    </row>
    <row r="627" spans="1:8" ht="15.6" x14ac:dyDescent="0.3">
      <c r="A627" s="11"/>
    </row>
    <row r="629" spans="1:8" x14ac:dyDescent="0.3">
      <c r="A629" s="12"/>
      <c r="B629" s="12"/>
      <c r="C629" s="12"/>
      <c r="D629" s="12"/>
      <c r="E629" s="12"/>
      <c r="F629" s="12"/>
      <c r="G629" s="12"/>
      <c r="H629" s="12"/>
    </row>
    <row r="630" spans="1:8" x14ac:dyDescent="0.3">
      <c r="A630" s="12"/>
      <c r="B630" s="16"/>
      <c r="C630" s="12"/>
      <c r="D630" s="12"/>
      <c r="E630" s="12"/>
      <c r="F630" s="12"/>
      <c r="G630" s="12"/>
      <c r="H630" s="12"/>
    </row>
    <row r="631" spans="1:8" x14ac:dyDescent="0.3">
      <c r="A631" s="12"/>
      <c r="B631" s="16"/>
      <c r="C631" s="12"/>
      <c r="D631" s="12"/>
      <c r="E631" s="12"/>
      <c r="F631" s="12"/>
      <c r="H631" s="12"/>
    </row>
    <row r="632" spans="1:8" x14ac:dyDescent="0.3">
      <c r="A632" s="12"/>
      <c r="B632" s="16"/>
      <c r="C632" s="12"/>
      <c r="D632" s="12"/>
      <c r="E632" s="12"/>
      <c r="F632" s="12"/>
      <c r="H632" s="12"/>
    </row>
    <row r="633" spans="1:8" x14ac:dyDescent="0.3">
      <c r="A633" s="12"/>
      <c r="B633" s="16"/>
      <c r="C633" s="12"/>
      <c r="D633" s="12"/>
      <c r="E633" s="12"/>
      <c r="F633" s="12"/>
      <c r="H633" s="12"/>
    </row>
    <row r="634" spans="1:8" x14ac:dyDescent="0.3">
      <c r="A634" s="12"/>
      <c r="B634" s="16"/>
      <c r="C634" s="12"/>
      <c r="D634" s="12"/>
      <c r="E634" s="12"/>
      <c r="F634" s="12"/>
      <c r="H634" s="12"/>
    </row>
    <row r="635" spans="1:8" x14ac:dyDescent="0.3">
      <c r="A635" s="12"/>
      <c r="B635" s="16"/>
      <c r="C635" s="12"/>
      <c r="D635" s="12"/>
      <c r="E635" s="12"/>
      <c r="F635" s="12"/>
      <c r="H635" s="12"/>
    </row>
    <row r="636" spans="1:8" x14ac:dyDescent="0.3">
      <c r="A636" s="12"/>
      <c r="B636" s="16"/>
      <c r="C636" s="12"/>
      <c r="D636" s="12"/>
      <c r="E636" s="12"/>
      <c r="F636" s="12"/>
      <c r="H636" s="12"/>
    </row>
    <row r="637" spans="1:8" x14ac:dyDescent="0.3">
      <c r="A637" s="12"/>
      <c r="B637" s="16"/>
      <c r="C637" s="12"/>
      <c r="D637" s="12"/>
      <c r="E637" s="12"/>
      <c r="F637" s="12"/>
      <c r="H637" s="12"/>
    </row>
    <row r="638" spans="1:8" x14ac:dyDescent="0.3">
      <c r="A638" s="12"/>
      <c r="B638" s="16"/>
      <c r="C638" s="12"/>
      <c r="D638" s="12"/>
      <c r="E638" s="12"/>
      <c r="F638" s="12"/>
      <c r="H638" s="12"/>
    </row>
    <row r="639" spans="1:8" x14ac:dyDescent="0.3">
      <c r="A639" s="12"/>
      <c r="B639" s="16"/>
      <c r="C639" s="12"/>
      <c r="D639" s="12"/>
      <c r="E639" s="12"/>
      <c r="F639" s="12"/>
      <c r="H639" s="12"/>
    </row>
    <row r="640" spans="1:8" x14ac:dyDescent="0.3">
      <c r="B640" s="2"/>
    </row>
    <row r="641" spans="1:2" ht="15.6" x14ac:dyDescent="0.3">
      <c r="A641" s="11"/>
      <c r="B641" s="9"/>
    </row>
    <row r="644" spans="1:2" x14ac:dyDescent="0.3">
      <c r="B644" s="12"/>
    </row>
    <row r="645" spans="1:2" x14ac:dyDescent="0.3">
      <c r="B645" s="12"/>
    </row>
    <row r="646" spans="1:2" x14ac:dyDescent="0.3">
      <c r="B646" s="12"/>
    </row>
    <row r="647" spans="1:2" x14ac:dyDescent="0.3">
      <c r="B647" s="12"/>
    </row>
    <row r="656" spans="1:2" x14ac:dyDescent="0.3">
      <c r="B656" s="2"/>
    </row>
    <row r="660" spans="1:8" x14ac:dyDescent="0.3">
      <c r="B660" s="2"/>
    </row>
    <row r="662" spans="1:8" x14ac:dyDescent="0.3">
      <c r="B662" s="2"/>
    </row>
    <row r="664" spans="1:8" x14ac:dyDescent="0.3">
      <c r="B664" s="6"/>
    </row>
    <row r="666" spans="1:8" ht="15.6" x14ac:dyDescent="0.3">
      <c r="A666" s="11"/>
    </row>
    <row r="668" spans="1:8" x14ac:dyDescent="0.3">
      <c r="A668" s="12"/>
      <c r="B668" s="12"/>
      <c r="C668" s="12"/>
      <c r="D668" s="12"/>
      <c r="E668" s="12"/>
      <c r="F668" s="12"/>
      <c r="G668" s="12"/>
      <c r="H668" s="12"/>
    </row>
    <row r="669" spans="1:8" x14ac:dyDescent="0.3">
      <c r="A669" s="12"/>
      <c r="B669" s="15"/>
      <c r="C669" s="12"/>
      <c r="D669" s="12"/>
      <c r="E669" s="12"/>
      <c r="F669" s="12"/>
      <c r="G669" s="12"/>
      <c r="H669" s="12"/>
    </row>
    <row r="670" spans="1:8" x14ac:dyDescent="0.3">
      <c r="A670" s="12"/>
      <c r="B670" s="16"/>
      <c r="C670" s="12"/>
      <c r="D670" s="12"/>
      <c r="E670" s="12"/>
      <c r="F670" s="12"/>
      <c r="H670" s="12"/>
    </row>
    <row r="671" spans="1:8" x14ac:dyDescent="0.3">
      <c r="A671" s="12"/>
      <c r="B671" s="14"/>
      <c r="C671" s="12"/>
      <c r="D671" s="12"/>
      <c r="E671" s="12"/>
      <c r="F671" s="12"/>
      <c r="H671" s="12"/>
    </row>
    <row r="672" spans="1:8" x14ac:dyDescent="0.3">
      <c r="A672" s="12"/>
      <c r="B672" s="16"/>
      <c r="C672" s="12"/>
      <c r="D672" s="12"/>
      <c r="F672" s="12"/>
      <c r="G672" s="12"/>
      <c r="H672" s="12"/>
    </row>
    <row r="673" spans="1:8" x14ac:dyDescent="0.3">
      <c r="A673" s="12"/>
      <c r="B673" s="16"/>
      <c r="C673" s="12"/>
      <c r="D673" s="12"/>
      <c r="E673" s="12"/>
      <c r="F673" s="12"/>
      <c r="H673" s="12"/>
    </row>
    <row r="674" spans="1:8" x14ac:dyDescent="0.3">
      <c r="A674" s="12"/>
      <c r="B674" s="16"/>
      <c r="C674" s="12"/>
      <c r="D674" s="12"/>
      <c r="E674" s="12"/>
      <c r="F674" s="12"/>
      <c r="H674" s="12"/>
    </row>
    <row r="675" spans="1:8" x14ac:dyDescent="0.3">
      <c r="A675" s="12"/>
      <c r="B675" s="16"/>
      <c r="C675" s="12"/>
      <c r="D675" s="12"/>
      <c r="E675" s="12"/>
      <c r="F675" s="12"/>
      <c r="H675" s="12"/>
    </row>
    <row r="676" spans="1:8" x14ac:dyDescent="0.3">
      <c r="B676" s="6"/>
    </row>
    <row r="677" spans="1:8" ht="15.6" x14ac:dyDescent="0.3">
      <c r="A677" s="11"/>
      <c r="B677" s="9"/>
    </row>
    <row r="680" spans="1:8" x14ac:dyDescent="0.3">
      <c r="B680" s="12"/>
    </row>
    <row r="681" spans="1:8" x14ac:dyDescent="0.3">
      <c r="B681" s="12"/>
    </row>
    <row r="682" spans="1:8" x14ac:dyDescent="0.3">
      <c r="B682" s="12"/>
    </row>
    <row r="683" spans="1:8" x14ac:dyDescent="0.3">
      <c r="B683" s="12"/>
    </row>
    <row r="692" spans="1:8" x14ac:dyDescent="0.3">
      <c r="B692" s="2"/>
    </row>
    <row r="696" spans="1:8" x14ac:dyDescent="0.3">
      <c r="B696" s="2"/>
    </row>
    <row r="698" spans="1:8" x14ac:dyDescent="0.3">
      <c r="B698" s="2"/>
    </row>
    <row r="700" spans="1:8" x14ac:dyDescent="0.3">
      <c r="B700" s="6"/>
    </row>
    <row r="702" spans="1:8" ht="15.6" x14ac:dyDescent="0.3">
      <c r="A702" s="11"/>
    </row>
    <row r="704" spans="1:8" x14ac:dyDescent="0.3">
      <c r="A704" s="12"/>
      <c r="B704" s="12"/>
      <c r="C704" s="12"/>
      <c r="D704" s="12"/>
      <c r="E704" s="12"/>
      <c r="F704" s="12"/>
      <c r="G704" s="12"/>
      <c r="H704" s="12"/>
    </row>
    <row r="705" spans="1:8" x14ac:dyDescent="0.3">
      <c r="A705" s="12"/>
      <c r="B705" s="12"/>
      <c r="C705" s="12"/>
      <c r="D705" s="12"/>
      <c r="E705" s="12"/>
      <c r="F705" s="12"/>
      <c r="G705" s="12"/>
      <c r="H705" s="12"/>
    </row>
    <row r="706" spans="1:8" x14ac:dyDescent="0.3">
      <c r="A706" s="12"/>
      <c r="B706" s="16"/>
      <c r="C706" s="12"/>
      <c r="D706" s="12"/>
      <c r="E706" s="12"/>
      <c r="F706" s="12"/>
      <c r="H706" s="12"/>
    </row>
    <row r="707" spans="1:8" x14ac:dyDescent="0.3">
      <c r="A707" s="12"/>
      <c r="B707" s="14"/>
      <c r="C707" s="12"/>
      <c r="D707" s="12"/>
      <c r="E707" s="12"/>
      <c r="F707" s="12"/>
      <c r="H707" s="12"/>
    </row>
    <row r="708" spans="1:8" x14ac:dyDescent="0.3">
      <c r="A708" s="12"/>
      <c r="B708" s="16"/>
      <c r="C708" s="12"/>
      <c r="D708" s="12"/>
      <c r="F708" s="12"/>
      <c r="G708" s="12"/>
      <c r="H708" s="12"/>
    </row>
    <row r="709" spans="1:8" x14ac:dyDescent="0.3">
      <c r="A709" s="12"/>
      <c r="B709" s="16"/>
      <c r="C709" s="12"/>
      <c r="D709" s="12"/>
      <c r="E709" s="12"/>
      <c r="F709" s="12"/>
      <c r="H709" s="12"/>
    </row>
    <row r="710" spans="1:8" x14ac:dyDescent="0.3">
      <c r="A710" s="12"/>
      <c r="B710" s="16"/>
      <c r="C710" s="12"/>
      <c r="D710" s="12"/>
      <c r="E710" s="12"/>
      <c r="F710" s="12"/>
      <c r="H710" s="12"/>
    </row>
    <row r="711" spans="1:8" x14ac:dyDescent="0.3">
      <c r="A711" s="12"/>
      <c r="B711" s="16"/>
      <c r="C711" s="12"/>
      <c r="D711" s="12"/>
      <c r="E711" s="12"/>
      <c r="F711" s="12"/>
      <c r="H711" s="12"/>
    </row>
    <row r="713" spans="1:8" ht="15.6" x14ac:dyDescent="0.3">
      <c r="A713" s="11"/>
      <c r="B713" s="9"/>
    </row>
    <row r="716" spans="1:8" x14ac:dyDescent="0.3">
      <c r="B716" s="12"/>
    </row>
    <row r="717" spans="1:8" x14ac:dyDescent="0.3">
      <c r="B717" s="12"/>
    </row>
    <row r="718" spans="1:8" x14ac:dyDescent="0.3">
      <c r="B718" s="12"/>
    </row>
    <row r="719" spans="1:8" x14ac:dyDescent="0.3">
      <c r="B719" s="12"/>
    </row>
    <row r="728" spans="2:2" x14ac:dyDescent="0.3">
      <c r="B728" s="2"/>
    </row>
    <row r="732" spans="2:2" x14ac:dyDescent="0.3">
      <c r="B732" s="2"/>
    </row>
    <row r="734" spans="2:2" x14ac:dyDescent="0.3">
      <c r="B734" s="2"/>
    </row>
    <row r="736" spans="2:2" x14ac:dyDescent="0.3">
      <c r="B736" s="6"/>
    </row>
    <row r="738" spans="1:8" ht="15.6" x14ac:dyDescent="0.3">
      <c r="A738" s="11"/>
    </row>
    <row r="740" spans="1:8" x14ac:dyDescent="0.3">
      <c r="A740" s="12"/>
      <c r="B740" s="12"/>
      <c r="C740" s="12"/>
      <c r="D740" s="12"/>
      <c r="E740" s="12"/>
      <c r="F740" s="12"/>
      <c r="G740" s="12"/>
      <c r="H740" s="12"/>
    </row>
    <row r="741" spans="1:8" x14ac:dyDescent="0.3">
      <c r="A741" s="12"/>
      <c r="B741" s="12"/>
      <c r="C741" s="12"/>
      <c r="D741" s="12"/>
      <c r="E741" s="12"/>
      <c r="F741" s="12"/>
      <c r="G741" s="12"/>
      <c r="H741" s="12"/>
    </row>
    <row r="742" spans="1:8" x14ac:dyDescent="0.3">
      <c r="A742" s="12"/>
      <c r="B742" s="16"/>
      <c r="C742" s="12"/>
      <c r="D742" s="12"/>
      <c r="E742" s="12"/>
      <c r="F742" s="12"/>
      <c r="H742" s="12"/>
    </row>
    <row r="743" spans="1:8" x14ac:dyDescent="0.3">
      <c r="A743" s="12"/>
      <c r="B743" s="14"/>
      <c r="C743" s="12"/>
      <c r="D743" s="12"/>
      <c r="E743" s="12"/>
      <c r="F743" s="12"/>
      <c r="H743" s="12"/>
    </row>
    <row r="744" spans="1:8" x14ac:dyDescent="0.3">
      <c r="A744" s="12"/>
      <c r="B744" s="16"/>
      <c r="C744" s="12"/>
      <c r="D744" s="12"/>
      <c r="F744" s="12"/>
      <c r="G744" s="12"/>
      <c r="H744" s="12"/>
    </row>
    <row r="745" spans="1:8" x14ac:dyDescent="0.3">
      <c r="A745" s="12"/>
      <c r="B745" s="16"/>
      <c r="C745" s="12"/>
      <c r="D745" s="12"/>
      <c r="E745" s="12"/>
      <c r="F745" s="12"/>
      <c r="H745" s="12"/>
    </row>
    <row r="746" spans="1:8" x14ac:dyDescent="0.3">
      <c r="A746" s="12"/>
      <c r="B746" s="16"/>
      <c r="C746" s="12"/>
      <c r="D746" s="12"/>
      <c r="E746" s="12"/>
      <c r="F746" s="12"/>
      <c r="H746" s="12"/>
    </row>
    <row r="747" spans="1:8" x14ac:dyDescent="0.3">
      <c r="A747" s="12"/>
      <c r="B747" s="16"/>
      <c r="C747" s="12"/>
      <c r="D747" s="12"/>
      <c r="E747" s="12"/>
      <c r="F747" s="12"/>
      <c r="H747" s="12"/>
    </row>
    <row r="749" spans="1:8" ht="15.6" x14ac:dyDescent="0.3">
      <c r="A749" s="11"/>
      <c r="B749" s="9"/>
    </row>
    <row r="752" spans="1:8" x14ac:dyDescent="0.3">
      <c r="B752" s="12"/>
    </row>
    <row r="753" spans="2:2" x14ac:dyDescent="0.3">
      <c r="B753" s="12"/>
    </row>
    <row r="754" spans="2:2" x14ac:dyDescent="0.3">
      <c r="B754" s="12"/>
    </row>
    <row r="755" spans="2:2" x14ac:dyDescent="0.3">
      <c r="B755" s="12"/>
    </row>
    <row r="764" spans="2:2" x14ac:dyDescent="0.3">
      <c r="B764" s="2"/>
    </row>
    <row r="768" spans="2:2" x14ac:dyDescent="0.3">
      <c r="B768" s="2"/>
    </row>
    <row r="770" spans="1:8" x14ac:dyDescent="0.3">
      <c r="B770" s="2"/>
    </row>
    <row r="772" spans="1:8" x14ac:dyDescent="0.3">
      <c r="B772" s="6"/>
    </row>
    <row r="774" spans="1:8" ht="15.6" x14ac:dyDescent="0.3">
      <c r="A774" s="11"/>
    </row>
    <row r="776" spans="1:8" x14ac:dyDescent="0.3">
      <c r="A776" s="12"/>
      <c r="B776" s="12"/>
      <c r="C776" s="12"/>
      <c r="D776" s="12"/>
      <c r="E776" s="12"/>
      <c r="F776" s="12"/>
      <c r="G776" s="12"/>
      <c r="H776" s="12"/>
    </row>
    <row r="777" spans="1:8" x14ac:dyDescent="0.3">
      <c r="A777" s="12"/>
      <c r="B777" s="12"/>
      <c r="C777" s="12"/>
      <c r="D777" s="12"/>
      <c r="E777" s="12"/>
      <c r="F777" s="12"/>
      <c r="G777" s="12"/>
      <c r="H777" s="12"/>
    </row>
    <row r="778" spans="1:8" x14ac:dyDescent="0.3">
      <c r="A778" s="12"/>
      <c r="B778" s="16"/>
      <c r="C778" s="12"/>
      <c r="D778" s="12"/>
      <c r="E778" s="12"/>
      <c r="F778" s="12"/>
      <c r="H778" s="12"/>
    </row>
    <row r="779" spans="1:8" x14ac:dyDescent="0.3">
      <c r="A779" s="12"/>
      <c r="B779" s="14"/>
      <c r="C779" s="12"/>
      <c r="D779" s="12"/>
      <c r="E779" s="12"/>
      <c r="F779" s="12"/>
      <c r="H779" s="12"/>
    </row>
    <row r="780" spans="1:8" x14ac:dyDescent="0.3">
      <c r="A780" s="12"/>
      <c r="B780" s="16"/>
      <c r="C780" s="12"/>
      <c r="D780" s="12"/>
      <c r="F780" s="12"/>
      <c r="G780" s="12"/>
      <c r="H780" s="12"/>
    </row>
    <row r="781" spans="1:8" x14ac:dyDescent="0.3">
      <c r="A781" s="12"/>
      <c r="B781" s="16"/>
      <c r="C781" s="12"/>
      <c r="D781" s="12"/>
      <c r="E781" s="12"/>
      <c r="F781" s="12"/>
      <c r="H781" s="12"/>
    </row>
    <row r="782" spans="1:8" x14ac:dyDescent="0.3">
      <c r="A782" s="12"/>
      <c r="B782" s="16"/>
      <c r="C782" s="12"/>
      <c r="D782" s="12"/>
      <c r="E782" s="12"/>
      <c r="F782" s="12"/>
      <c r="H782" s="12"/>
    </row>
    <row r="783" spans="1:8" x14ac:dyDescent="0.3">
      <c r="A783" s="12"/>
      <c r="B783" s="16"/>
      <c r="C783" s="12"/>
      <c r="D783" s="12"/>
      <c r="E783" s="12"/>
      <c r="F783" s="12"/>
      <c r="H783" s="1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3"/>
  <sheetViews>
    <sheetView topLeftCell="A194" workbookViewId="0">
      <selection activeCell="F229" sqref="F229"/>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electric, 11-35kW, 2020</v>
      </c>
    </row>
    <row r="2" spans="1:2" x14ac:dyDescent="0.3">
      <c r="A2" t="s">
        <v>73</v>
      </c>
      <c r="B2" t="s">
        <v>37</v>
      </c>
    </row>
    <row r="3" spans="1:2" x14ac:dyDescent="0.3">
      <c r="A3" t="s">
        <v>87</v>
      </c>
      <c r="B3" t="s">
        <v>522</v>
      </c>
    </row>
    <row r="4" spans="1:2" x14ac:dyDescent="0.3">
      <c r="A4" t="s">
        <v>88</v>
      </c>
      <c r="B4" s="12"/>
    </row>
    <row r="5" spans="1:2" x14ac:dyDescent="0.3">
      <c r="A5" t="s">
        <v>89</v>
      </c>
      <c r="B5" s="12">
        <v>2020</v>
      </c>
    </row>
    <row r="6" spans="1:2" x14ac:dyDescent="0.3">
      <c r="A6" t="s">
        <v>131</v>
      </c>
      <c r="B6" s="12" t="str">
        <f>B3&amp;" - "&amp;B5&amp;" - "&amp;B2</f>
        <v>Motorbike, electric, 11-35kW - 2020 - CH</v>
      </c>
    </row>
    <row r="7" spans="1:2" x14ac:dyDescent="0.3">
      <c r="A7" t="s">
        <v>74</v>
      </c>
      <c r="B7" t="str">
        <f>B3</f>
        <v>Motorbike, electric, 11-35kW</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62100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1.242</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4690</v>
      </c>
    </row>
    <row r="16" spans="1:2" x14ac:dyDescent="0.3">
      <c r="A16" t="s">
        <v>137</v>
      </c>
      <c r="B16" s="2">
        <f>INDEX('vehicles specifications'!$B$3:$CK$86,MATCH(B6,'vehicles specifications'!$A$3:$A$86,0),MATCH("Curb mass [kg]",'vehicles specifications'!$B$2:$CK$2,0))</f>
        <v>161.6</v>
      </c>
    </row>
    <row r="17" spans="1:8" x14ac:dyDescent="0.3">
      <c r="A17" t="s">
        <v>138</v>
      </c>
      <c r="B17">
        <f>INDEX('vehicles specifications'!$B$3:$CK$86,MATCH(B6,'vehicles specifications'!$A$3:$A$86,0),MATCH("Power [kW]",'vehicles specifications'!$B$2:$CK$2,0))</f>
        <v>14</v>
      </c>
    </row>
    <row r="18" spans="1:8" x14ac:dyDescent="0.3">
      <c r="A18" t="s">
        <v>139</v>
      </c>
      <c r="B18">
        <f>INDEX('vehicles specifications'!$B$3:$CK$86,MATCH(B6,'vehicles specifications'!$A$3:$A$86,0),MATCH("Energy battery mass [kg]",'vehicles specifications'!$B$2:$CK$2,0))</f>
        <v>48.599999999999994</v>
      </c>
    </row>
    <row r="19" spans="1:8" x14ac:dyDescent="0.3">
      <c r="A19" t="s">
        <v>140</v>
      </c>
      <c r="B19">
        <f>INDEX('vehicles specifications'!$B$3:$CK$86,MATCH(B6,'vehicles specifications'!$A$3:$A$86,0),MATCH("Electric energy stored [kWh]",'vehicles specifications'!$B$2:$CK$2,0))</f>
        <v>8.1</v>
      </c>
    </row>
    <row r="20" spans="1:8" s="21" customFormat="1" x14ac:dyDescent="0.3">
      <c r="A20" s="21" t="s">
        <v>654</v>
      </c>
      <c r="B20" s="21">
        <f>INDEX('vehicles specifications'!$B$3:$CK$86,MATCH(B6,'vehicles specifications'!$A$3:$A$86,0),MATCH("Electric energy available [kWh]",'vehicles specifications'!$B$2:$CK$2,0))</f>
        <v>6.48</v>
      </c>
    </row>
    <row r="21" spans="1:8" x14ac:dyDescent="0.3">
      <c r="A21" t="s">
        <v>143</v>
      </c>
      <c r="B21" s="2">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94.692311208791224</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14 kW. Lifetime: 62100 km. Annual kilometers: 4690 km. Number of passengers: 1.1. Curb mass: 161.6 kg. Lightweighting of glider: 0%. Emission standard: None. Service visits throughout lifetime: 1.2. Range: 95 km. Battery capacity: 8.1 kWh. Available battery capacity: 6.48 kWh. Battery mass: 48.6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Motorbike, electric, 11-35kW, 2020</v>
      </c>
      <c r="B32" s="12">
        <v>1</v>
      </c>
      <c r="C32" s="12" t="str">
        <f>B2</f>
        <v>CH</v>
      </c>
      <c r="D32" s="12" t="str">
        <f>B9</f>
        <v>unit</v>
      </c>
      <c r="E32" s="12"/>
      <c r="F32" s="12" t="s">
        <v>85</v>
      </c>
      <c r="G32" s="12" t="s">
        <v>86</v>
      </c>
      <c r="H32" s="12" t="str">
        <f>B3</f>
        <v>Motorbike, electric, 11-35kW</v>
      </c>
    </row>
    <row r="33" spans="1:8" x14ac:dyDescent="0.3">
      <c r="A33" s="12" t="str">
        <f>INDEX('ei names mapping'!$B$4:$R$33,MATCH(B3,'ei names mapping'!$A$4:$A$33,0),MATCH(G33,'ei names mapping'!$B$3:$R$3,0))</f>
        <v>market for glider, for electric scooter</v>
      </c>
      <c r="B33" s="16">
        <f>INDEX('vehicles specifications'!$B$3:$CK$86,MATCH(B6,'vehicles specifications'!$A$3:$A$86,0),MATCH(G33,'vehicles specifications'!$B$2:$CK$2,0))*INDEX('ei names mapping'!$B$137:$BK$220,MATCH(B6,'ei names mapping'!$A$137:$A$220,0),MATCH(G33,'ei names mapping'!$B$136:$BK$136,0))</f>
        <v>81</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s="21" customFormat="1" x14ac:dyDescent="0.3">
      <c r="A34" s="12" t="str">
        <f>INDEX('ei names mapping'!$B$4:$R$33,MATCH(B3,'ei names mapping'!$A$4:$A$33,0),MATCH(G34,'ei names mapping'!$B$3:$R$3,0))</f>
        <v>glider lightweighting</v>
      </c>
      <c r="B34" s="16">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16">
        <f>INDEX('vehicles specifications'!$B$3:$CK$86,MATCH(B6,'vehicles specifications'!$A$3:$A$86,0),MATCH(G35,'vehicles specifications'!$B$2:$CK$2,0))*INDEX('ei names mapping'!$B$137:$BK$220,MATCH(B6,'ei names mapping'!$A$137:$A$220,0),MATCH(G35,'ei names mapping'!$B$136:$BK$136,0))</f>
        <v>13</v>
      </c>
      <c r="C35" s="12" t="str">
        <f>INDEX('ei names mapping'!$B$38:$R$67,MATCH(B3,'ei names mapping'!$A$4:$A$33,0),MATCH(G35,'ei names mapping'!$B$3:$R$3,0))</f>
        <v>GLO</v>
      </c>
      <c r="D35" s="12" t="str">
        <f>INDEX('ei names mapping'!$B$104:$R$133,MATCH(B3,'ei names mapping'!$A$104:$A$133,0),MATCH(G35,'ei names mapping'!$B$3:$R$3,0))</f>
        <v>kilogram</v>
      </c>
      <c r="E35" s="12"/>
      <c r="F35" s="12" t="s">
        <v>91</v>
      </c>
      <c r="G35"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16">
        <f>INDEX('vehicles specifications'!$B$3:$CK$86,MATCH(B6,'vehicles specifications'!$A$3:$A$86,0),MATCH(G36,'vehicles specifications'!$B$2:$CK$2,0))*INDEX('ei names mapping'!$B$137:$BK$220,MATCH(B6,'ei names mapping'!$A$137:$A$220,0),MATCH(G36,'ei names mapping'!$B$136:$BK$136,0))</f>
        <v>19</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16">
        <f>INDEX('vehicles specifications'!$B$3:$CK$86,MATCH(B6,'vehicles specifications'!$A$3:$A$86,0),MATCH(G37,'vehicles specifications'!$B$2:$CK$2,0))*INDEX('ei names mapping'!$B$137:$BK$220,MATCH(B6,'ei names mapping'!$A$137:$A$220,0),MATCH(G37,'ei names mapping'!$B$136:$BK$136,0))</f>
        <v>80.999999999999986</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16">
        <f>INDEX('vehicles specifications'!$B$3:$CK$86,MATCH(B6,'vehicles specifications'!$A$3:$A$86,0),MATCH(G38,'vehicles specifications'!$B$2:$CK$2,0))*INDEX('ei names mapping'!$B$137:$BK$220,MATCH(B6,'ei names mapping'!$A$137:$A$220,0),MATCH(G38,'ei names mapping'!$B$136:$BK$136,0))</f>
        <v>16.2</v>
      </c>
      <c r="C38" s="12" t="str">
        <f>INDEX('ei names mapping'!$B$38:$R$67,MATCH(B3,'ei names mapping'!$A$4:$A$33,0),MATCH(G38,'ei names mapping'!$B$3:$R$3,0))</f>
        <v>GLO</v>
      </c>
      <c r="D38" s="12" t="str">
        <f>INDEX('ei names mapping'!$B$104:$R$133,MATCH(B3,'ei names mapping'!$A$104:$A$133,0),MATCH(G38,'ei names mapping'!$B$3:$R$3,0))</f>
        <v>kilogram</v>
      </c>
      <c r="E38" s="12"/>
      <c r="F38" s="12" t="s">
        <v>91</v>
      </c>
      <c r="G38"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16">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manual dismantling of used electric scooter</v>
      </c>
      <c r="B40" s="16">
        <f>INDEX('vehicles specifications'!$B$3:$CK$86,MATCH(B6,'vehicles specifications'!$A$3:$A$86,0),MATCH(G40,'vehicles specifications'!$B$2:$CK$2,0))*INDEX('ei names mapping'!$B$137:$BK$220,MATCH(B6,'ei names mapping'!$A$137:$A$220,0),MATCH(G40,'ei names mapping'!$B$136:$BK$136,0))</f>
        <v>81</v>
      </c>
      <c r="C40" s="12" t="str">
        <f>INDEX('ei names mapping'!$B$38:$R$67,MATCH(B3,'ei names mapping'!$A$4:$A$33,0),MATCH(G40,'ei names mapping'!$B$3:$R$3,0))</f>
        <v>GLO</v>
      </c>
      <c r="D40" s="12" t="str">
        <f>INDEX('ei names mapping'!$B$104:$R$133,MATCH(B3,'ei names mapping'!$A$104:$A$133,0),MATCH(G40,'ei names mapping'!$B$3:$R$3,0))</f>
        <v>unit</v>
      </c>
      <c r="E40" s="12"/>
      <c r="F40" s="12" t="s">
        <v>91</v>
      </c>
      <c r="G40"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manual dismantling of used electric scooter</v>
      </c>
      <c r="B41" s="16">
        <f>INDEX('vehicles specifications'!$B$3:$CK$86,MATCH(B6,'vehicles specifications'!$A$3:$A$86,0),MATCH(G41,'vehicles specifications'!$B$2:$CK$2,0))*INDEX('ei names mapping'!$B$137:$BK$220,MATCH(B6,'ei names mapping'!$A$137:$A$220,0),MATCH(G41,'ei names mapping'!$B$136:$BK$136,0))</f>
        <v>32</v>
      </c>
      <c r="C41" s="12" t="str">
        <f>INDEX('ei names mapping'!$B$38:$R$67,MATCH(B3,'ei names mapping'!$A$4:$A$33,0),MATCH(G41,'ei names mapping'!$B$3:$R$3,0))</f>
        <v>GLO</v>
      </c>
      <c r="D41" s="12" t="str">
        <f>INDEX('ei names mapping'!$B$104:$R$133,MATCH(B3,'ei names mapping'!$A$104:$A$133,0),MATCH(G41,'ei names mapping'!$B$3:$R$3,0))</f>
        <v>unit</v>
      </c>
      <c r="E41" s="12"/>
      <c r="F41" s="12" t="s">
        <v>91</v>
      </c>
      <c r="G4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16">
        <f>INDEX('vehicles specifications'!$B$3:$CK$86,MATCH(B6,'vehicles specifications'!$A$3:$A$86,0),MATCH(G42,'vehicles specifications'!$B$2:$CK$2,0))*INDEX('ei names mapping'!$B$137:$BK$220,MATCH(B6,'ei names mapping'!$A$137:$A$220,0),MATCH(G42,'ei names mapping'!$B$136:$BK$136,0))</f>
        <v>-97.199999999999989</v>
      </c>
      <c r="C42" s="12" t="str">
        <f>INDEX('ei names mapping'!$B$38:$R$67,MATCH(B3,'ei names mapping'!$A$4:$A$33,0),MATCH(G42,'ei names mapping'!$B$3:$R$3,0))</f>
        <v>GLO</v>
      </c>
      <c r="D42" s="12" t="str">
        <f>INDEX('ei names mapping'!$B$104:$R$133,MATCH(B3,'ei names mapping'!$A$104:$A$133,0),MATCH(G42,'ei names mapping'!$B$3:$R$3,0))</f>
        <v>kilogram</v>
      </c>
      <c r="E42" s="12"/>
      <c r="F42" s="12" t="s">
        <v>91</v>
      </c>
      <c r="G42" t="s">
        <v>152</v>
      </c>
      <c r="H42" s="12" t="str">
        <f>INDEX('ei names mapping'!$B$71:$R$100,MATCH(B3,'ei names mapping'!$A$4:$A$33,0),MATCH(G42,'ei names mapping'!$B$3:$R$3,0))</f>
        <v>used Li-ion battery</v>
      </c>
    </row>
    <row r="43" spans="1:8" s="21" customFormat="1" x14ac:dyDescent="0.3">
      <c r="A43" s="22" t="s">
        <v>468</v>
      </c>
      <c r="B43" s="21">
        <f>(B16/1000)*B28</f>
        <v>161.6</v>
      </c>
      <c r="C43" s="21" t="s">
        <v>94</v>
      </c>
      <c r="D43" s="21" t="s">
        <v>243</v>
      </c>
      <c r="F43" s="21" t="s">
        <v>91</v>
      </c>
      <c r="H43" s="22" t="s">
        <v>469</v>
      </c>
    </row>
    <row r="44" spans="1:8" s="21" customFormat="1" x14ac:dyDescent="0.3">
      <c r="A44" s="22" t="s">
        <v>467</v>
      </c>
      <c r="B44" s="2">
        <f>(B16/1000)*B27</f>
        <v>2569.44</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Motorbike, electric, 11-35kW, 2030</v>
      </c>
    </row>
    <row r="47" spans="1:8" x14ac:dyDescent="0.3">
      <c r="A47" t="s">
        <v>73</v>
      </c>
      <c r="B47" t="s">
        <v>37</v>
      </c>
    </row>
    <row r="48" spans="1:8" x14ac:dyDescent="0.3">
      <c r="A48" t="s">
        <v>87</v>
      </c>
      <c r="B48" t="s">
        <v>522</v>
      </c>
    </row>
    <row r="49" spans="1:2" x14ac:dyDescent="0.3">
      <c r="A49" t="s">
        <v>88</v>
      </c>
      <c r="B49" s="12"/>
    </row>
    <row r="50" spans="1:2" x14ac:dyDescent="0.3">
      <c r="A50" t="s">
        <v>89</v>
      </c>
      <c r="B50" s="12">
        <v>2030</v>
      </c>
    </row>
    <row r="51" spans="1:2" x14ac:dyDescent="0.3">
      <c r="A51" t="s">
        <v>131</v>
      </c>
      <c r="B51" s="12" t="str">
        <f>B48&amp;" - "&amp;B50&amp;" - "&amp;B47</f>
        <v>Motorbike, electric, 11-35kW - 2030 - CH</v>
      </c>
    </row>
    <row r="52" spans="1:2" x14ac:dyDescent="0.3">
      <c r="A52" t="s">
        <v>74</v>
      </c>
      <c r="B52" t="str">
        <f>B48</f>
        <v>Motorbike, electric, 11-35kW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specifications'!$B$3:$CK$86,MATCH(B51,'vehicles specifications'!$A$3:$A$86,0),MATCH("Lifetime [km]",'vehicles specifications'!$B$2:$CK$2,0))</f>
        <v>62100</v>
      </c>
    </row>
    <row r="57" spans="1:2" x14ac:dyDescent="0.3">
      <c r="A57" t="s">
        <v>133</v>
      </c>
      <c r="B57">
        <f>INDEX('vehicles specifications'!$B$3:$CK$86,MATCH(B51,'vehicles specifications'!$A$3:$A$86,0),MATCH("Passengers [unit]",'vehicles specifications'!$B$2:$CK$2,0))</f>
        <v>1.1000000000000001</v>
      </c>
    </row>
    <row r="58" spans="1:2" x14ac:dyDescent="0.3">
      <c r="A58" t="s">
        <v>134</v>
      </c>
      <c r="B58">
        <f>INDEX('vehicles specifications'!$B$3:$CK$86,MATCH(B51,'vehicles specifications'!$A$3:$A$86,0),MATCH("Servicing [unit]",'vehicles specifications'!$B$2:$CK$2,0))</f>
        <v>1.242</v>
      </c>
    </row>
    <row r="59" spans="1:2" x14ac:dyDescent="0.3">
      <c r="A59" t="s">
        <v>135</v>
      </c>
      <c r="B59">
        <f>INDEX('vehicles specifications'!$B$3:$CK$86,MATCH(B51,'vehicles specifications'!$A$3:$A$86,0),MATCH("Energy battery replacement [unit]",'vehicles specifications'!$B$2:$CK$2,0))</f>
        <v>0.5</v>
      </c>
    </row>
    <row r="60" spans="1:2" x14ac:dyDescent="0.3">
      <c r="A60" t="s">
        <v>136</v>
      </c>
      <c r="B60">
        <f>INDEX('vehicles specifications'!$B$3:$CK$86,MATCH(B51,'vehicles specifications'!$A$3:$A$86,0),MATCH("Annual kilometers [km]",'vehicles specifications'!$B$2:$CK$2,0))</f>
        <v>4690</v>
      </c>
    </row>
    <row r="61" spans="1:2" x14ac:dyDescent="0.3">
      <c r="A61" t="s">
        <v>137</v>
      </c>
      <c r="B61" s="2">
        <f>INDEX('vehicles specifications'!$B$3:$CK$86,MATCH(B51,'vehicles specifications'!$A$3:$A$86,0),MATCH("Curb mass [kg]",'vehicles specifications'!$B$2:$CK$2,0))</f>
        <v>161.76999999999998</v>
      </c>
    </row>
    <row r="62" spans="1:2" x14ac:dyDescent="0.3">
      <c r="A62" t="s">
        <v>138</v>
      </c>
      <c r="B62">
        <f>INDEX('vehicles specifications'!$B$3:$CK$86,MATCH(B51,'vehicles specifications'!$A$3:$A$86,0),MATCH("Power [kW]",'vehicles specifications'!$B$2:$CK$2,0))</f>
        <v>14</v>
      </c>
    </row>
    <row r="63" spans="1:2" x14ac:dyDescent="0.3">
      <c r="A63" t="s">
        <v>139</v>
      </c>
      <c r="B63">
        <f>INDEX('vehicles specifications'!$B$3:$CK$86,MATCH(B51,'vehicles specifications'!$A$3:$A$86,0),MATCH("Energy battery mass [kg]",'vehicles specifications'!$B$2:$CK$2,0))</f>
        <v>51.2</v>
      </c>
    </row>
    <row r="64" spans="1:2" x14ac:dyDescent="0.3">
      <c r="A64" t="s">
        <v>140</v>
      </c>
      <c r="B64" s="21">
        <f>INDEX('vehicles specifications'!$B$3:$CK$86,MATCH(B51,'vehicles specifications'!$A$3:$A$86,0),MATCH("Electric energy stored [kWh]",'vehicles specifications'!$B$2:$CK$2,0))</f>
        <v>12.8</v>
      </c>
    </row>
    <row r="65" spans="1:8" s="21" customFormat="1" x14ac:dyDescent="0.3">
      <c r="A65" s="21" t="s">
        <v>654</v>
      </c>
      <c r="B65" s="21">
        <f>INDEX('vehicles specifications'!$B$3:$CK$86,MATCH(B51,'vehicles specifications'!$A$3:$A$86,0),MATCH("Electric energy available [kWh]",'vehicles specifications'!$B$2:$CK$2,0))</f>
        <v>10.240000000000002</v>
      </c>
    </row>
    <row r="66" spans="1:8" x14ac:dyDescent="0.3">
      <c r="A66" t="s">
        <v>143</v>
      </c>
      <c r="B66" s="2">
        <f>INDEX('vehicles specifications'!$B$3:$CK$86,MATCH(B51,'vehicles specifications'!$A$3:$A$86,0),MATCH("Oxydation energy stored [kWh]",'vehicles specifications'!$B$2:$CK$2,0))</f>
        <v>0</v>
      </c>
    </row>
    <row r="67" spans="1:8" x14ac:dyDescent="0.3">
      <c r="A67" t="s">
        <v>145</v>
      </c>
      <c r="B67">
        <f>INDEX('vehicles specifications'!$B$3:$CK$86,MATCH(B51,'vehicles specifications'!$A$3:$A$86,0),MATCH("Fuel mass [kg]",'vehicles specifications'!$B$2:$CK$2,0))</f>
        <v>0</v>
      </c>
    </row>
    <row r="68" spans="1:8" x14ac:dyDescent="0.3">
      <c r="A68" t="s">
        <v>141</v>
      </c>
      <c r="B68" s="2">
        <f>INDEX('vehicles specifications'!$B$3:$CK$86,MATCH(B51,'vehicles specifications'!$A$3:$A$86,0),MATCH("Range [km]",'vehicles specifications'!$B$2:$CK$2,0))</f>
        <v>149.63723252747255</v>
      </c>
    </row>
    <row r="69" spans="1:8" x14ac:dyDescent="0.3">
      <c r="A69" t="s">
        <v>142</v>
      </c>
      <c r="B69" t="str">
        <f>INDEX('vehicles specifications'!$B$3:$CK$86,MATCH(B51,'vehicles specifications'!$A$3:$A$86,0),MATCH("Emission standard",'vehicles specifications'!$B$2:$CK$2,0))</f>
        <v>None</v>
      </c>
    </row>
    <row r="70" spans="1:8" x14ac:dyDescent="0.3">
      <c r="A70" t="s">
        <v>144</v>
      </c>
      <c r="B70" s="6">
        <f>INDEX('vehicles specifications'!$B$3:$CK$86,MATCH(B51,'vehicles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14 kW. Lifetime: 62100 km. Annual kilometers: 4690 km. Number of passengers: 1.1. Curb mass: 161.8 kg. Lightweighting of glider: 3%. Emission standard: None. Service visits throughout lifetime: 1.2. Range: 150 km. Battery capacity: 12.8 kWh. Available battery capacity: 10.24 kWh. Battery mass: 51.2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Motorbike, electric, 11-35kW, 2030</v>
      </c>
      <c r="B77" s="12">
        <v>1</v>
      </c>
      <c r="C77" s="12" t="str">
        <f>B47</f>
        <v>CH</v>
      </c>
      <c r="D77" s="12" t="str">
        <f>B54</f>
        <v>unit</v>
      </c>
      <c r="E77" s="12"/>
      <c r="F77" s="12" t="s">
        <v>85</v>
      </c>
      <c r="G77" s="12" t="s">
        <v>86</v>
      </c>
      <c r="H77" s="12" t="str">
        <f>B48</f>
        <v>Motorbike, electric, 11-35kW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81</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s="21" customFormat="1"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2.4299999999999997</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13</v>
      </c>
      <c r="C80" s="12" t="str">
        <f>INDEX('ei names mapping'!$B$38:$R$67,MATCH(B48,'ei names mapping'!$A$4:$A$33,0),MATCH(G80,'ei names mapping'!$B$3:$R$3,0))</f>
        <v>GLO</v>
      </c>
      <c r="D80" s="12" t="str">
        <f>INDEX('ei names mapping'!$B$104:$R$133,MATCH(B48,'ei names mapping'!$A$104:$A$133,0),MATCH(G80,'ei names mapping'!$B$3:$R$3,0))</f>
        <v>kilogram</v>
      </c>
      <c r="E80" s="12"/>
      <c r="F80" s="12" t="s">
        <v>91</v>
      </c>
      <c r="G80"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19</v>
      </c>
      <c r="C81" s="12" t="str">
        <f>INDEX('ei names mapping'!$B$38:$R$67,MATCH(B48,'ei names mapping'!$A$4:$A$33,0),MATCH(G81,'ei names mapping'!$B$3:$R$3,0))</f>
        <v>GLO</v>
      </c>
      <c r="D81" s="12" t="str">
        <f>INDEX('ei names mapping'!$B$104:$R$133,MATCH(B48,'ei names mapping'!$A$104:$A$133,0),MATCH(G81,'ei names mapping'!$B$3:$R$3,0))</f>
        <v>kilogram</v>
      </c>
      <c r="E81" s="12"/>
      <c r="F81" s="12" t="s">
        <v>91</v>
      </c>
      <c r="G8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64</v>
      </c>
      <c r="C82" s="12" t="str">
        <f>INDEX('ei names mapping'!$B$38:$R$67,MATCH(B48,'ei names mapping'!$A$4:$A$33,0),MATCH(G82,'ei names mapping'!$B$3:$R$3,0))</f>
        <v>GLO</v>
      </c>
      <c r="D82" s="12" t="str">
        <f>INDEX('ei names mapping'!$B$104:$R$133,MATCH(B48,'ei names mapping'!$A$104:$A$133,0),MATCH(G82,'ei names mapping'!$B$3:$R$3,0))</f>
        <v>kilogram</v>
      </c>
      <c r="E82" s="12"/>
      <c r="F82" s="12" t="s">
        <v>91</v>
      </c>
      <c r="G82"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12.800000000000002</v>
      </c>
      <c r="C83" s="12" t="str">
        <f>INDEX('ei names mapping'!$B$38:$R$67,MATCH(B48,'ei names mapping'!$A$4:$A$33,0),MATCH(G83,'ei names mapping'!$B$3:$R$3,0))</f>
        <v>GLO</v>
      </c>
      <c r="D83" s="12" t="str">
        <f>INDEX('ei names mapping'!$B$104:$R$133,MATCH(B48,'ei names mapping'!$A$104:$A$133,0),MATCH(G83,'ei names mapping'!$B$3:$R$3,0))</f>
        <v>kilogram</v>
      </c>
      <c r="E83" s="12"/>
      <c r="F83" s="12" t="s">
        <v>91</v>
      </c>
      <c r="G83"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manual dismantling of used electric scooter</v>
      </c>
      <c r="B85" s="16">
        <f>INDEX('vehicles specifications'!$B$3:$CK$86,MATCH(B51,'vehicles specifications'!$A$3:$A$86,0),MATCH(G85,'vehicles specifications'!$B$2:$CK$2,0))*INDEX('ei names mapping'!$B$137:$BK$220,MATCH(B51,'ei names mapping'!$A$137:$A$220,0),MATCH(G85,'ei names mapping'!$B$136:$BK$136,0))</f>
        <v>78.569999999999993</v>
      </c>
      <c r="C85" s="12" t="str">
        <f>INDEX('ei names mapping'!$B$38:$R$67,MATCH(B48,'ei names mapping'!$A$4:$A$33,0),MATCH(G85,'ei names mapping'!$B$3:$R$3,0))</f>
        <v>GLO</v>
      </c>
      <c r="D85" s="12" t="str">
        <f>INDEX('ei names mapping'!$B$104:$R$133,MATCH(B48,'ei names mapping'!$A$104:$A$133,0),MATCH(G85,'ei names mapping'!$B$3:$R$3,0))</f>
        <v>unit</v>
      </c>
      <c r="E85" s="12"/>
      <c r="F85" s="12" t="s">
        <v>91</v>
      </c>
      <c r="G85"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manual dismantling of used electric scooter</v>
      </c>
      <c r="B86" s="16">
        <f>INDEX('vehicles specifications'!$B$3:$CK$86,MATCH(B51,'vehicles specifications'!$A$3:$A$86,0),MATCH(G86,'vehicles specifications'!$B$2:$CK$2,0))*INDEX('ei names mapping'!$B$137:$BK$220,MATCH(B51,'ei names mapping'!$A$137:$A$220,0),MATCH(G86,'ei names mapping'!$B$136:$BK$136,0))</f>
        <v>32</v>
      </c>
      <c r="C86" s="12" t="str">
        <f>INDEX('ei names mapping'!$B$38:$R$67,MATCH(B48,'ei names mapping'!$A$4:$A$33,0),MATCH(G86,'ei names mapping'!$B$3:$R$3,0))</f>
        <v>GLO</v>
      </c>
      <c r="D86" s="12" t="str">
        <f>INDEX('ei names mapping'!$B$104:$R$133,MATCH(B48,'ei names mapping'!$A$104:$A$133,0),MATCH(G86,'ei names mapping'!$B$3:$R$3,0))</f>
        <v>unit</v>
      </c>
      <c r="E86" s="12"/>
      <c r="F86" s="12" t="s">
        <v>91</v>
      </c>
      <c r="G86"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-76.800000000000011</v>
      </c>
      <c r="C87" s="12" t="str">
        <f>INDEX('ei names mapping'!$B$38:$R$67,MATCH(B48,'ei names mapping'!$A$4:$A$33,0),MATCH(G87,'ei names mapping'!$B$3:$R$3,0))</f>
        <v>GLO</v>
      </c>
      <c r="D87" s="12" t="str">
        <f>INDEX('ei names mapping'!$B$104:$R$133,MATCH(B48,'ei names mapping'!$A$104:$A$133,0),MATCH(G87,'ei names mapping'!$B$3:$R$3,0))</f>
        <v>kilogram</v>
      </c>
      <c r="E87" s="12"/>
      <c r="F87" s="12" t="s">
        <v>91</v>
      </c>
      <c r="G87" t="s">
        <v>152</v>
      </c>
      <c r="H87" s="12" t="str">
        <f>INDEX('ei names mapping'!$B$71:$R$100,MATCH(B48,'ei names mapping'!$A$4:$A$33,0),MATCH(G87,'ei names mapping'!$B$3:$R$3,0))</f>
        <v>used Li-ion battery</v>
      </c>
    </row>
    <row r="88" spans="1:8" s="21" customFormat="1" x14ac:dyDescent="0.3">
      <c r="A88" s="22" t="s">
        <v>468</v>
      </c>
      <c r="B88" s="21">
        <f>(B61/1000)*B73</f>
        <v>161.76999999999998</v>
      </c>
      <c r="C88" s="21" t="s">
        <v>94</v>
      </c>
      <c r="D88" s="21" t="s">
        <v>243</v>
      </c>
      <c r="F88" s="21" t="s">
        <v>91</v>
      </c>
      <c r="H88" s="22" t="s">
        <v>469</v>
      </c>
    </row>
    <row r="89" spans="1:8" s="21" customFormat="1" x14ac:dyDescent="0.3">
      <c r="A89" s="22" t="s">
        <v>467</v>
      </c>
      <c r="B89" s="2">
        <f>(B61/1000)*B72</f>
        <v>2572.1429999999996</v>
      </c>
      <c r="C89" s="21" t="s">
        <v>98</v>
      </c>
      <c r="D89" s="21" t="s">
        <v>243</v>
      </c>
      <c r="F89" s="21" t="s">
        <v>91</v>
      </c>
      <c r="H89" s="22" t="s">
        <v>467</v>
      </c>
    </row>
    <row r="90" spans="1:8" x14ac:dyDescent="0.3">
      <c r="B90" s="12"/>
    </row>
    <row r="91" spans="1:8" ht="15.6" x14ac:dyDescent="0.3">
      <c r="A91" s="11" t="s">
        <v>72</v>
      </c>
      <c r="B91" s="9" t="str">
        <f>B93&amp;", "&amp;B95</f>
        <v>Motorbike, electric, 11-35kW, 2040</v>
      </c>
    </row>
    <row r="92" spans="1:8" x14ac:dyDescent="0.3">
      <c r="A92" t="s">
        <v>73</v>
      </c>
      <c r="B92" t="s">
        <v>37</v>
      </c>
    </row>
    <row r="93" spans="1:8" x14ac:dyDescent="0.3">
      <c r="A93" t="s">
        <v>87</v>
      </c>
      <c r="B93" t="s">
        <v>522</v>
      </c>
    </row>
    <row r="94" spans="1:8" x14ac:dyDescent="0.3">
      <c r="A94" t="s">
        <v>88</v>
      </c>
      <c r="B94" s="12"/>
    </row>
    <row r="95" spans="1:8" x14ac:dyDescent="0.3">
      <c r="A95" t="s">
        <v>89</v>
      </c>
      <c r="B95" s="12">
        <v>2040</v>
      </c>
    </row>
    <row r="96" spans="1:8" x14ac:dyDescent="0.3">
      <c r="A96" t="s">
        <v>131</v>
      </c>
      <c r="B96" s="12" t="str">
        <f>B93&amp;" - "&amp;B95&amp;" - "&amp;B92</f>
        <v>Motorbike, electric, 11-35kW - 2040 - CH</v>
      </c>
    </row>
    <row r="97" spans="1:2" x14ac:dyDescent="0.3">
      <c r="A97" t="s">
        <v>74</v>
      </c>
      <c r="B97" t="str">
        <f>B93</f>
        <v>Motorbike, electric, 11-35kW</v>
      </c>
    </row>
    <row r="98" spans="1:2" x14ac:dyDescent="0.3">
      <c r="A98" t="s">
        <v>75</v>
      </c>
      <c r="B98" t="s">
        <v>76</v>
      </c>
    </row>
    <row r="99" spans="1:2" x14ac:dyDescent="0.3">
      <c r="A99" t="s">
        <v>77</v>
      </c>
      <c r="B99" t="s">
        <v>77</v>
      </c>
    </row>
    <row r="100" spans="1:2" x14ac:dyDescent="0.3">
      <c r="A100" t="s">
        <v>79</v>
      </c>
      <c r="B100" t="s">
        <v>90</v>
      </c>
    </row>
    <row r="101" spans="1:2" x14ac:dyDescent="0.3">
      <c r="A101" t="s">
        <v>132</v>
      </c>
      <c r="B101">
        <f>INDEX('vehicles specifications'!$B$3:$CK$86,MATCH(B96,'vehicles specifications'!$A$3:$A$86,0),MATCH("Lifetime [km]",'vehicles specifications'!$B$2:$CK$2,0))</f>
        <v>62100</v>
      </c>
    </row>
    <row r="102" spans="1:2" x14ac:dyDescent="0.3">
      <c r="A102" t="s">
        <v>133</v>
      </c>
      <c r="B102">
        <f>INDEX('vehicles specifications'!$B$3:$CK$86,MATCH(B96,'vehicles specifications'!$A$3:$A$86,0),MATCH("Passengers [unit]",'vehicles specifications'!$B$2:$CK$2,0))</f>
        <v>1.1000000000000001</v>
      </c>
    </row>
    <row r="103" spans="1:2" x14ac:dyDescent="0.3">
      <c r="A103" t="s">
        <v>134</v>
      </c>
      <c r="B103">
        <f>INDEX('vehicles specifications'!$B$3:$CK$86,MATCH(B96,'vehicles specifications'!$A$3:$A$86,0),MATCH("Servicing [unit]",'vehicles specifications'!$B$2:$CK$2,0))</f>
        <v>1.242</v>
      </c>
    </row>
    <row r="104" spans="1:2" x14ac:dyDescent="0.3">
      <c r="A104" t="s">
        <v>135</v>
      </c>
      <c r="B104">
        <f>INDEX('vehicles specifications'!$B$3:$CK$86,MATCH(B96,'vehicles specifications'!$A$3:$A$86,0),MATCH("Energy battery replacement [unit]",'vehicles specifications'!$B$2:$CK$2,0))</f>
        <v>0.25</v>
      </c>
    </row>
    <row r="105" spans="1:2" x14ac:dyDescent="0.3">
      <c r="A105" t="s">
        <v>136</v>
      </c>
      <c r="B105">
        <f>INDEX('vehicles specifications'!$B$3:$CK$86,MATCH(B96,'vehicles specifications'!$A$3:$A$86,0),MATCH("Annual kilometers [km]",'vehicles specifications'!$B$2:$CK$2,0))</f>
        <v>4690</v>
      </c>
    </row>
    <row r="106" spans="1:2" x14ac:dyDescent="0.3">
      <c r="A106" t="s">
        <v>137</v>
      </c>
      <c r="B106" s="2">
        <f>INDEX('vehicles specifications'!$B$3:$CK$86,MATCH(B96,'vehicles specifications'!$A$3:$A$86,0),MATCH("Curb mass [kg]",'vehicles specifications'!$B$2:$CK$2,0))</f>
        <v>162.35</v>
      </c>
    </row>
    <row r="107" spans="1:2" x14ac:dyDescent="0.3">
      <c r="A107" t="s">
        <v>138</v>
      </c>
      <c r="B107">
        <f>INDEX('vehicles specifications'!$B$3:$CK$86,MATCH(B96,'vehicles specifications'!$A$3:$A$86,0),MATCH("Power [kW]",'vehicles specifications'!$B$2:$CK$2,0))</f>
        <v>14</v>
      </c>
    </row>
    <row r="108" spans="1:2" x14ac:dyDescent="0.3">
      <c r="A108" t="s">
        <v>139</v>
      </c>
      <c r="B108">
        <f>INDEX('vehicles specifications'!$B$3:$CK$86,MATCH(B96,'vehicles specifications'!$A$3:$A$86,0),MATCH("Energy battery mass [kg]",'vehicles specifications'!$B$2:$CK$2,0))</f>
        <v>53.4</v>
      </c>
    </row>
    <row r="109" spans="1:2" x14ac:dyDescent="0.3">
      <c r="A109" t="s">
        <v>140</v>
      </c>
      <c r="B109" s="21">
        <f>INDEX('vehicles specifications'!$B$3:$CK$86,MATCH(B96,'vehicles specifications'!$A$3:$A$86,0),MATCH("Electric energy stored [kWh]",'vehicles specifications'!$B$2:$CK$2,0))</f>
        <v>17.8</v>
      </c>
    </row>
    <row r="110" spans="1:2" s="21" customFormat="1" x14ac:dyDescent="0.3">
      <c r="A110" s="21" t="s">
        <v>654</v>
      </c>
      <c r="B110" s="21">
        <f>INDEX('vehicles specifications'!$B$3:$CK$86,MATCH(B96,'vehicles specifications'!$A$3:$A$86,0),MATCH("Electric energy available [kWh]",'vehicles specifications'!$B$2:$CK$2,0))</f>
        <v>14.240000000000002</v>
      </c>
    </row>
    <row r="111" spans="1:2" x14ac:dyDescent="0.3">
      <c r="A111" t="s">
        <v>143</v>
      </c>
      <c r="B111" s="2">
        <f>INDEX('vehicles specifications'!$B$3:$CK$86,MATCH(B96,'vehicles specifications'!$A$3:$A$86,0),MATCH("Oxydation energy stored [kWh]",'vehicles specifications'!$B$2:$CK$2,0))</f>
        <v>0</v>
      </c>
    </row>
    <row r="112" spans="1:2" x14ac:dyDescent="0.3">
      <c r="A112" t="s">
        <v>145</v>
      </c>
      <c r="B112">
        <f>INDEX('vehicles specifications'!$B$3:$CK$86,MATCH(B96,'vehicles specifications'!$A$3:$A$86,0),MATCH("Fuel mass [kg]",'vehicles specifications'!$B$2:$CK$2,0))</f>
        <v>0</v>
      </c>
    </row>
    <row r="113" spans="1:8" x14ac:dyDescent="0.3">
      <c r="A113" t="s">
        <v>141</v>
      </c>
      <c r="B113" s="2">
        <f>INDEX('vehicles specifications'!$B$3:$CK$86,MATCH(B96,'vehicles specifications'!$A$3:$A$86,0),MATCH("Range [km]",'vehicles specifications'!$B$2:$CK$2,0))</f>
        <v>208.08927648351653</v>
      </c>
    </row>
    <row r="114" spans="1:8" x14ac:dyDescent="0.3">
      <c r="A114" t="s">
        <v>142</v>
      </c>
      <c r="B114" t="str">
        <f>INDEX('vehicles specifications'!$B$3:$CK$86,MATCH(B96,'vehicles specifications'!$A$3:$A$86,0),MATCH("Emission standard",'vehicles specifications'!$B$2:$CK$2,0))</f>
        <v>None</v>
      </c>
    </row>
    <row r="115" spans="1:8" x14ac:dyDescent="0.3">
      <c r="A115" t="s">
        <v>144</v>
      </c>
      <c r="B115" s="6">
        <f>INDEX('vehicles specifications'!$B$3:$CK$86,MATCH(B96,'vehicles specifications'!$A$3:$A$86,0),MATCH("Lightweighting rate [%]",'vehicles specifications'!$B$2:$CK$2,0))</f>
        <v>0.05</v>
      </c>
    </row>
    <row r="116" spans="1:8" s="21" customFormat="1" x14ac:dyDescent="0.3">
      <c r="A116" s="21" t="s">
        <v>513</v>
      </c>
      <c r="B116" s="6" t="s">
        <v>514</v>
      </c>
    </row>
    <row r="117" spans="1:8" s="21" customFormat="1" x14ac:dyDescent="0.3">
      <c r="A117" s="21" t="s">
        <v>515</v>
      </c>
      <c r="B117" s="2">
        <v>15900</v>
      </c>
    </row>
    <row r="118" spans="1:8" s="21" customFormat="1" x14ac:dyDescent="0.3">
      <c r="A118" s="21" t="s">
        <v>516</v>
      </c>
      <c r="B118" s="2">
        <v>1000</v>
      </c>
    </row>
    <row r="119" spans="1:8" s="21" customFormat="1" x14ac:dyDescent="0.3">
      <c r="A119" s="21"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scooter'!B100</f>
        <v>Power: 14 kW. Lifetime: 62100 km. Annual kilometers: 4690 km. Number of passengers: 1.1. Curb mass: 162.4 kg. Lightweighting of glider: 5%. Emission standard: None. Service visits throughout lifetime: 1.2. Range: 208 km. Battery capacity: 17.8 kWh. Available battery capacity: 14.24 kWh. Battery mass: 53.4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1</v>
      </c>
    </row>
    <row r="120" spans="1:8" ht="15.6" x14ac:dyDescent="0.3">
      <c r="A120" s="11" t="s">
        <v>80</v>
      </c>
    </row>
    <row r="121" spans="1:8" x14ac:dyDescent="0.3">
      <c r="A121" t="s">
        <v>81</v>
      </c>
      <c r="B121" t="s">
        <v>82</v>
      </c>
      <c r="C121" t="s">
        <v>73</v>
      </c>
      <c r="D121" t="s">
        <v>77</v>
      </c>
      <c r="E121" t="s">
        <v>83</v>
      </c>
      <c r="F121" t="s">
        <v>75</v>
      </c>
      <c r="G121" t="s">
        <v>84</v>
      </c>
      <c r="H121" t="s">
        <v>74</v>
      </c>
    </row>
    <row r="122" spans="1:8" x14ac:dyDescent="0.3">
      <c r="A122" s="12" t="str">
        <f>B91</f>
        <v>Motorbike, electric, 11-35kW, 2040</v>
      </c>
      <c r="B122" s="12">
        <v>1</v>
      </c>
      <c r="C122" s="12" t="str">
        <f>B92</f>
        <v>CH</v>
      </c>
      <c r="D122" s="12" t="str">
        <f>B99</f>
        <v>unit</v>
      </c>
      <c r="E122" s="12"/>
      <c r="F122" s="12" t="s">
        <v>85</v>
      </c>
      <c r="G122" s="12" t="s">
        <v>86</v>
      </c>
      <c r="H122" s="12" t="str">
        <f>B93</f>
        <v>Motorbike, electric, 11-35kW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81</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s="21" customFormat="1"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4.05</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13</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19</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55.625</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11.125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manual dismantling of used electric scooter</v>
      </c>
      <c r="B130" s="16">
        <f>INDEX('vehicles specifications'!$B$3:$CK$86,MATCH(B96,'vehicles specifications'!$A$3:$A$86,0),MATCH(G130,'vehicles specifications'!$B$2:$CK$2,0))*INDEX('ei names mapping'!$B$137:$BK$220,MATCH(B96,'ei names mapping'!$A$137:$A$220,0),MATCH(G130,'ei names mapping'!$B$136:$BK$136,0))</f>
        <v>76.95</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manual dismantling of used electric scooter</v>
      </c>
      <c r="B131" s="16">
        <f>INDEX('vehicles specifications'!$B$3:$CK$86,MATCH(B96,'vehicles specifications'!$A$3:$A$86,0),MATCH(G131,'vehicles specifications'!$B$2:$CK$2,0))*INDEX('ei names mapping'!$B$137:$BK$220,MATCH(B96,'ei names mapping'!$A$137:$A$220,0),MATCH(G131,'ei names mapping'!$B$136:$BK$136,0))</f>
        <v>32</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-66.75</v>
      </c>
      <c r="C132" s="12" t="str">
        <f>INDEX('ei names mapping'!$B$38:$R$67,MATCH(B93,'ei names mapping'!$A$4:$A$33,0),MATCH(G132,'ei names mapping'!$B$3:$R$3,0))</f>
        <v>GLO</v>
      </c>
      <c r="D132" s="12" t="str">
        <f>INDEX('ei names mapping'!$B$104:$R$133,MATCH(B93,'ei names mapping'!$A$104:$A$133,0),MATCH(G132,'ei names mapping'!$B$3:$R$3,0))</f>
        <v>kilogram</v>
      </c>
      <c r="E132" s="12"/>
      <c r="F132" s="12" t="s">
        <v>91</v>
      </c>
      <c r="G132" t="s">
        <v>152</v>
      </c>
      <c r="H132" s="12" t="str">
        <f>INDEX('ei names mapping'!$B$71:$R$100,MATCH(B93,'ei names mapping'!$A$4:$A$33,0),MATCH(G132,'ei names mapping'!$B$3:$R$3,0))</f>
        <v>used Li-ion battery</v>
      </c>
    </row>
    <row r="133" spans="1:8" s="21" customFormat="1" x14ac:dyDescent="0.3">
      <c r="A133" s="22" t="s">
        <v>468</v>
      </c>
      <c r="B133" s="21">
        <f>(B106/1000)*B118</f>
        <v>162.35</v>
      </c>
      <c r="C133" s="21" t="s">
        <v>94</v>
      </c>
      <c r="D133" s="21" t="s">
        <v>243</v>
      </c>
      <c r="F133" s="21" t="s">
        <v>91</v>
      </c>
      <c r="H133" s="22" t="s">
        <v>469</v>
      </c>
    </row>
    <row r="134" spans="1:8" s="21" customFormat="1" x14ac:dyDescent="0.3">
      <c r="A134" s="22" t="s">
        <v>467</v>
      </c>
      <c r="B134" s="2">
        <f>(B106/1000)*B117</f>
        <v>2581.3649999999998</v>
      </c>
      <c r="C134" s="21" t="s">
        <v>98</v>
      </c>
      <c r="D134" s="21" t="s">
        <v>243</v>
      </c>
      <c r="F134" s="21" t="s">
        <v>91</v>
      </c>
      <c r="H134" s="22" t="s">
        <v>467</v>
      </c>
    </row>
    <row r="136" spans="1:8" ht="15.6" x14ac:dyDescent="0.3">
      <c r="A136" s="11" t="s">
        <v>72</v>
      </c>
      <c r="B136" s="9" t="str">
        <f>B138&amp;", "&amp;B140</f>
        <v>Motorbike, electric, 11-35kW, 2050</v>
      </c>
    </row>
    <row r="137" spans="1:8" x14ac:dyDescent="0.3">
      <c r="A137" t="s">
        <v>73</v>
      </c>
      <c r="B137" t="s">
        <v>37</v>
      </c>
    </row>
    <row r="138" spans="1:8" x14ac:dyDescent="0.3">
      <c r="A138" t="s">
        <v>87</v>
      </c>
      <c r="B138" t="s">
        <v>522</v>
      </c>
    </row>
    <row r="139" spans="1:8" x14ac:dyDescent="0.3">
      <c r="A139" t="s">
        <v>88</v>
      </c>
      <c r="B139" s="12"/>
    </row>
    <row r="140" spans="1:8" x14ac:dyDescent="0.3">
      <c r="A140" t="s">
        <v>89</v>
      </c>
      <c r="B140" s="12">
        <v>2050</v>
      </c>
    </row>
    <row r="141" spans="1:8" x14ac:dyDescent="0.3">
      <c r="A141" t="s">
        <v>131</v>
      </c>
      <c r="B141" s="12" t="str">
        <f>B138&amp;" - "&amp;B140&amp;" - "&amp;B137</f>
        <v>Motorbike, electric, 11-35kW - 2050 - CH</v>
      </c>
    </row>
    <row r="142" spans="1:8" x14ac:dyDescent="0.3">
      <c r="A142" t="s">
        <v>74</v>
      </c>
      <c r="B142" t="str">
        <f>B138</f>
        <v>Motorbike, electric, 11-35kW</v>
      </c>
    </row>
    <row r="143" spans="1:8" x14ac:dyDescent="0.3">
      <c r="A143" t="s">
        <v>75</v>
      </c>
      <c r="B143" t="s">
        <v>76</v>
      </c>
    </row>
    <row r="144" spans="1:8" x14ac:dyDescent="0.3">
      <c r="A144" t="s">
        <v>77</v>
      </c>
      <c r="B144" t="s">
        <v>77</v>
      </c>
    </row>
    <row r="145" spans="1:2" x14ac:dyDescent="0.3">
      <c r="A145" t="s">
        <v>79</v>
      </c>
      <c r="B145" t="s">
        <v>90</v>
      </c>
    </row>
    <row r="146" spans="1:2" x14ac:dyDescent="0.3">
      <c r="A146" t="s">
        <v>132</v>
      </c>
      <c r="B146">
        <f>INDEX('vehicles specifications'!$B$3:$CK$86,MATCH(B141,'vehicles specifications'!$A$3:$A$86,0),MATCH("Lifetime [km]",'vehicles specifications'!$B$2:$CK$2,0))</f>
        <v>62100</v>
      </c>
    </row>
    <row r="147" spans="1:2" x14ac:dyDescent="0.3">
      <c r="A147" t="s">
        <v>133</v>
      </c>
      <c r="B147">
        <f>INDEX('vehicles specifications'!$B$3:$CK$86,MATCH(B141,'vehicles specifications'!$A$3:$A$86,0),MATCH("Passengers [unit]",'vehicles specifications'!$B$2:$CK$2,0))</f>
        <v>1.1000000000000001</v>
      </c>
    </row>
    <row r="148" spans="1:2" x14ac:dyDescent="0.3">
      <c r="A148" t="s">
        <v>134</v>
      </c>
      <c r="B148">
        <f>INDEX('vehicles specifications'!$B$3:$CK$86,MATCH(B141,'vehicles specifications'!$A$3:$A$86,0),MATCH("Servicing [unit]",'vehicles specifications'!$B$2:$CK$2,0))</f>
        <v>1.242</v>
      </c>
    </row>
    <row r="149" spans="1:2" x14ac:dyDescent="0.3">
      <c r="A149" t="s">
        <v>135</v>
      </c>
      <c r="B149">
        <f>INDEX('vehicles specifications'!$B$3:$CK$86,MATCH(B141,'vehicles specifications'!$A$3:$A$86,0),MATCH("Energy battery replacement [unit]",'vehicles specifications'!$B$2:$CK$2,0))</f>
        <v>0</v>
      </c>
    </row>
    <row r="150" spans="1:2" x14ac:dyDescent="0.3">
      <c r="A150" t="s">
        <v>136</v>
      </c>
      <c r="B150">
        <f>INDEX('vehicles specifications'!$B$3:$CK$86,MATCH(B141,'vehicles specifications'!$A$3:$A$86,0),MATCH("Annual kilometers [km]",'vehicles specifications'!$B$2:$CK$2,0))</f>
        <v>4690</v>
      </c>
    </row>
    <row r="151" spans="1:2" x14ac:dyDescent="0.3">
      <c r="A151" t="s">
        <v>137</v>
      </c>
      <c r="B151" s="2">
        <f>INDEX('vehicles specifications'!$B$3:$CK$86,MATCH(B141,'vehicles specifications'!$A$3:$A$86,0),MATCH("Curb mass [kg]",'vehicles specifications'!$B$2:$CK$2,0))</f>
        <v>162.05000000000001</v>
      </c>
    </row>
    <row r="152" spans="1:2" x14ac:dyDescent="0.3">
      <c r="A152" t="s">
        <v>138</v>
      </c>
      <c r="B152">
        <f>INDEX('vehicles specifications'!$B$3:$CK$86,MATCH(B141,'vehicles specifications'!$A$3:$A$86,0),MATCH("Power [kW]",'vehicles specifications'!$B$2:$CK$2,0))</f>
        <v>14</v>
      </c>
    </row>
    <row r="153" spans="1:2" x14ac:dyDescent="0.3">
      <c r="A153" t="s">
        <v>139</v>
      </c>
      <c r="B153">
        <f>INDEX('vehicles specifications'!$B$3:$CK$86,MATCH(B141,'vehicles specifications'!$A$3:$A$86,0),MATCH("Energy battery mass [kg]",'vehicles specifications'!$B$2:$CK$2,0))</f>
        <v>54.72</v>
      </c>
    </row>
    <row r="154" spans="1:2" x14ac:dyDescent="0.3">
      <c r="A154" t="s">
        <v>140</v>
      </c>
      <c r="B154" s="21">
        <f>INDEX('vehicles specifications'!$B$3:$CK$86,MATCH(B141,'vehicles specifications'!$A$3:$A$86,0),MATCH("Electric energy stored [kWh]",'vehicles specifications'!$B$2:$CK$2,0))</f>
        <v>22.8</v>
      </c>
    </row>
    <row r="155" spans="1:2" s="21" customFormat="1" x14ac:dyDescent="0.3">
      <c r="A155" s="21" t="s">
        <v>654</v>
      </c>
      <c r="B155" s="21">
        <f>INDEX('vehicles specifications'!$B$3:$CK$86,MATCH(B141,'vehicles specifications'!$A$3:$A$86,0),MATCH("Electric energy available [kWh]",'vehicles specifications'!$B$2:$CK$2,0))</f>
        <v>18.240000000000002</v>
      </c>
    </row>
    <row r="156" spans="1:2" x14ac:dyDescent="0.3">
      <c r="A156" t="s">
        <v>143</v>
      </c>
      <c r="B156" s="2">
        <f>INDEX('vehicles specifications'!$B$3:$CK$86,MATCH(B141,'vehicles specifications'!$A$3:$A$86,0),MATCH("Oxydation energy stored [kWh]",'vehicles specifications'!$B$2:$CK$2,0))</f>
        <v>0</v>
      </c>
    </row>
    <row r="157" spans="1:2" x14ac:dyDescent="0.3">
      <c r="A157" t="s">
        <v>145</v>
      </c>
      <c r="B157">
        <f>INDEX('vehicles specifications'!$B$3:$CK$86,MATCH(B141,'vehicles specifications'!$A$3:$A$86,0),MATCH("Fuel mass [kg]",'vehicles specifications'!$B$2:$CK$2,0))</f>
        <v>0</v>
      </c>
    </row>
    <row r="158" spans="1:2" x14ac:dyDescent="0.3">
      <c r="A158" t="s">
        <v>141</v>
      </c>
      <c r="B158" s="2">
        <f>INDEX('vehicles specifications'!$B$3:$CK$86,MATCH(B141,'vehicles specifications'!$A$3:$A$86,0),MATCH("Range [km]",'vehicles specifications'!$B$2:$CK$2,0))</f>
        <v>266.54132043956048</v>
      </c>
    </row>
    <row r="159" spans="1:2" x14ac:dyDescent="0.3">
      <c r="A159" t="s">
        <v>142</v>
      </c>
      <c r="B159" t="str">
        <f>INDEX('vehicles specifications'!$B$3:$CK$86,MATCH(B141,'vehicles specifications'!$A$3:$A$86,0),MATCH("Emission standard",'vehicles specifications'!$B$2:$CK$2,0))</f>
        <v>None</v>
      </c>
    </row>
    <row r="160" spans="1:2" x14ac:dyDescent="0.3">
      <c r="A160" t="s">
        <v>144</v>
      </c>
      <c r="B160" s="6">
        <f>INDEX('vehicles specifications'!$B$3:$CK$86,MATCH(B141,'vehicles specifications'!$A$3:$A$86,0),MATCH("Lightweighting rate [%]",'vehicles specifications'!$B$2:$CK$2,0))</f>
        <v>7.0000000000000007E-2</v>
      </c>
    </row>
    <row r="161" spans="1:8" s="21" customFormat="1" x14ac:dyDescent="0.3">
      <c r="A161" s="21" t="s">
        <v>513</v>
      </c>
      <c r="B161" s="6" t="s">
        <v>514</v>
      </c>
    </row>
    <row r="162" spans="1:8" s="21" customFormat="1" x14ac:dyDescent="0.3">
      <c r="A162" s="21" t="s">
        <v>515</v>
      </c>
      <c r="B162" s="2">
        <v>15900</v>
      </c>
    </row>
    <row r="163" spans="1:8" s="21" customFormat="1" x14ac:dyDescent="0.3">
      <c r="A163" s="21" t="s">
        <v>516</v>
      </c>
      <c r="B163" s="2">
        <v>1000</v>
      </c>
    </row>
    <row r="164" spans="1:8" s="21" customFormat="1" x14ac:dyDescent="0.3">
      <c r="A164" s="21"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scooter'!B145</f>
        <v>Power: 14 kW. Lifetime: 62100 km. Annual kilometers: 4690 km. Number of passengers: 1.1. Curb mass: 162.1 kg. Lightweighting of glider: 7%. Emission standard: None. Service visits throughout lifetime: 1.2. Range: 267 km. Battery capacity: 22.8 kWh. Available battery capacity: 18.24 kWh. Battery mass: 54.7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v>
      </c>
    </row>
    <row r="165" spans="1:8" ht="15.6" x14ac:dyDescent="0.3">
      <c r="A165" s="11" t="s">
        <v>80</v>
      </c>
    </row>
    <row r="166" spans="1:8" x14ac:dyDescent="0.3">
      <c r="A166" t="s">
        <v>81</v>
      </c>
      <c r="B166" t="s">
        <v>82</v>
      </c>
      <c r="C166" t="s">
        <v>73</v>
      </c>
      <c r="D166" t="s">
        <v>77</v>
      </c>
      <c r="E166" t="s">
        <v>83</v>
      </c>
      <c r="F166" t="s">
        <v>75</v>
      </c>
      <c r="G166" t="s">
        <v>84</v>
      </c>
      <c r="H166" t="s">
        <v>74</v>
      </c>
    </row>
    <row r="167" spans="1:8" x14ac:dyDescent="0.3">
      <c r="A167" s="12" t="str">
        <f>B136</f>
        <v>Motorbike, electric, 11-35kW, 2050</v>
      </c>
      <c r="B167" s="12">
        <v>1</v>
      </c>
      <c r="C167" s="12" t="str">
        <f>B137</f>
        <v>CH</v>
      </c>
      <c r="D167" s="12" t="str">
        <f>B144</f>
        <v>unit</v>
      </c>
      <c r="E167" s="12"/>
      <c r="F167" s="12" t="s">
        <v>85</v>
      </c>
      <c r="G167" s="12" t="s">
        <v>86</v>
      </c>
      <c r="H167" s="12" t="str">
        <f>B138</f>
        <v>Motorbike, electric, 11-35kW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81</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s="21" customFormat="1"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5.6700000000000008</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13</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19</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45.6</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9.120000000000001</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manual dismantling of used electric scooter</v>
      </c>
      <c r="B175" s="16">
        <f>INDEX('vehicles specifications'!$B$3:$CK$86,MATCH(B141,'vehicles specifications'!$A$3:$A$86,0),MATCH(G175,'vehicles specifications'!$B$2:$CK$2,0))*INDEX('ei names mapping'!$B$137:$BK$220,MATCH(B141,'ei names mapping'!$A$137:$A$220,0),MATCH(G175,'ei names mapping'!$B$136:$BK$136,0))</f>
        <v>75.33</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manual dismantling of used electric scooter</v>
      </c>
      <c r="B176" s="16">
        <f>INDEX('vehicles specifications'!$B$3:$CK$86,MATCH(B141,'vehicles specifications'!$A$3:$A$86,0),MATCH(G176,'vehicles specifications'!$B$2:$CK$2,0))*INDEX('ei names mapping'!$B$137:$BK$220,MATCH(B141,'ei names mapping'!$A$137:$A$220,0),MATCH(G176,'ei names mapping'!$B$136:$BK$136,0))</f>
        <v>32</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-54.72</v>
      </c>
      <c r="C177" s="12" t="str">
        <f>INDEX('ei names mapping'!$B$38:$R$67,MATCH(B138,'ei names mapping'!$A$4:$A$33,0),MATCH(G177,'ei names mapping'!$B$3:$R$3,0))</f>
        <v>GLO</v>
      </c>
      <c r="D177" s="12" t="str">
        <f>INDEX('ei names mapping'!$B$104:$R$133,MATCH(B138,'ei names mapping'!$A$104:$A$133,0),MATCH(G177,'ei names mapping'!$B$3:$R$3,0))</f>
        <v>kilogram</v>
      </c>
      <c r="E177" s="12"/>
      <c r="F177" s="12" t="s">
        <v>91</v>
      </c>
      <c r="G177" t="s">
        <v>152</v>
      </c>
      <c r="H177" s="12" t="str">
        <f>INDEX('ei names mapping'!$B$71:$R$100,MATCH(B138,'ei names mapping'!$A$4:$A$33,0),MATCH(G177,'ei names mapping'!$B$3:$R$3,0))</f>
        <v>used Li-ion battery</v>
      </c>
    </row>
    <row r="178" spans="1:8" s="21" customFormat="1" x14ac:dyDescent="0.3">
      <c r="A178" s="22" t="s">
        <v>468</v>
      </c>
      <c r="B178" s="21">
        <f>(B151/1000)*B163</f>
        <v>162.05000000000001</v>
      </c>
      <c r="C178" s="21" t="s">
        <v>94</v>
      </c>
      <c r="D178" s="21" t="s">
        <v>243</v>
      </c>
      <c r="F178" s="21" t="s">
        <v>91</v>
      </c>
      <c r="H178" s="22" t="s">
        <v>469</v>
      </c>
    </row>
    <row r="179" spans="1:8" s="21" customFormat="1" x14ac:dyDescent="0.3">
      <c r="A179" s="22" t="s">
        <v>467</v>
      </c>
      <c r="B179" s="2">
        <f>(B151/1000)*B162</f>
        <v>2576.5949999999998</v>
      </c>
      <c r="C179" s="21" t="s">
        <v>98</v>
      </c>
      <c r="D179" s="21" t="s">
        <v>243</v>
      </c>
      <c r="F179" s="21" t="s">
        <v>91</v>
      </c>
      <c r="H179" s="22" t="s">
        <v>467</v>
      </c>
    </row>
    <row r="180" spans="1:8" x14ac:dyDescent="0.3">
      <c r="B180" s="2"/>
    </row>
    <row r="181" spans="1:8" ht="15.6" x14ac:dyDescent="0.3">
      <c r="A181" s="11" t="s">
        <v>72</v>
      </c>
      <c r="B181" s="9" t="str">
        <f>"transport, "&amp;B183&amp;", "&amp;B185</f>
        <v>transport, Motorbike, electric, 11-35kW, 2020</v>
      </c>
    </row>
    <row r="182" spans="1:8" x14ac:dyDescent="0.3">
      <c r="A182" t="s">
        <v>73</v>
      </c>
      <c r="B182" t="s">
        <v>37</v>
      </c>
    </row>
    <row r="183" spans="1:8" x14ac:dyDescent="0.3">
      <c r="A183" t="s">
        <v>87</v>
      </c>
      <c r="B183" t="s">
        <v>522</v>
      </c>
    </row>
    <row r="184" spans="1:8" x14ac:dyDescent="0.3">
      <c r="A184" t="s">
        <v>88</v>
      </c>
      <c r="B184" s="12"/>
    </row>
    <row r="185" spans="1:8" x14ac:dyDescent="0.3">
      <c r="A185" t="s">
        <v>89</v>
      </c>
      <c r="B185" s="12">
        <v>2020</v>
      </c>
    </row>
    <row r="186" spans="1:8" x14ac:dyDescent="0.3">
      <c r="A186" t="s">
        <v>131</v>
      </c>
      <c r="B186" s="12" t="str">
        <f>B183&amp;" - "&amp;B185&amp;" - "&amp;B182</f>
        <v>Motorbike, electric, 11-35kW - 2020 - CH</v>
      </c>
    </row>
    <row r="187" spans="1:8" x14ac:dyDescent="0.3">
      <c r="A187" t="s">
        <v>74</v>
      </c>
      <c r="B187" s="12" t="str">
        <f>"transport, "&amp;B183</f>
        <v>transport, Motorbike, electric, 11-35kW</v>
      </c>
    </row>
    <row r="188" spans="1:8" x14ac:dyDescent="0.3">
      <c r="A188" t="s">
        <v>75</v>
      </c>
      <c r="B188" t="s">
        <v>76</v>
      </c>
    </row>
    <row r="189" spans="1:8" x14ac:dyDescent="0.3">
      <c r="A189" t="s">
        <v>77</v>
      </c>
      <c r="B189" t="s">
        <v>172</v>
      </c>
    </row>
    <row r="190" spans="1:8" x14ac:dyDescent="0.3">
      <c r="A190" t="s">
        <v>79</v>
      </c>
      <c r="B190" t="s">
        <v>90</v>
      </c>
    </row>
    <row r="191" spans="1:8" x14ac:dyDescent="0.3">
      <c r="A191" t="s">
        <v>132</v>
      </c>
      <c r="B191">
        <f>INDEX('vehicles specifications'!$B$3:$CK$86,MATCH(B186,'vehicles specifications'!$A$3:$A$86,0),MATCH("Lifetime [km]",'vehicles specifications'!$B$2:$CK$2,0))</f>
        <v>62100</v>
      </c>
    </row>
    <row r="192" spans="1:8" x14ac:dyDescent="0.3">
      <c r="A192" t="s">
        <v>133</v>
      </c>
      <c r="B192">
        <f>INDEX('vehicles specifications'!$B$3:$CK$86,MATCH(B186,'vehicles specifications'!$A$3:$A$86,0),MATCH("Passengers [unit]",'vehicles specifications'!$B$2:$CK$2,0))</f>
        <v>1.1000000000000001</v>
      </c>
    </row>
    <row r="193" spans="1:8" x14ac:dyDescent="0.3">
      <c r="A193" t="s">
        <v>134</v>
      </c>
      <c r="B193">
        <f>INDEX('vehicles specifications'!$B$3:$CK$86,MATCH(B186,'vehicles specifications'!$A$3:$A$86,0),MATCH("Servicing [unit]",'vehicles specifications'!$B$2:$CK$2,0))</f>
        <v>1.242</v>
      </c>
    </row>
    <row r="194" spans="1:8" x14ac:dyDescent="0.3">
      <c r="A194" t="s">
        <v>135</v>
      </c>
      <c r="B194">
        <f>INDEX('vehicles specifications'!$B$3:$CK$86,MATCH(B186,'vehicles specifications'!$A$3:$A$86,0),MATCH("Energy battery replacement [unit]",'vehicles specifications'!$B$2:$CK$2,0))</f>
        <v>1</v>
      </c>
    </row>
    <row r="195" spans="1:8" x14ac:dyDescent="0.3">
      <c r="A195" t="s">
        <v>136</v>
      </c>
      <c r="B195">
        <f>INDEX('vehicles specifications'!$B$3:$CK$86,MATCH(B186,'vehicles specifications'!$A$3:$A$86,0),MATCH("Annual kilometers [km]",'vehicles specifications'!$B$2:$CK$2,0))</f>
        <v>4690</v>
      </c>
    </row>
    <row r="196" spans="1:8" x14ac:dyDescent="0.3">
      <c r="A196" t="s">
        <v>137</v>
      </c>
      <c r="B196" s="2">
        <f>INDEX('vehicles specifications'!$B$3:$CK$86,MATCH(B186,'vehicles specifications'!$A$3:$A$86,0),MATCH("Curb mass [kg]",'vehicles specifications'!$B$2:$CK$2,0))</f>
        <v>161.6</v>
      </c>
    </row>
    <row r="197" spans="1:8" x14ac:dyDescent="0.3">
      <c r="A197" t="s">
        <v>138</v>
      </c>
      <c r="B197">
        <f>INDEX('vehicles specifications'!$B$3:$CK$86,MATCH(B186,'vehicles specifications'!$A$3:$A$86,0),MATCH("Power [kW]",'vehicles specifications'!$B$2:$CK$2,0))</f>
        <v>14</v>
      </c>
    </row>
    <row r="198" spans="1:8" x14ac:dyDescent="0.3">
      <c r="A198" t="s">
        <v>139</v>
      </c>
      <c r="B198">
        <f>INDEX('vehicles specifications'!$B$3:$CK$86,MATCH(B186,'vehicles specifications'!$A$3:$A$86,0),MATCH("Energy battery mass [kg]",'vehicles specifications'!$B$2:$CK$2,0))</f>
        <v>48.599999999999994</v>
      </c>
    </row>
    <row r="199" spans="1:8" x14ac:dyDescent="0.3">
      <c r="A199" t="s">
        <v>140</v>
      </c>
      <c r="B199" s="21">
        <f>INDEX('vehicles specifications'!$B$3:$CK$86,MATCH(B186,'vehicles specifications'!$A$3:$A$86,0),MATCH("Electric energy stored [kWh]",'vehicles specifications'!$B$2:$CK$2,0))</f>
        <v>8.1</v>
      </c>
    </row>
    <row r="200" spans="1:8" s="21" customFormat="1" x14ac:dyDescent="0.3">
      <c r="A200" s="21" t="s">
        <v>654</v>
      </c>
      <c r="B200" s="21">
        <f>INDEX('vehicles specifications'!$B$3:$CK$86,MATCH(B186,'vehicles specifications'!$A$3:$A$86,0),MATCH("Electric energy available [kWh]",'vehicles specifications'!$B$2:$CK$2,0))</f>
        <v>6.48</v>
      </c>
    </row>
    <row r="201" spans="1:8" x14ac:dyDescent="0.3">
      <c r="A201" t="s">
        <v>143</v>
      </c>
      <c r="B201" s="2">
        <f>INDEX('vehicles specifications'!$B$3:$CK$86,MATCH(B186,'vehicles specifications'!$A$3:$A$86,0),MATCH("Oxydation energy stored [kWh]",'vehicles specifications'!$B$2:$CK$2,0))</f>
        <v>0</v>
      </c>
    </row>
    <row r="202" spans="1:8" x14ac:dyDescent="0.3">
      <c r="A202" t="s">
        <v>145</v>
      </c>
      <c r="B202">
        <f>INDEX('vehicles specifications'!$B$3:$CK$86,MATCH(B186,'vehicles specifications'!$A$3:$A$86,0),MATCH("Fuel mass [kg]",'vehicles specifications'!$B$2:$CK$2,0))</f>
        <v>0</v>
      </c>
    </row>
    <row r="203" spans="1:8" x14ac:dyDescent="0.3">
      <c r="A203" t="s">
        <v>141</v>
      </c>
      <c r="B203" s="2">
        <f>INDEX('vehicles specifications'!$B$3:$CK$86,MATCH(B186,'vehicles specifications'!$A$3:$A$86,0),MATCH("Range [km]",'vehicles specifications'!$B$2:$CK$2,0))</f>
        <v>94.692311208791224</v>
      </c>
    </row>
    <row r="204" spans="1:8" x14ac:dyDescent="0.3">
      <c r="A204" t="s">
        <v>142</v>
      </c>
      <c r="B204" t="str">
        <f>INDEX('vehicles specifications'!$B$3:$CK$86,MATCH(B186,'vehicles specifications'!$A$3:$A$86,0),MATCH("Emission standard",'vehicles specifications'!$B$2:$CK$2,0))</f>
        <v>None</v>
      </c>
    </row>
    <row r="205" spans="1:8" x14ac:dyDescent="0.3">
      <c r="A205" t="s">
        <v>144</v>
      </c>
      <c r="B205" s="6">
        <f>INDEX('vehicles specifications'!$B$3:$CK$86,MATCH(B186,'vehicles specifications'!$A$3:$A$86,0),MATCH("Lightweighting rate [%]",'vehicles specifications'!$B$2:$CK$2,0))</f>
        <v>0</v>
      </c>
    </row>
    <row r="206" spans="1:8" x14ac:dyDescent="0.3">
      <c r="A206"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"&amp;'lci-kick scooter'!B149</f>
        <v>Power: 14 kW. Lifetime: 62100 km. Annual kilometers: 4690 km. Number of passengers: 1.1. Curb mass: 161.6 kg. Lightweighting of glider: 0%. Emission standard: None. Service visits throughout lifetime: 1.2. Range: 95 km. Battery capacity: 8.1 kWh. Available battery capacity: 6.48 kWh. Battery mass: 48.6 kg. Battery replacement throughout lifetime: 1. Fuel tank capacity: 0 kWh. Fuel mass: 0 kg. Documentation: 2021 UVEK life-cycle inventories update of on-road vehicles, Sacchi R. (PSI), Bauer C. (PSI), 2021. 2.6</v>
      </c>
    </row>
    <row r="207" spans="1:8" ht="15.6" x14ac:dyDescent="0.3">
      <c r="A207" s="11" t="s">
        <v>80</v>
      </c>
    </row>
    <row r="208" spans="1:8" x14ac:dyDescent="0.3">
      <c r="A208" t="s">
        <v>81</v>
      </c>
      <c r="B208" t="s">
        <v>82</v>
      </c>
      <c r="C208" t="s">
        <v>73</v>
      </c>
      <c r="D208" t="s">
        <v>77</v>
      </c>
      <c r="E208" t="s">
        <v>83</v>
      </c>
      <c r="F208" t="s">
        <v>75</v>
      </c>
      <c r="G208" t="s">
        <v>84</v>
      </c>
      <c r="H208" t="s">
        <v>74</v>
      </c>
    </row>
    <row r="209" spans="1:8" x14ac:dyDescent="0.3">
      <c r="A209" s="12" t="str">
        <f>B181</f>
        <v>transport, Motorbike, electric, 11-35kW, 2020</v>
      </c>
      <c r="B209" s="12">
        <v>1</v>
      </c>
      <c r="C209" s="12" t="str">
        <f>B182</f>
        <v>CH</v>
      </c>
      <c r="D209" s="12" t="s">
        <v>172</v>
      </c>
      <c r="E209" s="12"/>
      <c r="F209" s="12" t="s">
        <v>85</v>
      </c>
      <c r="G209" s="12" t="s">
        <v>86</v>
      </c>
      <c r="H209" s="12" t="str">
        <f>B187</f>
        <v>transport, Motorbike, electric, 11-35kW</v>
      </c>
    </row>
    <row r="210" spans="1:8" x14ac:dyDescent="0.3">
      <c r="A210" s="12" t="str">
        <f>RIGHT(A209,LEN(A209)-11)</f>
        <v>Motorbike, electric, 11-35kW, 2020</v>
      </c>
      <c r="B210" s="15">
        <f>1/B191</f>
        <v>1.6103059581320449E-5</v>
      </c>
      <c r="C210" s="12" t="str">
        <f>B182</f>
        <v>CH</v>
      </c>
      <c r="D210" s="12" t="s">
        <v>77</v>
      </c>
      <c r="E210" s="12"/>
      <c r="F210" s="12" t="s">
        <v>91</v>
      </c>
      <c r="G210" s="12"/>
      <c r="H210" s="12" t="str">
        <f>RIGHT(H209,LEN(H209)-11)</f>
        <v>Motorbike, electric, 11-35kW</v>
      </c>
    </row>
    <row r="211" spans="1:8" x14ac:dyDescent="0.3">
      <c r="A211" s="12" t="str">
        <f>INDEX('ei names mapping'!$B$4:$R$33,MATCH(B183,'ei names mapping'!$A$4:$A$33,0),MATCH(G211,'ei names mapping'!$B$3:$R$3,0))</f>
        <v>road maintenance</v>
      </c>
      <c r="B211" s="16">
        <f>INDEX('vehicles specifications'!$B$3:$CK$86,MATCH(B186,'vehicles specifications'!$A$3:$A$86,0),MATCH(G211,'vehicles specifications'!$B$2:$CK$2,0))*INDEX('ei names mapping'!$B$137:$BK$220,MATCH(B186,'ei names mapping'!$A$137:$A$220,0),MATCH(G211,'ei names mapping'!$B$136:$BK$136,0))</f>
        <v>1.2899999999999999E-3</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t="s">
        <v>117</v>
      </c>
      <c r="H211" s="12" t="str">
        <f>INDEX('ei names mapping'!$B$71:$BK$100,MATCH(B183,'ei names mapping'!$A$4:$A$33,0),MATCH(G211,'ei names mapping'!$B$3:$BK$3,0))</f>
        <v>road maintenance</v>
      </c>
    </row>
    <row r="212" spans="1:8" x14ac:dyDescent="0.3">
      <c r="A212" s="12" t="str">
        <f>INDEX('ei names mapping'!$B$4:$R$33,MATCH(B183,'ei names mapping'!$A$4:$A$33,0),MATCH(G212,'ei names mapping'!$B$3:$R$3,0))</f>
        <v>market for electricity, low voltage</v>
      </c>
      <c r="B212" s="14">
        <f>INDEX('vehicles specifications'!$B$3:$CK$86,MATCH(B186,'vehicles specifications'!$A$3:$A$86,0),MATCH(G212,'vehicles specifications'!$B$2:$CK$2,0))*INDEX('ei names mapping'!$B$137:$BK$220,MATCH(B186,'ei names mapping'!$A$137:$A$220,0),MATCH(G212,'ei names mapping'!$B$136:$BK$136,0))</f>
        <v>7.5275383069731625E-2</v>
      </c>
      <c r="C212" s="12" t="str">
        <f>INDEX('ei names mapping'!$B$38:$R$67,MATCH($B$3,'ei names mapping'!$A$4:$A$33,0),MATCH(G212,'ei names mapping'!$B$3:$R$3,0))</f>
        <v>CH</v>
      </c>
      <c r="D212" s="12" t="str">
        <f>INDEX('ei names mapping'!$B$104:$R$133,MATCH($B$3,'ei names mapping'!$A$4:$A$33,0),MATCH(G212,'ei names mapping'!$B$3:$R$3,0))</f>
        <v>kilowatt hour</v>
      </c>
      <c r="E212" s="12"/>
      <c r="F212" s="12" t="s">
        <v>91</v>
      </c>
      <c r="G212" t="s">
        <v>28</v>
      </c>
      <c r="H212" s="12" t="str">
        <f>INDEX('ei names mapping'!$B$71:$R$100,MATCH(B183,'ei names mapping'!$A$4:$A$33,0),MATCH(G212,'ei names mapping'!$B$3:$R$3,0))</f>
        <v>electricity, low voltage</v>
      </c>
    </row>
    <row r="213" spans="1:8" x14ac:dyDescent="0.3">
      <c r="A213" s="12" t="str">
        <f>INDEX('ei names mapping'!$B$4:$R$33,MATCH(B183,'ei names mapping'!$A$4:$A$33,0),MATCH(G213,'ei names mapping'!$B$3:$R$3,0))</f>
        <v>market for maintenance, electric scooter, without battery</v>
      </c>
      <c r="B213" s="16">
        <f>INDEX('vehicles specifications'!$B$3:$CK$86,MATCH(B186,'vehicles specifications'!$A$3:$A$86,0),MATCH(G213,'vehicles specifications'!$B$2:$CK$2,0))*INDEX('ei names mapping'!$B$137:$BK$220,MATCH(B186,'ei names mapping'!$A$137:$A$220,0),MATCH(G213,'ei names mapping'!$B$136:$BK$136,0))</f>
        <v>1.9999999999999998E-5</v>
      </c>
      <c r="C213" s="12" t="str">
        <f>INDEX('ei names mapping'!$B$38:$BK$67,MATCH(B183,'ei names mapping'!$A$4:$A$33,0),MATCH(G213,'ei names mapping'!$B$3:$BK$3,0))</f>
        <v>GLO</v>
      </c>
      <c r="D213" s="12" t="str">
        <f>INDEX('ei names mapping'!$B$104:$BK$133,MATCH(B183,'ei names mapping'!$A$4:$A$33,0),MATCH(G213,'ei names mapping'!$B$3:$BK$3,0))</f>
        <v>unit</v>
      </c>
      <c r="F213" s="12" t="s">
        <v>91</v>
      </c>
      <c r="G213" s="12" t="s">
        <v>123</v>
      </c>
      <c r="H213" s="12" t="str">
        <f>INDEX('ei names mapping'!$B$71:$BK$100,MATCH(B183,'ei names mapping'!$A$4:$A$33,0),MATCH(G213,'ei names mapping'!$B$3:$BK$3,0))</f>
        <v>maintenance, electric scooter, without battery</v>
      </c>
    </row>
    <row r="214" spans="1:8" s="21" customFormat="1" x14ac:dyDescent="0.3">
      <c r="A214" s="12" t="str">
        <f>INDEX('ei names mapping'!$B$4:$R$33,MATCH(B183,'ei names mapping'!$A$4:$A$33,0),MATCH(G214,'ei names mapping'!$B$3:$R$3,0))</f>
        <v>road construction</v>
      </c>
      <c r="B214" s="16">
        <f>INDEX('vehicles specifications'!$B$3:$CK$86,MATCH(B186,'vehicles specifications'!$A$3:$A$86,0),MATCH(G214,'vehicles specifications'!$B$2:$CK$2,0))*INDEX('ei names mapping'!$B$137:$BK$220,MATCH(B186,'ei names mapping'!$A$137:$A$220,0),MATCH(G214,'ei names mapping'!$B$136:$BK$136,0))</f>
        <v>1.3135020000000001E-4</v>
      </c>
      <c r="C214" s="12" t="str">
        <f>INDEX('ei names mapping'!$B$38:$R$67,MATCH(B183,'ei names mapping'!$A$4:$A$33,0),MATCH(G214,'ei names mapping'!$B$3:$R$3,0))</f>
        <v>CH</v>
      </c>
      <c r="D214" s="12" t="str">
        <f>INDEX('ei names mapping'!$B$104:$R$133,MATCH(B183,'ei names mapping'!$A$104:$A$133,0),MATCH(G214,'ei names mapping'!$B$3:$R$3,0))</f>
        <v>meter-year</v>
      </c>
      <c r="E214" s="12"/>
      <c r="F214" s="12" t="s">
        <v>91</v>
      </c>
      <c r="G214" s="21" t="s">
        <v>108</v>
      </c>
      <c r="H214" s="12" t="str">
        <f>INDEX('ei names mapping'!$B$71:$R$100,MATCH(B183,'ei names mapping'!$A$4:$A$33,0),MATCH(G214,'ei names mapping'!$B$3:$R$3,0))</f>
        <v>road</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-7.3669999999999991E-6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-4.1749999999999998E-6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Motorbike, electric, 11-35kW, 2030</v>
      </c>
    </row>
    <row r="220" spans="1:8" x14ac:dyDescent="0.3">
      <c r="A220" t="s">
        <v>73</v>
      </c>
      <c r="B220" t="s">
        <v>37</v>
      </c>
    </row>
    <row r="221" spans="1:8" x14ac:dyDescent="0.3">
      <c r="A221" t="s">
        <v>87</v>
      </c>
      <c r="B221" t="s">
        <v>522</v>
      </c>
    </row>
    <row r="222" spans="1:8" x14ac:dyDescent="0.3">
      <c r="A222" t="s">
        <v>88</v>
      </c>
      <c r="B222" s="12"/>
    </row>
    <row r="223" spans="1:8" x14ac:dyDescent="0.3">
      <c r="A223" t="s">
        <v>89</v>
      </c>
      <c r="B223" s="12">
        <v>2030</v>
      </c>
    </row>
    <row r="224" spans="1:8" x14ac:dyDescent="0.3">
      <c r="A224" t="s">
        <v>131</v>
      </c>
      <c r="B224" s="12" t="str">
        <f>B221&amp;" - "&amp;B223&amp;" - "&amp;B220</f>
        <v>Motorbike, electric, 11-35kW - 2030 - CH</v>
      </c>
    </row>
    <row r="225" spans="1:2" x14ac:dyDescent="0.3">
      <c r="A225" t="s">
        <v>74</v>
      </c>
      <c r="B225" s="12" t="str">
        <f>"transport, "&amp;B221</f>
        <v>transport, Motorbike, electric, 11-35kW</v>
      </c>
    </row>
    <row r="226" spans="1:2" x14ac:dyDescent="0.3">
      <c r="A226" t="s">
        <v>75</v>
      </c>
      <c r="B226" t="s">
        <v>76</v>
      </c>
    </row>
    <row r="227" spans="1:2" x14ac:dyDescent="0.3">
      <c r="A227" t="s">
        <v>77</v>
      </c>
      <c r="B227" t="s">
        <v>172</v>
      </c>
    </row>
    <row r="228" spans="1:2" x14ac:dyDescent="0.3">
      <c r="A228" t="s">
        <v>79</v>
      </c>
      <c r="B228" t="s">
        <v>90</v>
      </c>
    </row>
    <row r="229" spans="1:2" x14ac:dyDescent="0.3">
      <c r="A229" t="s">
        <v>132</v>
      </c>
      <c r="B229">
        <f>INDEX('vehicles specifications'!$B$3:$CK$86,MATCH(B224,'vehicles specifications'!$A$3:$A$86,0),MATCH("Lifetime [km]",'vehicles specifications'!$B$2:$CK$2,0))</f>
        <v>62100</v>
      </c>
    </row>
    <row r="230" spans="1:2" x14ac:dyDescent="0.3">
      <c r="A230" t="s">
        <v>133</v>
      </c>
      <c r="B230">
        <f>INDEX('vehicles specifications'!$B$3:$CK$86,MATCH(B224,'vehicles specifications'!$A$3:$A$86,0),MATCH("Passengers [unit]",'vehicles specifications'!$B$2:$CK$2,0))</f>
        <v>1.1000000000000001</v>
      </c>
    </row>
    <row r="231" spans="1:2" x14ac:dyDescent="0.3">
      <c r="A231" t="s">
        <v>134</v>
      </c>
      <c r="B231">
        <f>INDEX('vehicles specifications'!$B$3:$CK$86,MATCH(B224,'vehicles specifications'!$A$3:$A$86,0),MATCH("Servicing [unit]",'vehicles specifications'!$B$2:$CK$2,0))</f>
        <v>1.242</v>
      </c>
    </row>
    <row r="232" spans="1:2" x14ac:dyDescent="0.3">
      <c r="A232" t="s">
        <v>135</v>
      </c>
      <c r="B232">
        <f>INDEX('vehicles specifications'!$B$3:$CK$86,MATCH(B224,'vehicles specifications'!$A$3:$A$86,0),MATCH("Energy battery replacement [unit]",'vehicles specifications'!$B$2:$CK$2,0))</f>
        <v>0.5</v>
      </c>
    </row>
    <row r="233" spans="1:2" x14ac:dyDescent="0.3">
      <c r="A233" t="s">
        <v>136</v>
      </c>
      <c r="B233">
        <f>INDEX('vehicles specifications'!$B$3:$CK$86,MATCH(B224,'vehicles specifications'!$A$3:$A$86,0),MATCH("Annual kilometers [km]",'vehicles specifications'!$B$2:$CK$2,0))</f>
        <v>4690</v>
      </c>
    </row>
    <row r="234" spans="1:2" x14ac:dyDescent="0.3">
      <c r="A234" t="s">
        <v>137</v>
      </c>
      <c r="B234" s="2">
        <f>INDEX('vehicles specifications'!$B$3:$CK$86,MATCH(B224,'vehicles specifications'!$A$3:$A$86,0),MATCH("Curb mass [kg]",'vehicles specifications'!$B$2:$CK$2,0))</f>
        <v>161.76999999999998</v>
      </c>
    </row>
    <row r="235" spans="1:2" x14ac:dyDescent="0.3">
      <c r="A235" t="s">
        <v>138</v>
      </c>
      <c r="B235">
        <f>INDEX('vehicles specifications'!$B$3:$CK$86,MATCH(B224,'vehicles specifications'!$A$3:$A$86,0),MATCH("Power [kW]",'vehicles specifications'!$B$2:$CK$2,0))</f>
        <v>14</v>
      </c>
    </row>
    <row r="236" spans="1:2" x14ac:dyDescent="0.3">
      <c r="A236" t="s">
        <v>139</v>
      </c>
      <c r="B236">
        <f>INDEX('vehicles specifications'!$B$3:$CK$86,MATCH(B224,'vehicles specifications'!$A$3:$A$86,0),MATCH("Energy battery mass [kg]",'vehicles specifications'!$B$2:$CK$2,0))</f>
        <v>51.2</v>
      </c>
    </row>
    <row r="237" spans="1:2" x14ac:dyDescent="0.3">
      <c r="A237" t="s">
        <v>140</v>
      </c>
      <c r="B237" s="21">
        <f>INDEX('vehicles specifications'!$B$3:$CK$86,MATCH(B224,'vehicles specifications'!$A$3:$A$86,0),MATCH("Electric energy stored [kWh]",'vehicles specifications'!$B$2:$CK$2,0))</f>
        <v>12.8</v>
      </c>
    </row>
    <row r="238" spans="1:2" s="21" customFormat="1" x14ac:dyDescent="0.3">
      <c r="A238" s="21" t="s">
        <v>654</v>
      </c>
      <c r="B238" s="21">
        <f>INDEX('vehicles specifications'!$B$3:$CK$86,MATCH(B224,'vehicles specifications'!$A$3:$A$86,0),MATCH("Electric energy available [kWh]",'vehicles specifications'!$B$2:$CK$2,0))</f>
        <v>10.240000000000002</v>
      </c>
    </row>
    <row r="239" spans="1:2" x14ac:dyDescent="0.3">
      <c r="A239" t="s">
        <v>143</v>
      </c>
      <c r="B239" s="2">
        <f>INDEX('vehicles specifications'!$B$3:$CK$86,MATCH(B224,'vehicles specifications'!$A$3:$A$86,0),MATCH("Oxydation energy stored [kWh]",'vehicles specifications'!$B$2:$CK$2,0))</f>
        <v>0</v>
      </c>
    </row>
    <row r="240" spans="1:2" x14ac:dyDescent="0.3">
      <c r="A240" t="s">
        <v>145</v>
      </c>
      <c r="B240">
        <f>INDEX('vehicles specifications'!$B$3:$CK$86,MATCH(B224,'vehicles specifications'!$A$3:$A$86,0),MATCH("Fuel mass [kg]",'vehicles specifications'!$B$2:$CK$2,0))</f>
        <v>0</v>
      </c>
    </row>
    <row r="241" spans="1:8" x14ac:dyDescent="0.3">
      <c r="A241" t="s">
        <v>141</v>
      </c>
      <c r="B241" s="2">
        <f>INDEX('vehicles specifications'!$B$3:$CK$86,MATCH(B224,'vehicles specifications'!$A$3:$A$86,0),MATCH("Range [km]",'vehicles specifications'!$B$2:$CK$2,0))</f>
        <v>149.63723252747255</v>
      </c>
    </row>
    <row r="242" spans="1:8" x14ac:dyDescent="0.3">
      <c r="A242" t="s">
        <v>142</v>
      </c>
      <c r="B242" t="str">
        <f>INDEX('vehicles specifications'!$B$3:$CK$86,MATCH(B224,'vehicles specifications'!$A$3:$A$86,0),MATCH("Emission standard",'vehicles specifications'!$B$2:$CK$2,0))</f>
        <v>None</v>
      </c>
    </row>
    <row r="243" spans="1:8" x14ac:dyDescent="0.3">
      <c r="A243" t="s">
        <v>144</v>
      </c>
      <c r="B243" s="6">
        <f>INDEX('vehicles specifications'!$B$3:$CK$86,MATCH(B224,'vehicles specifications'!$A$3:$A$86,0),MATCH("Lightweighting rate [%]",'vehicles specifications'!$B$2:$CK$2,0))</f>
        <v>0.03</v>
      </c>
    </row>
    <row r="244" spans="1:8" x14ac:dyDescent="0.3">
      <c r="A244"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"&amp;'lci-kick scooter'!B187</f>
        <v>Power: 14 kW. Lifetime: 62100 km. Annual kilometers: 4690 km. Number of passengers: 1.1. Curb mass: 161.8 kg. Lightweighting of glider: 3%. Emission standard: None. Service visits throughout lifetime: 1.2. Range: 150 km. Battery capacity: 12.8 kWh. Available battery capacity: 10.24 kWh. Battery mass: 51.2 kg. Battery replacement throughout lifetime: 0.5. Fuel tank capacity: 0 kWh. Fuel mass: 0 kg. Documentation: 2021 UVEK life-cycle inventories update of on-road vehicles, Sacchi R. (PSI), Bauer C. (PSI), 2021. 0.44625</v>
      </c>
    </row>
    <row r="245" spans="1:8" ht="15.6" x14ac:dyDescent="0.3">
      <c r="A245" s="11" t="s">
        <v>80</v>
      </c>
    </row>
    <row r="246" spans="1:8" x14ac:dyDescent="0.3">
      <c r="A246" t="s">
        <v>81</v>
      </c>
      <c r="B246" t="s">
        <v>82</v>
      </c>
      <c r="C246" t="s">
        <v>73</v>
      </c>
      <c r="D246" t="s">
        <v>77</v>
      </c>
      <c r="E246" t="s">
        <v>83</v>
      </c>
      <c r="F246" t="s">
        <v>75</v>
      </c>
      <c r="G246" t="s">
        <v>84</v>
      </c>
      <c r="H246" t="s">
        <v>74</v>
      </c>
    </row>
    <row r="247" spans="1:8" x14ac:dyDescent="0.3">
      <c r="A247" s="12" t="str">
        <f>B219</f>
        <v>transport, Motorbike, electric, 11-35kW, 2030</v>
      </c>
      <c r="B247" s="12">
        <v>1</v>
      </c>
      <c r="C247" s="12" t="str">
        <f>B220</f>
        <v>CH</v>
      </c>
      <c r="D247" s="12" t="s">
        <v>172</v>
      </c>
      <c r="E247" s="12"/>
      <c r="F247" s="12" t="s">
        <v>85</v>
      </c>
      <c r="G247" s="12" t="s">
        <v>86</v>
      </c>
      <c r="H247" s="12" t="str">
        <f>B225</f>
        <v>transport, Motorbike, electric, 11-35kW</v>
      </c>
    </row>
    <row r="248" spans="1:8" x14ac:dyDescent="0.3">
      <c r="A248" s="12" t="str">
        <f>RIGHT(A247,LEN(A247)-11)</f>
        <v>Motorbike, electric, 11-35kW, 2030</v>
      </c>
      <c r="B248" s="12">
        <f>1/B229</f>
        <v>1.6103059581320449E-5</v>
      </c>
      <c r="C248" s="12" t="str">
        <f>B220</f>
        <v>CH</v>
      </c>
      <c r="D248" s="12" t="s">
        <v>77</v>
      </c>
      <c r="E248" s="12"/>
      <c r="F248" s="12" t="s">
        <v>91</v>
      </c>
      <c r="G248" s="12"/>
      <c r="H248" s="12" t="str">
        <f>RIGHT(H247,LEN(H247)-11)</f>
        <v>Motorbike, electric, 11-35kW</v>
      </c>
    </row>
    <row r="249" spans="1:8" x14ac:dyDescent="0.3">
      <c r="A249" s="12" t="str">
        <f>INDEX('ei names mapping'!$B$4:$R$33,MATCH(B221,'ei names mapping'!$A$4:$A$33,0),MATCH(G249,'ei names mapping'!$B$3:$R$3,0))</f>
        <v>road maintenance</v>
      </c>
      <c r="B249" s="16">
        <f>INDEX('vehicles specifications'!$B$3:$CK$86,MATCH(B224,'vehicles specifications'!$A$3:$A$86,0),MATCH(G249,'vehicles specifications'!$B$2:$CK$2,0))*INDEX('ei names mapping'!$B$137:$BK$220,MATCH(B224,'ei names mapping'!$A$137:$A$220,0),MATCH(G249,'ei names mapping'!$B$136:$BK$136,0))</f>
        <v>1.2899999999999999E-3</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t="s">
        <v>117</v>
      </c>
      <c r="H249" s="12" t="str">
        <f>INDEX('ei names mapping'!$B$71:$BK$100,MATCH(B221,'ei names mapping'!$A$4:$A$33,0),MATCH(G249,'ei names mapping'!$B$3:$BK$3,0))</f>
        <v>road maintenance</v>
      </c>
    </row>
    <row r="250" spans="1:8" x14ac:dyDescent="0.3">
      <c r="A250" s="12" t="str">
        <f>INDEX('ei names mapping'!$B$4:$R$33,MATCH(B221,'ei names mapping'!$A$4:$A$33,0),MATCH(G250,'ei names mapping'!$B$3:$R$3,0))</f>
        <v>market for electricity, low voltage</v>
      </c>
      <c r="B250" s="14">
        <f>INDEX('vehicles specifications'!$B$3:$CK$86,MATCH(B224,'vehicles specifications'!$A$3:$A$86,0),MATCH(G250,'vehicles specifications'!$B$2:$CK$2,0))*INDEX('ei names mapping'!$B$137:$BK$220,MATCH(B224,'ei names mapping'!$A$137:$A$220,0),MATCH(G250,'ei names mapping'!$B$136:$BK$136,0))</f>
        <v>7.5275383069731625E-2</v>
      </c>
      <c r="C250" s="12" t="str">
        <f>INDEX('ei names mapping'!$B$38:$R$67,MATCH($B$3,'ei names mapping'!$A$4:$A$33,0),MATCH(G250,'ei names mapping'!$B$3:$R$3,0))</f>
        <v>CH</v>
      </c>
      <c r="D250" s="12" t="str">
        <f>INDEX('ei names mapping'!$B$104:$R$133,MATCH($B$3,'ei names mapping'!$A$4:$A$33,0),MATCH(G250,'ei names mapping'!$B$3:$R$3,0))</f>
        <v>kilowatt hour</v>
      </c>
      <c r="E250" s="12"/>
      <c r="F250" s="12" t="s">
        <v>91</v>
      </c>
      <c r="G250" t="s">
        <v>28</v>
      </c>
      <c r="H250" s="12" t="str">
        <f>INDEX('ei names mapping'!$B$71:$R$100,MATCH(B221,'ei names mapping'!$A$4:$A$33,0),MATCH(G250,'ei names mapping'!$B$3:$R$3,0))</f>
        <v>electricity, low voltage</v>
      </c>
    </row>
    <row r="251" spans="1:8" x14ac:dyDescent="0.3">
      <c r="A251" s="12" t="str">
        <f>INDEX('ei names mapping'!$B$4:$R$33,MATCH(B221,'ei names mapping'!$A$4:$A$33,0),MATCH(G251,'ei names mapping'!$B$3:$R$3,0))</f>
        <v>market for maintenance, electric scooter, without battery</v>
      </c>
      <c r="B251" s="16">
        <f>INDEX('vehicles specifications'!$B$3:$CK$86,MATCH(B224,'vehicles specifications'!$A$3:$A$86,0),MATCH(G251,'vehicles specifications'!$B$2:$CK$2,0))*INDEX('ei names mapping'!$B$137:$BK$220,MATCH(B224,'ei names mapping'!$A$137:$A$220,0),MATCH(G251,'ei names mapping'!$B$136:$BK$136,0))</f>
        <v>1.9999999999999998E-5</v>
      </c>
      <c r="C251" s="12" t="str">
        <f>INDEX('ei names mapping'!$B$38:$BK$67,MATCH(B221,'ei names mapping'!$A$4:$A$33,0),MATCH(G251,'ei names mapping'!$B$3:$BK$3,0))</f>
        <v>GLO</v>
      </c>
      <c r="D251" s="12" t="str">
        <f>INDEX('ei names mapping'!$B$104:$BK$133,MATCH(B221,'ei names mapping'!$A$4:$A$33,0),MATCH(G251,'ei names mapping'!$B$3:$BK$3,0))</f>
        <v>unit</v>
      </c>
      <c r="F251" s="12" t="s">
        <v>91</v>
      </c>
      <c r="G251" s="12" t="s">
        <v>123</v>
      </c>
      <c r="H251" s="12" t="str">
        <f>INDEX('ei names mapping'!$B$71:$BK$100,MATCH(B221,'ei names mapping'!$A$4:$A$33,0),MATCH(G251,'ei names mapping'!$B$3:$BK$3,0))</f>
        <v>maintenance, electric scooter, without battery</v>
      </c>
    </row>
    <row r="252" spans="1:8" s="21" customFormat="1" x14ac:dyDescent="0.3">
      <c r="A252" s="12" t="str">
        <f>INDEX('ei names mapping'!$B$4:$R$33,MATCH(B221,'ei names mapping'!$A$4:$A$33,0),MATCH(G252,'ei names mapping'!$B$3:$R$3,0))</f>
        <v>road construction</v>
      </c>
      <c r="B252" s="16">
        <f>INDEX('vehicles specifications'!$B$3:$CK$86,MATCH(B224,'vehicles specifications'!$A$3:$A$86,0),MATCH(G252,'vehicles specifications'!$B$2:$CK$2,0))*INDEX('ei names mapping'!$B$137:$BK$220,MATCH(B224,'ei names mapping'!$A$137:$A$220,0),MATCH(G252,'ei names mapping'!$B$136:$BK$136,0))</f>
        <v>1.3144148999999998E-4</v>
      </c>
      <c r="C252" s="12" t="str">
        <f>INDEX('ei names mapping'!$B$38:$R$67,MATCH(B221,'ei names mapping'!$A$4:$A$33,0),MATCH(G252,'ei names mapping'!$B$3:$R$3,0))</f>
        <v>CH</v>
      </c>
      <c r="D252" s="12" t="str">
        <f>INDEX('ei names mapping'!$B$104:$R$133,MATCH(B221,'ei names mapping'!$A$104:$A$133,0),MATCH(G252,'ei names mapping'!$B$3:$R$3,0))</f>
        <v>meter-year</v>
      </c>
      <c r="E252" s="12"/>
      <c r="F252" s="12" t="s">
        <v>91</v>
      </c>
      <c r="G252" s="21" t="s">
        <v>108</v>
      </c>
      <c r="H252" s="12" t="str">
        <f>INDEX('ei names mapping'!$B$71:$R$100,MATCH(B221,'ei names mapping'!$A$4:$A$33,0),MATCH(G252,'ei names mapping'!$B$3:$R$3,0))</f>
        <v>road</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-7.3669999999999991E-6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-4.1749999999999998E-6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Motorbike, electric, 11-35kW, 2040</v>
      </c>
    </row>
    <row r="258" spans="1:2" x14ac:dyDescent="0.3">
      <c r="A258" t="s">
        <v>73</v>
      </c>
      <c r="B258" t="s">
        <v>37</v>
      </c>
    </row>
    <row r="259" spans="1:2" x14ac:dyDescent="0.3">
      <c r="A259" t="s">
        <v>87</v>
      </c>
      <c r="B259" t="s">
        <v>522</v>
      </c>
    </row>
    <row r="260" spans="1:2" x14ac:dyDescent="0.3">
      <c r="A260" t="s">
        <v>88</v>
      </c>
      <c r="B260" s="12"/>
    </row>
    <row r="261" spans="1:2" x14ac:dyDescent="0.3">
      <c r="A261" t="s">
        <v>89</v>
      </c>
      <c r="B261" s="12">
        <v>2040</v>
      </c>
    </row>
    <row r="262" spans="1:2" x14ac:dyDescent="0.3">
      <c r="A262" t="s">
        <v>131</v>
      </c>
      <c r="B262" s="12" t="str">
        <f>B259&amp;" - "&amp;B261&amp;" - "&amp;B258</f>
        <v>Motorbike, electric, 11-35kW - 2040 - CH</v>
      </c>
    </row>
    <row r="263" spans="1:2" x14ac:dyDescent="0.3">
      <c r="A263" t="s">
        <v>74</v>
      </c>
      <c r="B263" s="12" t="str">
        <f>"transport, "&amp;B259</f>
        <v>transport, Motorbike, electric, 11-35kW</v>
      </c>
    </row>
    <row r="264" spans="1:2" x14ac:dyDescent="0.3">
      <c r="A264" t="s">
        <v>75</v>
      </c>
      <c r="B264" t="s">
        <v>76</v>
      </c>
    </row>
    <row r="265" spans="1:2" x14ac:dyDescent="0.3">
      <c r="A265" t="s">
        <v>77</v>
      </c>
      <c r="B265" t="s">
        <v>172</v>
      </c>
    </row>
    <row r="266" spans="1:2" x14ac:dyDescent="0.3">
      <c r="A266" t="s">
        <v>79</v>
      </c>
      <c r="B266" t="s">
        <v>90</v>
      </c>
    </row>
    <row r="267" spans="1:2" x14ac:dyDescent="0.3">
      <c r="A267" t="s">
        <v>132</v>
      </c>
      <c r="B267">
        <f>INDEX('vehicles specifications'!$B$3:$CK$86,MATCH(B262,'vehicles specifications'!$A$3:$A$86,0),MATCH("Lifetime [km]",'vehicles specifications'!$B$2:$CK$2,0))</f>
        <v>62100</v>
      </c>
    </row>
    <row r="268" spans="1:2" x14ac:dyDescent="0.3">
      <c r="A268" t="s">
        <v>133</v>
      </c>
      <c r="B268">
        <f>INDEX('vehicles specifications'!$B$3:$CK$86,MATCH(B262,'vehicles specifications'!$A$3:$A$86,0),MATCH("Passengers [unit]",'vehicles specifications'!$B$2:$CK$2,0))</f>
        <v>1.1000000000000001</v>
      </c>
    </row>
    <row r="269" spans="1:2" x14ac:dyDescent="0.3">
      <c r="A269" t="s">
        <v>134</v>
      </c>
      <c r="B269">
        <f>INDEX('vehicles specifications'!$B$3:$CK$86,MATCH(B262,'vehicles specifications'!$A$3:$A$86,0),MATCH("Servicing [unit]",'vehicles specifications'!$B$2:$CK$2,0))</f>
        <v>1.242</v>
      </c>
    </row>
    <row r="270" spans="1:2" x14ac:dyDescent="0.3">
      <c r="A270" t="s">
        <v>135</v>
      </c>
      <c r="B270">
        <f>INDEX('vehicles specifications'!$B$3:$CK$86,MATCH(B262,'vehicles specifications'!$A$3:$A$86,0),MATCH("Energy battery replacement [unit]",'vehicles specifications'!$B$2:$CK$2,0))</f>
        <v>0.25</v>
      </c>
    </row>
    <row r="271" spans="1:2" x14ac:dyDescent="0.3">
      <c r="A271" t="s">
        <v>136</v>
      </c>
      <c r="B271">
        <f>INDEX('vehicles specifications'!$B$3:$CK$86,MATCH(B262,'vehicles specifications'!$A$3:$A$86,0),MATCH("Annual kilometers [km]",'vehicles specifications'!$B$2:$CK$2,0))</f>
        <v>4690</v>
      </c>
    </row>
    <row r="272" spans="1:2" x14ac:dyDescent="0.3">
      <c r="A272" t="s">
        <v>137</v>
      </c>
      <c r="B272" s="2">
        <f>INDEX('vehicles specifications'!$B$3:$CK$86,MATCH(B262,'vehicles specifications'!$A$3:$A$86,0),MATCH("Curb mass [kg]",'vehicles specifications'!$B$2:$CK$2,0))</f>
        <v>162.35</v>
      </c>
    </row>
    <row r="273" spans="1:8" x14ac:dyDescent="0.3">
      <c r="A273" t="s">
        <v>138</v>
      </c>
      <c r="B273">
        <f>INDEX('vehicles specifications'!$B$3:$CK$86,MATCH(B262,'vehicles specifications'!$A$3:$A$86,0),MATCH("Power [kW]",'vehicles specifications'!$B$2:$CK$2,0))</f>
        <v>14</v>
      </c>
    </row>
    <row r="274" spans="1:8" x14ac:dyDescent="0.3">
      <c r="A274" t="s">
        <v>139</v>
      </c>
      <c r="B274">
        <f>INDEX('vehicles specifications'!$B$3:$CK$86,MATCH(B262,'vehicles specifications'!$A$3:$A$86,0),MATCH("Energy battery mass [kg]",'vehicles specifications'!$B$2:$CK$2,0))</f>
        <v>53.4</v>
      </c>
    </row>
    <row r="275" spans="1:8" x14ac:dyDescent="0.3">
      <c r="A275" t="s">
        <v>140</v>
      </c>
      <c r="B275" s="21">
        <f>INDEX('vehicles specifications'!$B$3:$CK$86,MATCH(B262,'vehicles specifications'!$A$3:$A$86,0),MATCH("Electric energy stored [kWh]",'vehicles specifications'!$B$2:$CK$2,0))</f>
        <v>17.8</v>
      </c>
    </row>
    <row r="276" spans="1:8" s="21" customFormat="1" x14ac:dyDescent="0.3">
      <c r="A276" s="21" t="s">
        <v>654</v>
      </c>
      <c r="B276" s="21">
        <f>INDEX('vehicles specifications'!$B$3:$CK$86,MATCH(B262,'vehicles specifications'!$A$3:$A$86,0),MATCH("Electric energy available [kWh]",'vehicles specifications'!$B$2:$CK$2,0))</f>
        <v>14.240000000000002</v>
      </c>
    </row>
    <row r="277" spans="1:8" x14ac:dyDescent="0.3">
      <c r="A277" t="s">
        <v>143</v>
      </c>
      <c r="B277" s="2">
        <f>INDEX('vehicles specifications'!$B$3:$CK$86,MATCH(B262,'vehicles specifications'!$A$3:$A$86,0),MATCH("Oxydation energy stored [kWh]",'vehicles specifications'!$B$2:$CK$2,0))</f>
        <v>0</v>
      </c>
    </row>
    <row r="278" spans="1:8" x14ac:dyDescent="0.3">
      <c r="A278" t="s">
        <v>145</v>
      </c>
      <c r="B278">
        <f>INDEX('vehicles specifications'!$B$3:$CK$86,MATCH(B262,'vehicles specifications'!$A$3:$A$86,0),MATCH("Fuel mass [kg]",'vehicles specifications'!$B$2:$CK$2,0))</f>
        <v>0</v>
      </c>
    </row>
    <row r="279" spans="1:8" x14ac:dyDescent="0.3">
      <c r="A279" t="s">
        <v>141</v>
      </c>
      <c r="B279" s="2">
        <f>INDEX('vehicles specifications'!$B$3:$CK$86,MATCH(B262,'vehicles specifications'!$A$3:$A$86,0),MATCH("Range [km]",'vehicles specifications'!$B$2:$CK$2,0))</f>
        <v>208.08927648351653</v>
      </c>
    </row>
    <row r="280" spans="1:8" x14ac:dyDescent="0.3">
      <c r="A280" t="s">
        <v>142</v>
      </c>
      <c r="B280" t="str">
        <f>INDEX('vehicles specifications'!$B$3:$CK$86,MATCH(B262,'vehicles specifications'!$A$3:$A$86,0),MATCH("Emission standard",'vehicles specifications'!$B$2:$CK$2,0))</f>
        <v>None</v>
      </c>
    </row>
    <row r="281" spans="1:8" x14ac:dyDescent="0.3">
      <c r="A281" t="s">
        <v>144</v>
      </c>
      <c r="B281" s="6">
        <f>INDEX('vehicles specifications'!$B$3:$CK$86,MATCH(B262,'vehicles specifications'!$A$3:$A$86,0),MATCH("Lightweighting rate [%]",'vehicles specifications'!$B$2:$CK$2,0))</f>
        <v>0.05</v>
      </c>
    </row>
    <row r="282" spans="1:8" x14ac:dyDescent="0.3">
      <c r="A282"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"&amp;'lci-kick scooter'!B225</f>
        <v>Power: 14 kW. Lifetime: 62100 km. Annual kilometers: 4690 km. Number of passengers: 1.1. Curb mass: 162.4 kg. Lightweighting of glider: 5%. Emission standard: None. Service visits throughout lifetime: 1.2. Range: 208 km. Battery capacity: 17.8 kWh. Available battery capacity: 14.24 kWh. Battery mass: 53.4 kg. Battery replacement throughout lifetime: 0.3. Fuel tank capacity: 0 kWh. Fuel mass: 0 kg. Documentation: 2021 UVEK life-cycle inventories update of on-road vehicles, Sacchi R. (PSI), Bauer C. (PSI), 2021. 0</v>
      </c>
    </row>
    <row r="283" spans="1:8" ht="15.6" x14ac:dyDescent="0.3">
      <c r="A283" s="11" t="s">
        <v>80</v>
      </c>
    </row>
    <row r="284" spans="1:8" x14ac:dyDescent="0.3">
      <c r="A284" t="s">
        <v>81</v>
      </c>
      <c r="B284" t="s">
        <v>82</v>
      </c>
      <c r="C284" t="s">
        <v>73</v>
      </c>
      <c r="D284" t="s">
        <v>77</v>
      </c>
      <c r="E284" t="s">
        <v>83</v>
      </c>
      <c r="F284" t="s">
        <v>75</v>
      </c>
      <c r="G284" t="s">
        <v>84</v>
      </c>
      <c r="H284" t="s">
        <v>74</v>
      </c>
    </row>
    <row r="285" spans="1:8" x14ac:dyDescent="0.3">
      <c r="A285" s="12" t="str">
        <f>B257</f>
        <v>transport, Motorbike, electric, 11-35kW, 2040</v>
      </c>
      <c r="B285" s="12">
        <v>1</v>
      </c>
      <c r="C285" s="12" t="str">
        <f>B258</f>
        <v>CH</v>
      </c>
      <c r="D285" s="12" t="s">
        <v>172</v>
      </c>
      <c r="E285" s="12"/>
      <c r="F285" s="12" t="s">
        <v>85</v>
      </c>
      <c r="G285" s="12" t="s">
        <v>86</v>
      </c>
      <c r="H285" s="12" t="str">
        <f>B263</f>
        <v>transport, Motorbike, electric, 11-35kW</v>
      </c>
    </row>
    <row r="286" spans="1:8" x14ac:dyDescent="0.3">
      <c r="A286" s="12" t="str">
        <f>RIGHT(A285,LEN(A285)-11)</f>
        <v>Motorbike, electric, 11-35kW, 2040</v>
      </c>
      <c r="B286" s="12">
        <f>1/B267</f>
        <v>1.6103059581320449E-5</v>
      </c>
      <c r="C286" s="12" t="str">
        <f>B258</f>
        <v>CH</v>
      </c>
      <c r="D286" s="12" t="s">
        <v>77</v>
      </c>
      <c r="E286" s="12"/>
      <c r="F286" s="12" t="s">
        <v>91</v>
      </c>
      <c r="G286" s="12"/>
      <c r="H286" s="12" t="str">
        <f>RIGHT(H285,LEN(H285)-11)</f>
        <v>Motorbike, electric, 11-35kW</v>
      </c>
    </row>
    <row r="287" spans="1:8" x14ac:dyDescent="0.3">
      <c r="A287" s="12" t="str">
        <f>INDEX('ei names mapping'!$B$4:$R$33,MATCH(B259,'ei names mapping'!$A$4:$A$33,0),MATCH(G287,'ei names mapping'!$B$3:$R$3,0))</f>
        <v>road maintenance</v>
      </c>
      <c r="B287" s="16">
        <f>INDEX('vehicles specifications'!$B$3:$CK$86,MATCH(B262,'vehicles specifications'!$A$3:$A$86,0),MATCH(G287,'vehicles specifications'!$B$2:$CK$2,0))*INDEX('ei names mapping'!$B$137:$BK$220,MATCH(B262,'ei names mapping'!$A$137:$A$220,0),MATCH(G287,'ei names mapping'!$B$136:$BK$136,0))</f>
        <v>1.2899999999999999E-3</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t="s">
        <v>117</v>
      </c>
      <c r="H287" s="12" t="str">
        <f>INDEX('ei names mapping'!$B$71:$BK$100,MATCH(B259,'ei names mapping'!$A$4:$A$33,0),MATCH(G287,'ei names mapping'!$B$3:$BK$3,0))</f>
        <v>road maintenance</v>
      </c>
    </row>
    <row r="288" spans="1:8" x14ac:dyDescent="0.3">
      <c r="A288" s="12" t="str">
        <f>INDEX('ei names mapping'!$B$4:$R$33,MATCH(B259,'ei names mapping'!$A$4:$A$33,0),MATCH(G288,'ei names mapping'!$B$3:$R$3,0))</f>
        <v>market for electricity, low voltage</v>
      </c>
      <c r="B288" s="14">
        <f>INDEX('vehicles specifications'!$B$3:$CK$86,MATCH(B262,'vehicles specifications'!$A$3:$A$86,0),MATCH(G288,'vehicles specifications'!$B$2:$CK$2,0))*INDEX('ei names mapping'!$B$137:$BK$220,MATCH(B262,'ei names mapping'!$A$137:$A$220,0),MATCH(G288,'ei names mapping'!$B$136:$BK$136,0))</f>
        <v>7.5275383069731625E-2</v>
      </c>
      <c r="C288" s="12" t="str">
        <f>INDEX('ei names mapping'!$B$38:$R$67,MATCH($B$3,'ei names mapping'!$A$4:$A$33,0),MATCH(G288,'ei names mapping'!$B$3:$R$3,0))</f>
        <v>CH</v>
      </c>
      <c r="D288" s="12" t="str">
        <f>INDEX('ei names mapping'!$B$104:$R$133,MATCH($B$3,'ei names mapping'!$A$4:$A$33,0),MATCH(G288,'ei names mapping'!$B$3:$R$3,0))</f>
        <v>kilowatt hour</v>
      </c>
      <c r="E288" s="12"/>
      <c r="F288" s="12" t="s">
        <v>91</v>
      </c>
      <c r="G288" t="s">
        <v>28</v>
      </c>
      <c r="H288" s="12" t="str">
        <f>INDEX('ei names mapping'!$B$71:$R$100,MATCH(B259,'ei names mapping'!$A$4:$A$33,0),MATCH(G288,'ei names mapping'!$B$3:$R$3,0))</f>
        <v>electricity, low voltage</v>
      </c>
    </row>
    <row r="289" spans="1:8" x14ac:dyDescent="0.3">
      <c r="A289" s="12" t="str">
        <f>INDEX('ei names mapping'!$B$4:$R$33,MATCH(B259,'ei names mapping'!$A$4:$A$33,0),MATCH(G289,'ei names mapping'!$B$3:$R$3,0))</f>
        <v>market for maintenance, electric scooter, without battery</v>
      </c>
      <c r="B289" s="16">
        <f>INDEX('vehicles specifications'!$B$3:$CK$86,MATCH(B262,'vehicles specifications'!$A$3:$A$86,0),MATCH(G289,'vehicles specifications'!$B$2:$CK$2,0))*INDEX('ei names mapping'!$B$137:$BK$220,MATCH(B262,'ei names mapping'!$A$137:$A$220,0),MATCH(G289,'ei names mapping'!$B$136:$BK$136,0))</f>
        <v>1.9999999999999998E-5</v>
      </c>
      <c r="C289" s="12" t="str">
        <f>INDEX('ei names mapping'!$B$38:$BK$67,MATCH(B259,'ei names mapping'!$A$4:$A$33,0),MATCH(G289,'ei names mapping'!$B$3:$BK$3,0))</f>
        <v>GLO</v>
      </c>
      <c r="D289" s="12" t="str">
        <f>INDEX('ei names mapping'!$B$104:$BK$133,MATCH(B259,'ei names mapping'!$A$4:$A$33,0),MATCH(G289,'ei names mapping'!$B$3:$BK$3,0))</f>
        <v>unit</v>
      </c>
      <c r="F289" s="12" t="s">
        <v>91</v>
      </c>
      <c r="G289" s="12" t="s">
        <v>123</v>
      </c>
      <c r="H289" s="12" t="str">
        <f>INDEX('ei names mapping'!$B$71:$BK$100,MATCH(B259,'ei names mapping'!$A$4:$A$33,0),MATCH(G289,'ei names mapping'!$B$3:$BK$3,0))</f>
        <v>maintenance, electric scooter, without battery</v>
      </c>
    </row>
    <row r="290" spans="1:8" s="21" customFormat="1" x14ac:dyDescent="0.3">
      <c r="A290" s="12" t="str">
        <f>INDEX('ei names mapping'!$B$4:$R$33,MATCH(B259,'ei names mapping'!$A$4:$A$33,0),MATCH(G290,'ei names mapping'!$B$3:$R$3,0))</f>
        <v>road construction</v>
      </c>
      <c r="B290" s="16">
        <f>INDEX('vehicles specifications'!$B$3:$CK$86,MATCH(B262,'vehicles specifications'!$A$3:$A$86,0),MATCH(G290,'vehicles specifications'!$B$2:$CK$2,0))*INDEX('ei names mapping'!$B$137:$BK$220,MATCH(B262,'ei names mapping'!$A$137:$A$220,0),MATCH(G290,'ei names mapping'!$B$136:$BK$136,0))</f>
        <v>1.3175295000000001E-4</v>
      </c>
      <c r="C290" s="12" t="str">
        <f>INDEX('ei names mapping'!$B$38:$R$67,MATCH(B259,'ei names mapping'!$A$4:$A$33,0),MATCH(G290,'ei names mapping'!$B$3:$R$3,0))</f>
        <v>CH</v>
      </c>
      <c r="D290" s="12" t="str">
        <f>INDEX('ei names mapping'!$B$104:$R$133,MATCH(B259,'ei names mapping'!$A$104:$A$133,0),MATCH(G290,'ei names mapping'!$B$3:$R$3,0))</f>
        <v>meter-year</v>
      </c>
      <c r="E290" s="12"/>
      <c r="F290" s="12" t="s">
        <v>91</v>
      </c>
      <c r="G290" s="21" t="s">
        <v>108</v>
      </c>
      <c r="H290" s="12" t="str">
        <f>INDEX('ei names mapping'!$B$71:$R$100,MATCH(B259,'ei names mapping'!$A$4:$A$33,0),MATCH(G290,'ei names mapping'!$B$3:$R$3,0))</f>
        <v>road</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-7.3669999999999991E-6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-4.1749999999999998E-6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Motorbike, electric, 11-35kW, 2050</v>
      </c>
    </row>
    <row r="296" spans="1:8" x14ac:dyDescent="0.3">
      <c r="A296" t="s">
        <v>73</v>
      </c>
      <c r="B296" t="s">
        <v>37</v>
      </c>
    </row>
    <row r="297" spans="1:8" x14ac:dyDescent="0.3">
      <c r="A297" t="s">
        <v>87</v>
      </c>
      <c r="B297" t="s">
        <v>522</v>
      </c>
    </row>
    <row r="298" spans="1:8" x14ac:dyDescent="0.3">
      <c r="A298" t="s">
        <v>88</v>
      </c>
      <c r="B298" s="12"/>
    </row>
    <row r="299" spans="1:8" x14ac:dyDescent="0.3">
      <c r="A299" t="s">
        <v>89</v>
      </c>
      <c r="B299" s="12">
        <v>2050</v>
      </c>
    </row>
    <row r="300" spans="1:8" x14ac:dyDescent="0.3">
      <c r="A300" t="s">
        <v>131</v>
      </c>
      <c r="B300" s="12" t="str">
        <f>B297&amp;" - "&amp;B299&amp;" - "&amp;B296</f>
        <v>Motorbike, electric, 11-35kW - 2050 - CH</v>
      </c>
    </row>
    <row r="301" spans="1:8" x14ac:dyDescent="0.3">
      <c r="A301" t="s">
        <v>74</v>
      </c>
      <c r="B301" s="12" t="str">
        <f>"transport, "&amp;B297</f>
        <v>transport, Motorbike, electric, 11-35kW</v>
      </c>
    </row>
    <row r="302" spans="1:8" x14ac:dyDescent="0.3">
      <c r="A302" t="s">
        <v>75</v>
      </c>
      <c r="B302" t="s">
        <v>76</v>
      </c>
    </row>
    <row r="303" spans="1:8" x14ac:dyDescent="0.3">
      <c r="A303" t="s">
        <v>77</v>
      </c>
      <c r="B303" t="s">
        <v>172</v>
      </c>
    </row>
    <row r="304" spans="1:8" x14ac:dyDescent="0.3">
      <c r="A304" t="s">
        <v>79</v>
      </c>
      <c r="B304" t="s">
        <v>90</v>
      </c>
    </row>
    <row r="305" spans="1:2" x14ac:dyDescent="0.3">
      <c r="A305" t="s">
        <v>132</v>
      </c>
      <c r="B305">
        <f>INDEX('vehicles specifications'!$B$3:$CK$86,MATCH(B300,'vehicles specifications'!$A$3:$A$86,0),MATCH("Lifetime [km]",'vehicles specifications'!$B$2:$CK$2,0))</f>
        <v>62100</v>
      </c>
    </row>
    <row r="306" spans="1:2" x14ac:dyDescent="0.3">
      <c r="A306" t="s">
        <v>133</v>
      </c>
      <c r="B306">
        <f>INDEX('vehicles specifications'!$B$3:$CK$86,MATCH(B300,'vehicles specifications'!$A$3:$A$86,0),MATCH("Passengers [unit]",'vehicles specifications'!$B$2:$CK$2,0))</f>
        <v>1.1000000000000001</v>
      </c>
    </row>
    <row r="307" spans="1:2" x14ac:dyDescent="0.3">
      <c r="A307" t="s">
        <v>134</v>
      </c>
      <c r="B307">
        <f>INDEX('vehicles specifications'!$B$3:$CK$86,MATCH(B300,'vehicles specifications'!$A$3:$A$86,0),MATCH("Servicing [unit]",'vehicles specifications'!$B$2:$CK$2,0))</f>
        <v>1.242</v>
      </c>
    </row>
    <row r="308" spans="1:2" x14ac:dyDescent="0.3">
      <c r="A308" t="s">
        <v>135</v>
      </c>
      <c r="B308">
        <f>INDEX('vehicles specifications'!$B$3:$CK$86,MATCH(B300,'vehicles specifications'!$A$3:$A$86,0),MATCH("Energy battery replacement [unit]",'vehicles specifications'!$B$2:$CK$2,0))</f>
        <v>0</v>
      </c>
    </row>
    <row r="309" spans="1:2" x14ac:dyDescent="0.3">
      <c r="A309" t="s">
        <v>136</v>
      </c>
      <c r="B309">
        <f>INDEX('vehicles specifications'!$B$3:$CK$86,MATCH(B300,'vehicles specifications'!$A$3:$A$86,0),MATCH("Annual kilometers [km]",'vehicles specifications'!$B$2:$CK$2,0))</f>
        <v>4690</v>
      </c>
    </row>
    <row r="310" spans="1:2" x14ac:dyDescent="0.3">
      <c r="A310" t="s">
        <v>137</v>
      </c>
      <c r="B310" s="2">
        <f>INDEX('vehicles specifications'!$B$3:$CK$86,MATCH(B300,'vehicles specifications'!$A$3:$A$86,0),MATCH("Curb mass [kg]",'vehicles specifications'!$B$2:$CK$2,0))</f>
        <v>162.05000000000001</v>
      </c>
    </row>
    <row r="311" spans="1:2" x14ac:dyDescent="0.3">
      <c r="A311" t="s">
        <v>138</v>
      </c>
      <c r="B311">
        <f>INDEX('vehicles specifications'!$B$3:$CK$86,MATCH(B300,'vehicles specifications'!$A$3:$A$86,0),MATCH("Power [kW]",'vehicles specifications'!$B$2:$CK$2,0))</f>
        <v>14</v>
      </c>
    </row>
    <row r="312" spans="1:2" x14ac:dyDescent="0.3">
      <c r="A312" t="s">
        <v>139</v>
      </c>
      <c r="B312">
        <f>INDEX('vehicles specifications'!$B$3:$CK$86,MATCH(B300,'vehicles specifications'!$A$3:$A$86,0),MATCH("Energy battery mass [kg]",'vehicles specifications'!$B$2:$CK$2,0))</f>
        <v>54.72</v>
      </c>
    </row>
    <row r="313" spans="1:2" x14ac:dyDescent="0.3">
      <c r="A313" t="s">
        <v>140</v>
      </c>
      <c r="B313" s="21">
        <f>INDEX('vehicles specifications'!$B$3:$CK$86,MATCH(B300,'vehicles specifications'!$A$3:$A$86,0),MATCH("Electric energy stored [kWh]",'vehicles specifications'!$B$2:$CK$2,0))</f>
        <v>22.8</v>
      </c>
    </row>
    <row r="314" spans="1:2" s="21" customFormat="1" x14ac:dyDescent="0.3">
      <c r="A314" s="21" t="s">
        <v>654</v>
      </c>
      <c r="B314" s="21">
        <f>INDEX('vehicles specifications'!$B$3:$CK$86,MATCH(B300,'vehicles specifications'!$A$3:$A$86,0),MATCH("Electric energy available [kWh]",'vehicles specifications'!$B$2:$CK$2,0))</f>
        <v>18.240000000000002</v>
      </c>
    </row>
    <row r="315" spans="1:2" x14ac:dyDescent="0.3">
      <c r="A315" t="s">
        <v>143</v>
      </c>
      <c r="B315" s="2">
        <f>INDEX('vehicles specifications'!$B$3:$CK$86,MATCH(B300,'vehicles specifications'!$A$3:$A$86,0),MATCH("Oxydation energy stored [kWh]",'vehicles specifications'!$B$2:$CK$2,0))</f>
        <v>0</v>
      </c>
    </row>
    <row r="316" spans="1:2" x14ac:dyDescent="0.3">
      <c r="A316" t="s">
        <v>145</v>
      </c>
      <c r="B316">
        <f>INDEX('vehicles specifications'!$B$3:$CK$86,MATCH(B300,'vehicles specifications'!$A$3:$A$86,0),MATCH("Fuel mass [kg]",'vehicles specifications'!$B$2:$CK$2,0))</f>
        <v>0</v>
      </c>
    </row>
    <row r="317" spans="1:2" x14ac:dyDescent="0.3">
      <c r="A317" t="s">
        <v>141</v>
      </c>
      <c r="B317" s="2">
        <f>INDEX('vehicles specifications'!$B$3:$CK$86,MATCH(B300,'vehicles specifications'!$A$3:$A$86,0),MATCH("Range [km]",'vehicles specifications'!$B$2:$CK$2,0))</f>
        <v>266.54132043956048</v>
      </c>
    </row>
    <row r="318" spans="1:2" x14ac:dyDescent="0.3">
      <c r="A318" t="s">
        <v>142</v>
      </c>
      <c r="B318" t="str">
        <f>INDEX('vehicles specifications'!$B$3:$CK$86,MATCH(B300,'vehicles specifications'!$A$3:$A$86,0),MATCH("Emission standard",'vehicles specifications'!$B$2:$CK$2,0))</f>
        <v>None</v>
      </c>
    </row>
    <row r="319" spans="1:2" x14ac:dyDescent="0.3">
      <c r="A319" t="s">
        <v>144</v>
      </c>
      <c r="B319" s="6">
        <f>INDEX('vehicles specifications'!$B$3:$CK$86,MATCH(B300,'vehicles specifications'!$A$3:$A$86,0),MATCH("Lightweighting rate [%]",'vehicles specifications'!$B$2:$CK$2,0))</f>
        <v>7.0000000000000007E-2</v>
      </c>
    </row>
    <row r="320" spans="1:2" x14ac:dyDescent="0.3">
      <c r="A320"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"&amp;'lci-kick scooter'!B263</f>
        <v>Power: 14 kW. Lifetime: 62100 km. Annual kilometers: 4690 km. Number of passengers: 1.1. Curb mass: 162.1 kg. Lightweighting of glider: 7%. Emission standard: None. Service visits throughout lifetime: 1.2. Range: 267 km. Battery capacity: 22.8 kWh. Available battery capacity: 18.24 kWh. Battery mass: 54.7 kg. Battery replacement throughout lifetime: 0. Fuel tank capacity: 0 kWh. Fuel mass: 0 kg. Documentation: 2021 UVEK life-cycle inventories update of on-road vehicles, Sacchi R. (PSI), Bauer C. (PSI), 2021. 890</v>
      </c>
    </row>
    <row r="321" spans="1:8" ht="15.6" x14ac:dyDescent="0.3">
      <c r="A321" s="11" t="s">
        <v>80</v>
      </c>
    </row>
    <row r="322" spans="1:8" x14ac:dyDescent="0.3">
      <c r="A322" t="s">
        <v>81</v>
      </c>
      <c r="B322" t="s">
        <v>82</v>
      </c>
      <c r="C322" t="s">
        <v>73</v>
      </c>
      <c r="D322" t="s">
        <v>77</v>
      </c>
      <c r="E322" t="s">
        <v>83</v>
      </c>
      <c r="F322" t="s">
        <v>75</v>
      </c>
      <c r="G322" t="s">
        <v>84</v>
      </c>
      <c r="H322" t="s">
        <v>74</v>
      </c>
    </row>
    <row r="323" spans="1:8" x14ac:dyDescent="0.3">
      <c r="A323" s="12" t="str">
        <f>B295</f>
        <v>transport, Motorbike, electric, 11-35kW, 2050</v>
      </c>
      <c r="B323" s="12">
        <v>1</v>
      </c>
      <c r="C323" s="12" t="str">
        <f>B296</f>
        <v>CH</v>
      </c>
      <c r="D323" s="12" t="s">
        <v>172</v>
      </c>
      <c r="E323" s="12"/>
      <c r="F323" s="12" t="s">
        <v>85</v>
      </c>
      <c r="G323" s="12" t="s">
        <v>86</v>
      </c>
      <c r="H323" s="12" t="str">
        <f>B301</f>
        <v>transport, Motorbike, electric, 11-35kW</v>
      </c>
    </row>
    <row r="324" spans="1:8" x14ac:dyDescent="0.3">
      <c r="A324" s="12" t="str">
        <f>RIGHT(A323,LEN(A323)-11)</f>
        <v>Motorbike, electric, 11-35kW, 2050</v>
      </c>
      <c r="B324" s="12">
        <f>1/B305</f>
        <v>1.6103059581320449E-5</v>
      </c>
      <c r="C324" s="12" t="str">
        <f>B296</f>
        <v>CH</v>
      </c>
      <c r="D324" s="12" t="s">
        <v>77</v>
      </c>
      <c r="E324" s="12"/>
      <c r="F324" s="12" t="s">
        <v>91</v>
      </c>
      <c r="G324" s="12"/>
      <c r="H324" s="12" t="str">
        <f>RIGHT(H323,LEN(H323)-11)</f>
        <v>Motorbike, electric, 11-35kW</v>
      </c>
    </row>
    <row r="325" spans="1:8" x14ac:dyDescent="0.3">
      <c r="A325" s="12" t="str">
        <f>INDEX('ei names mapping'!$B$4:$R$33,MATCH(B297,'ei names mapping'!$A$4:$A$33,0),MATCH(G325,'ei names mapping'!$B$3:$R$3,0))</f>
        <v>road maintenance</v>
      </c>
      <c r="B325" s="16">
        <f>INDEX('vehicles specifications'!$B$3:$CK$86,MATCH(B300,'vehicles specifications'!$A$3:$A$86,0),MATCH(G325,'vehicles specifications'!$B$2:$CK$2,0))*INDEX('ei names mapping'!$B$137:$BK$220,MATCH(B300,'ei names mapping'!$A$137:$A$220,0),MATCH(G325,'ei names mapping'!$B$136:$BK$136,0))</f>
        <v>1.2899999999999999E-3</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t="s">
        <v>117</v>
      </c>
      <c r="H325" s="12" t="str">
        <f>INDEX('ei names mapping'!$B$71:$BK$100,MATCH(B297,'ei names mapping'!$A$4:$A$33,0),MATCH(G325,'ei names mapping'!$B$3:$BK$3,0))</f>
        <v>road maintenance</v>
      </c>
    </row>
    <row r="326" spans="1:8" x14ac:dyDescent="0.3">
      <c r="A326" s="12" t="str">
        <f>INDEX('ei names mapping'!$B$4:$R$33,MATCH(B297,'ei names mapping'!$A$4:$A$33,0),MATCH(G326,'ei names mapping'!$B$3:$R$3,0))</f>
        <v>market for electricity, low voltage</v>
      </c>
      <c r="B326" s="14">
        <f>INDEX('vehicles specifications'!$B$3:$CK$86,MATCH(B300,'vehicles specifications'!$A$3:$A$86,0),MATCH(G326,'vehicles specifications'!$B$2:$CK$2,0))*INDEX('ei names mapping'!$B$137:$BK$220,MATCH(B300,'ei names mapping'!$A$137:$A$220,0),MATCH(G326,'ei names mapping'!$B$136:$BK$136,0))</f>
        <v>7.5275383069731625E-2</v>
      </c>
      <c r="C326" s="12" t="str">
        <f>INDEX('ei names mapping'!$B$38:$R$67,MATCH($B$3,'ei names mapping'!$A$4:$A$33,0),MATCH(G326,'ei names mapping'!$B$3:$R$3,0))</f>
        <v>CH</v>
      </c>
      <c r="D326" s="12" t="str">
        <f>INDEX('ei names mapping'!$B$104:$R$133,MATCH($B$3,'ei names mapping'!$A$4:$A$33,0),MATCH(G326,'ei names mapping'!$B$3:$R$3,0))</f>
        <v>kilowatt hour</v>
      </c>
      <c r="E326" s="12"/>
      <c r="F326" s="12" t="s">
        <v>91</v>
      </c>
      <c r="G326" t="s">
        <v>28</v>
      </c>
      <c r="H326" s="12" t="str">
        <f>INDEX('ei names mapping'!$B$71:$R$100,MATCH(B297,'ei names mapping'!$A$4:$A$33,0),MATCH(G326,'ei names mapping'!$B$3:$R$3,0))</f>
        <v>electricity, low voltage</v>
      </c>
    </row>
    <row r="327" spans="1:8" x14ac:dyDescent="0.3">
      <c r="A327" s="12" t="str">
        <f>INDEX('ei names mapping'!$B$4:$R$33,MATCH(B297,'ei names mapping'!$A$4:$A$33,0),MATCH(G327,'ei names mapping'!$B$3:$R$3,0))</f>
        <v>market for maintenance, electric scooter, without battery</v>
      </c>
      <c r="B327" s="16">
        <f>INDEX('vehicles specifications'!$B$3:$CK$86,MATCH(B300,'vehicles specifications'!$A$3:$A$86,0),MATCH(G327,'vehicles specifications'!$B$2:$CK$2,0))*INDEX('ei names mapping'!$B$137:$BK$220,MATCH(B300,'ei names mapping'!$A$137:$A$220,0),MATCH(G327,'ei names mapping'!$B$136:$BK$136,0))</f>
        <v>1.9999999999999998E-5</v>
      </c>
      <c r="C327" s="12" t="str">
        <f>INDEX('ei names mapping'!$B$38:$BK$67,MATCH(B297,'ei names mapping'!$A$4:$A$33,0),MATCH(G327,'ei names mapping'!$B$3:$BK$3,0))</f>
        <v>GLO</v>
      </c>
      <c r="D327" s="12" t="str">
        <f>INDEX('ei names mapping'!$B$104:$BK$133,MATCH(B297,'ei names mapping'!$A$4:$A$33,0),MATCH(G327,'ei names mapping'!$B$3:$BK$3,0))</f>
        <v>unit</v>
      </c>
      <c r="F327" s="12" t="s">
        <v>91</v>
      </c>
      <c r="G327" s="12" t="s">
        <v>123</v>
      </c>
      <c r="H327" s="12" t="str">
        <f>INDEX('ei names mapping'!$B$71:$BK$100,MATCH(B297,'ei names mapping'!$A$4:$A$33,0),MATCH(G327,'ei names mapping'!$B$3:$BK$3,0))</f>
        <v>maintenance, electric scooter, without battery</v>
      </c>
    </row>
    <row r="328" spans="1:8" s="21" customFormat="1" x14ac:dyDescent="0.3">
      <c r="A328" s="12" t="str">
        <f>INDEX('ei names mapping'!$B$4:$R$33,MATCH(B297,'ei names mapping'!$A$4:$A$33,0),MATCH(G328,'ei names mapping'!$B$3:$R$3,0))</f>
        <v>road construction</v>
      </c>
      <c r="B328" s="16">
        <f>INDEX('vehicles specifications'!$B$3:$CK$86,MATCH(B300,'vehicles specifications'!$A$3:$A$86,0),MATCH(G328,'vehicles specifications'!$B$2:$CK$2,0))*INDEX('ei names mapping'!$B$137:$BK$220,MATCH(B300,'ei names mapping'!$A$137:$A$220,0),MATCH(G328,'ei names mapping'!$B$136:$BK$136,0))</f>
        <v>1.3159185000000001E-4</v>
      </c>
      <c r="C328" s="12" t="str">
        <f>INDEX('ei names mapping'!$B$38:$R$67,MATCH(B297,'ei names mapping'!$A$4:$A$33,0),MATCH(G328,'ei names mapping'!$B$3:$R$3,0))</f>
        <v>CH</v>
      </c>
      <c r="D328" s="12" t="str">
        <f>INDEX('ei names mapping'!$B$104:$R$133,MATCH(B297,'ei names mapping'!$A$104:$A$133,0),MATCH(G328,'ei names mapping'!$B$3:$R$3,0))</f>
        <v>meter-year</v>
      </c>
      <c r="E328" s="12"/>
      <c r="F328" s="12" t="s">
        <v>91</v>
      </c>
      <c r="G328" s="21" t="s">
        <v>108</v>
      </c>
      <c r="H328" s="12" t="str">
        <f>INDEX('ei names mapping'!$B$71:$R$100,MATCH(B297,'ei names mapping'!$A$4:$A$33,0),MATCH(G328,'ei names mapping'!$B$3:$R$3,0))</f>
        <v>road</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-7.3669999999999991E-6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-4.1749999999999998E-6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t="s">
        <v>31</v>
      </c>
      <c r="H331" s="12" t="str">
        <f>INDEX('ei names mapping'!$B$71:$BK$100,MATCH(B297,'ei names mapping'!$A$4:$A$33,0),MATCH(G331,'ei names mapping'!$B$3:$BK$3,0))</f>
        <v>brake wear emissions, passenger car</v>
      </c>
    </row>
    <row r="333" spans="1:8" ht="15.6" x14ac:dyDescent="0.3">
      <c r="A333" s="11" t="s">
        <v>72</v>
      </c>
      <c r="B333" s="9" t="str">
        <f>"transport, "&amp;B335&amp;", "&amp;B337&amp;", label-certified electricity"</f>
        <v>transport, Motorbike, electric, 11-35kW, 2020, label-certified electricity</v>
      </c>
    </row>
    <row r="334" spans="1:8" x14ac:dyDescent="0.3">
      <c r="A334" t="s">
        <v>73</v>
      </c>
      <c r="B334" t="s">
        <v>37</v>
      </c>
    </row>
    <row r="335" spans="1:8" x14ac:dyDescent="0.3">
      <c r="A335" t="s">
        <v>87</v>
      </c>
      <c r="B335" t="s">
        <v>522</v>
      </c>
    </row>
    <row r="336" spans="1:8" x14ac:dyDescent="0.3">
      <c r="A336" t="s">
        <v>88</v>
      </c>
      <c r="B336" s="12"/>
    </row>
    <row r="337" spans="1:2" x14ac:dyDescent="0.3">
      <c r="A337" t="s">
        <v>89</v>
      </c>
      <c r="B337" s="12">
        <v>2020</v>
      </c>
    </row>
    <row r="338" spans="1:2" x14ac:dyDescent="0.3">
      <c r="A338" t="s">
        <v>131</v>
      </c>
      <c r="B338" s="12" t="str">
        <f>B335&amp;" - "&amp;B337&amp;" - "&amp;B334</f>
        <v>Motorbike, electric, 11-35kW - 2020 - CH</v>
      </c>
    </row>
    <row r="339" spans="1:2" x14ac:dyDescent="0.3">
      <c r="A339" t="s">
        <v>74</v>
      </c>
      <c r="B339" s="12" t="str">
        <f>"transport, "&amp;B335</f>
        <v>transport, Motorbike, electric, 11-35kW</v>
      </c>
    </row>
    <row r="340" spans="1:2" x14ac:dyDescent="0.3">
      <c r="A340" t="s">
        <v>75</v>
      </c>
      <c r="B340" t="s">
        <v>76</v>
      </c>
    </row>
    <row r="341" spans="1:2" x14ac:dyDescent="0.3">
      <c r="A341" t="s">
        <v>77</v>
      </c>
      <c r="B341" t="s">
        <v>172</v>
      </c>
    </row>
    <row r="342" spans="1:2" x14ac:dyDescent="0.3">
      <c r="A342" t="s">
        <v>79</v>
      </c>
      <c r="B342" t="s">
        <v>90</v>
      </c>
    </row>
    <row r="343" spans="1:2" x14ac:dyDescent="0.3">
      <c r="A343" t="s">
        <v>132</v>
      </c>
      <c r="B343">
        <f>INDEX('vehicles specifications'!$B$3:$CK$86,MATCH(B338,'vehicles specifications'!$A$3:$A$86,0),MATCH("Lifetime [km]",'vehicles specifications'!$B$2:$CK$2,0))</f>
        <v>62100</v>
      </c>
    </row>
    <row r="344" spans="1:2" x14ac:dyDescent="0.3">
      <c r="A344" t="s">
        <v>133</v>
      </c>
      <c r="B344">
        <f>INDEX('vehicles specifications'!$B$3:$CK$86,MATCH(B338,'vehicles specifications'!$A$3:$A$86,0),MATCH("Passengers [unit]",'vehicles specifications'!$B$2:$CK$2,0))</f>
        <v>1.1000000000000001</v>
      </c>
    </row>
    <row r="345" spans="1:2" x14ac:dyDescent="0.3">
      <c r="A345" t="s">
        <v>134</v>
      </c>
      <c r="B345">
        <f>INDEX('vehicles specifications'!$B$3:$CK$86,MATCH(B338,'vehicles specifications'!$A$3:$A$86,0),MATCH("Servicing [unit]",'vehicles specifications'!$B$2:$CK$2,0))</f>
        <v>1.242</v>
      </c>
    </row>
    <row r="346" spans="1:2" x14ac:dyDescent="0.3">
      <c r="A346" t="s">
        <v>135</v>
      </c>
      <c r="B346">
        <f>INDEX('vehicles specifications'!$B$3:$CK$86,MATCH(B338,'vehicles specifications'!$A$3:$A$86,0),MATCH("Energy battery replacement [unit]",'vehicles specifications'!$B$2:$CK$2,0))</f>
        <v>1</v>
      </c>
    </row>
    <row r="347" spans="1:2" x14ac:dyDescent="0.3">
      <c r="A347" t="s">
        <v>136</v>
      </c>
      <c r="B347">
        <f>INDEX('vehicles specifications'!$B$3:$CK$86,MATCH(B338,'vehicles specifications'!$A$3:$A$86,0),MATCH("Annual kilometers [km]",'vehicles specifications'!$B$2:$CK$2,0))</f>
        <v>4690</v>
      </c>
    </row>
    <row r="348" spans="1:2" x14ac:dyDescent="0.3">
      <c r="A348" t="s">
        <v>137</v>
      </c>
      <c r="B348" s="2">
        <f>INDEX('vehicles specifications'!$B$3:$CK$86,MATCH(B338,'vehicles specifications'!$A$3:$A$86,0),MATCH("Curb mass [kg]",'vehicles specifications'!$B$2:$CK$2,0))</f>
        <v>161.6</v>
      </c>
    </row>
    <row r="349" spans="1:2" x14ac:dyDescent="0.3">
      <c r="A349" t="s">
        <v>138</v>
      </c>
      <c r="B349">
        <f>INDEX('vehicles specifications'!$B$3:$CK$86,MATCH(B338,'vehicles specifications'!$A$3:$A$86,0),MATCH("Power [kW]",'vehicles specifications'!$B$2:$CK$2,0))</f>
        <v>14</v>
      </c>
    </row>
    <row r="350" spans="1:2" x14ac:dyDescent="0.3">
      <c r="A350" t="s">
        <v>139</v>
      </c>
      <c r="B350">
        <f>INDEX('vehicles specifications'!$B$3:$CK$86,MATCH(B338,'vehicles specifications'!$A$3:$A$86,0),MATCH("Energy battery mass [kg]",'vehicles specifications'!$B$2:$CK$2,0))</f>
        <v>48.599999999999994</v>
      </c>
    </row>
    <row r="351" spans="1:2" x14ac:dyDescent="0.3">
      <c r="A351" t="s">
        <v>140</v>
      </c>
      <c r="B351" s="21">
        <f>INDEX('vehicles specifications'!$B$3:$CK$86,MATCH(B338,'vehicles specifications'!$A$3:$A$86,0),MATCH("Electric energy stored [kWh]",'vehicles specifications'!$B$2:$CK$2,0))</f>
        <v>8.1</v>
      </c>
    </row>
    <row r="352" spans="1:2" s="21" customFormat="1" x14ac:dyDescent="0.3">
      <c r="A352" s="21" t="s">
        <v>654</v>
      </c>
      <c r="B352" s="21">
        <f>INDEX('vehicles specifications'!$B$3:$CK$86,MATCH(B338,'vehicles specifications'!$A$3:$A$86,0),MATCH("Electric energy available [kWh]",'vehicles specifications'!$B$2:$CK$2,0))</f>
        <v>6.48</v>
      </c>
    </row>
    <row r="353" spans="1:8" x14ac:dyDescent="0.3">
      <c r="A353" t="s">
        <v>143</v>
      </c>
      <c r="B353" s="2">
        <f>INDEX('vehicles specifications'!$B$3:$CK$86,MATCH(B338,'vehicles specifications'!$A$3:$A$86,0),MATCH("Oxydation energy stored [kWh]",'vehicles specifications'!$B$2:$CK$2,0))</f>
        <v>0</v>
      </c>
    </row>
    <row r="354" spans="1:8" x14ac:dyDescent="0.3">
      <c r="A354" t="s">
        <v>145</v>
      </c>
      <c r="B354">
        <f>INDEX('vehicles specifications'!$B$3:$CK$86,MATCH(B338,'vehicles specifications'!$A$3:$A$86,0),MATCH("Fuel mass [kg]",'vehicles specifications'!$B$2:$CK$2,0))</f>
        <v>0</v>
      </c>
    </row>
    <row r="355" spans="1:8" x14ac:dyDescent="0.3">
      <c r="A355" t="s">
        <v>141</v>
      </c>
      <c r="B355" s="2">
        <f>INDEX('vehicles specifications'!$B$3:$CK$86,MATCH(B338,'vehicles specifications'!$A$3:$A$86,0),MATCH("Range [km]",'vehicles specifications'!$B$2:$CK$2,0))</f>
        <v>94.692311208791224</v>
      </c>
    </row>
    <row r="356" spans="1:8" x14ac:dyDescent="0.3">
      <c r="A356" t="s">
        <v>142</v>
      </c>
      <c r="B356" t="str">
        <f>INDEX('vehicles specifications'!$B$3:$CK$86,MATCH(B338,'vehicles specifications'!$A$3:$A$86,0),MATCH("Emission standard",'vehicles specifications'!$B$2:$CK$2,0))</f>
        <v>None</v>
      </c>
    </row>
    <row r="357" spans="1:8" x14ac:dyDescent="0.3">
      <c r="A357" t="s">
        <v>144</v>
      </c>
      <c r="B357" s="6">
        <f>INDEX('vehicles specifications'!$B$3:$CK$86,MATCH(B338,'vehicles specifications'!$A$3:$A$86,0),MATCH("Lightweighting rate [%]",'vehicles specifications'!$B$2:$CK$2,0))</f>
        <v>0</v>
      </c>
    </row>
    <row r="358" spans="1:8" x14ac:dyDescent="0.3">
      <c r="A358" t="s">
        <v>84</v>
      </c>
      <c r="B358" s="21" t="str">
        <f>"Power: "&amp;B349&amp;" kW. Lifetime: "&amp;B343&amp;" km. Annual kilometers: "&amp;B347&amp;" km. Number of passengers: "&amp;B344&amp;". Curb mass: "&amp;ROUND(B348,1)&amp;" kg. Lightweighting of glider: "&amp;ROUND(B357*100,0)&amp;"%. Emission standard: "&amp;B356&amp;". Service visits throughout lifetime: "&amp;ROUND(B345,1)&amp;". Range: "&amp;ROUND(B355,0)&amp;" km. Battery capacity: "&amp;ROUND(B351,1)&amp;" kWh. Available battery capacity: "&amp;B352&amp;" kWh. Battery mass: "&amp;ROUND(B350,1)&amp; " kg. Battery replacement throughout lifetime: "&amp;ROUND(B346,1)&amp;". Fuel tank capacity: "&amp;ROUND(B353,1)&amp;" kWh. Fuel mass: "&amp;ROUND(B354,1)&amp;" kg. Documentation: "&amp;Readmefirst!$B$2&amp;", "&amp;Readmefirst!$B$3&amp;". "&amp;'lci-kick scooter'!B301</f>
        <v>Power: 14 kW. Lifetime: 62100 km. Annual kilometers: 4690 km. Number of passengers: 1.1. Curb mass: 161.6 kg. Lightweighting of glider: 0%. Emission standard: None. Service visits throughout lifetime: 1.2. Range: 95 km. Battery capacity: 8.1 kWh. Available battery capacity: 6.48 kWh. Battery mass: 48.6 kg. Battery replacement throughout lifetime: 1. Fuel tank capacity: 0 kWh. Fuel mass: 0 kg. Documentation: 2021 UVEK life-cycle inventories update of on-road vehicles, Sacchi R. (PSI), Bauer C. (PSI), 2021. 11.81</v>
      </c>
    </row>
    <row r="359" spans="1:8" ht="15.6" x14ac:dyDescent="0.3">
      <c r="A359" s="11" t="s">
        <v>80</v>
      </c>
    </row>
    <row r="360" spans="1:8" x14ac:dyDescent="0.3">
      <c r="A360" t="s">
        <v>81</v>
      </c>
      <c r="B360" t="s">
        <v>82</v>
      </c>
      <c r="C360" t="s">
        <v>73</v>
      </c>
      <c r="D360" t="s">
        <v>77</v>
      </c>
      <c r="E360" t="s">
        <v>83</v>
      </c>
      <c r="F360" t="s">
        <v>75</v>
      </c>
      <c r="G360" t="s">
        <v>84</v>
      </c>
      <c r="H360" t="s">
        <v>74</v>
      </c>
    </row>
    <row r="361" spans="1:8" x14ac:dyDescent="0.3">
      <c r="A361" s="12" t="str">
        <f>B333</f>
        <v>transport, Motorbike, electric, 11-35kW, 2020, label-certified electricity</v>
      </c>
      <c r="B361" s="12">
        <v>1</v>
      </c>
      <c r="C361" s="12" t="str">
        <f>B334</f>
        <v>CH</v>
      </c>
      <c r="D361" s="12" t="s">
        <v>172</v>
      </c>
      <c r="E361" s="12"/>
      <c r="F361" s="12" t="s">
        <v>85</v>
      </c>
      <c r="G361" s="12" t="s">
        <v>86</v>
      </c>
      <c r="H361" s="12" t="str">
        <f>B339</f>
        <v>transport, Motorbike, electric, 11-35kW</v>
      </c>
    </row>
    <row r="362" spans="1:8" x14ac:dyDescent="0.3">
      <c r="A362" s="12" t="str">
        <f>B335&amp;", "&amp;B337</f>
        <v>Motorbike, electric, 11-35kW, 2020</v>
      </c>
      <c r="B362" s="15">
        <f>1/B343</f>
        <v>1.6103059581320449E-5</v>
      </c>
      <c r="C362" s="12" t="str">
        <f>B334</f>
        <v>CH</v>
      </c>
      <c r="D362" s="12" t="s">
        <v>77</v>
      </c>
      <c r="E362" s="12"/>
      <c r="F362" s="12" t="s">
        <v>91</v>
      </c>
      <c r="G362" s="12"/>
      <c r="H362" s="12" t="str">
        <f>RIGHT(H361,LEN(H361)-11)</f>
        <v>Motorbike, electric, 11-35kW</v>
      </c>
    </row>
    <row r="363" spans="1:8" x14ac:dyDescent="0.3">
      <c r="A363" s="12" t="str">
        <f>INDEX('ei names mapping'!$B$4:$R$33,MATCH(B335,'ei names mapping'!$A$4:$A$33,0),MATCH(G363,'ei names mapping'!$B$3:$R$3,0))</f>
        <v>road maintenance</v>
      </c>
      <c r="B363" s="16">
        <f>INDEX('vehicles specifications'!$B$3:$CK$86,MATCH(B338,'vehicles specifications'!$A$3:$A$86,0),MATCH(G363,'vehicles specifications'!$B$2:$CK$2,0))*INDEX('ei names mapping'!$B$137:$BK$220,MATCH(B338,'ei names mapping'!$A$137:$A$220,0),MATCH(G363,'ei names mapping'!$B$136:$BK$136,0))</f>
        <v>1.2899999999999999E-3</v>
      </c>
      <c r="C363" s="12" t="str">
        <f>INDEX('ei names mapping'!$B$38:$R$67,MATCH(B335,'ei names mapping'!$A$4:$A$33,0),MATCH(G363,'ei names mapping'!$B$3:$R$3,0))</f>
        <v>CH</v>
      </c>
      <c r="D363" s="12" t="str">
        <f>INDEX('ei names mapping'!$B$104:$BK$133,MATCH(B335,'ei names mapping'!$A$4:$A$33,0),MATCH(G363,'ei names mapping'!$B$3:$BK$3,0))</f>
        <v>meter-year</v>
      </c>
      <c r="E363" s="12"/>
      <c r="F363" s="12" t="s">
        <v>91</v>
      </c>
      <c r="G363" t="s">
        <v>117</v>
      </c>
      <c r="H363" s="12" t="str">
        <f>INDEX('ei names mapping'!$B$71:$BK$100,MATCH(B335,'ei names mapping'!$A$4:$A$33,0),MATCH(G363,'ei names mapping'!$B$3:$BK$3,0))</f>
        <v>road maintenance</v>
      </c>
    </row>
    <row r="364" spans="1:8" x14ac:dyDescent="0.3">
      <c r="A364" s="12" t="s">
        <v>114</v>
      </c>
      <c r="B364" s="14">
        <f>INDEX('vehicles specifications'!$B$3:$CK$86,MATCH(B338,'vehicles specifications'!$A$3:$A$86,0),MATCH(G364,'vehicles specifications'!$B$2:$CK$2,0))*INDEX('ei names mapping'!$B$137:$BK$220,MATCH(B338,'ei names mapping'!$A$137:$A$220,0),MATCH(G364,'ei names mapping'!$B$136:$BK$136,0))</f>
        <v>7.5275383069731625E-2</v>
      </c>
      <c r="C364" s="12" t="str">
        <f>INDEX('ei names mapping'!$B$38:$R$67,MATCH($B$3,'ei names mapping'!$A$4:$A$33,0),MATCH(G364,'ei names mapping'!$B$3:$R$3,0))</f>
        <v>CH</v>
      </c>
      <c r="D364" s="12" t="str">
        <f>INDEX('ei names mapping'!$B$104:$R$133,MATCH($B$3,'ei names mapping'!$A$4:$A$33,0),MATCH(G364,'ei names mapping'!$B$3:$R$3,0))</f>
        <v>kilowatt hour</v>
      </c>
      <c r="E364" s="12"/>
      <c r="F364" s="12" t="s">
        <v>91</v>
      </c>
      <c r="G364" t="s">
        <v>28</v>
      </c>
      <c r="H364" s="12" t="s">
        <v>116</v>
      </c>
    </row>
    <row r="365" spans="1:8" x14ac:dyDescent="0.3">
      <c r="A365" s="12" t="str">
        <f>INDEX('ei names mapping'!$B$4:$R$33,MATCH(B335,'ei names mapping'!$A$4:$A$33,0),MATCH(G365,'ei names mapping'!$B$3:$R$3,0))</f>
        <v>market for maintenance, electric scooter, without battery</v>
      </c>
      <c r="B365" s="16">
        <f>INDEX('vehicles specifications'!$B$3:$CK$86,MATCH(B338,'vehicles specifications'!$A$3:$A$86,0),MATCH(G365,'vehicles specifications'!$B$2:$CK$2,0))*INDEX('ei names mapping'!$B$137:$BK$220,MATCH(B338,'ei names mapping'!$A$137:$A$220,0),MATCH(G365,'ei names mapping'!$B$136:$BK$136,0))</f>
        <v>1.9999999999999998E-5</v>
      </c>
      <c r="C365" s="12" t="str">
        <f>INDEX('ei names mapping'!$B$38:$BK$67,MATCH(B335,'ei names mapping'!$A$4:$A$33,0),MATCH(G365,'ei names mapping'!$B$3:$BK$3,0))</f>
        <v>GLO</v>
      </c>
      <c r="D365" s="12" t="str">
        <f>INDEX('ei names mapping'!$B$104:$BK$133,MATCH(B335,'ei names mapping'!$A$4:$A$33,0),MATCH(G365,'ei names mapping'!$B$3:$BK$3,0))</f>
        <v>unit</v>
      </c>
      <c r="F365" s="12" t="s">
        <v>91</v>
      </c>
      <c r="G365" s="12" t="s">
        <v>123</v>
      </c>
      <c r="H365" s="12" t="str">
        <f>INDEX('ei names mapping'!$B$71:$BK$100,MATCH(B335,'ei names mapping'!$A$4:$A$33,0),MATCH(G365,'ei names mapping'!$B$3:$BK$3,0))</f>
        <v>maintenance, electric scooter, without battery</v>
      </c>
    </row>
    <row r="366" spans="1:8" s="21" customFormat="1" x14ac:dyDescent="0.3">
      <c r="A366" s="12" t="str">
        <f>INDEX('ei names mapping'!$B$4:$R$33,MATCH(B335,'ei names mapping'!$A$4:$A$33,0),MATCH(G366,'ei names mapping'!$B$3:$R$3,0))</f>
        <v>road construction</v>
      </c>
      <c r="B366" s="16">
        <f>INDEX('vehicles specifications'!$B$3:$CK$86,MATCH(B338,'vehicles specifications'!$A$3:$A$86,0),MATCH(G366,'vehicles specifications'!$B$2:$CK$2,0))*INDEX('ei names mapping'!$B$137:$BK$220,MATCH(B338,'ei names mapping'!$A$137:$A$220,0),MATCH(G366,'ei names mapping'!$B$136:$BK$136,0))</f>
        <v>1.3135020000000001E-4</v>
      </c>
      <c r="C366" s="12" t="str">
        <f>INDEX('ei names mapping'!$B$38:$R$67,MATCH(B335,'ei names mapping'!$A$4:$A$33,0),MATCH(G366,'ei names mapping'!$B$3:$R$3,0))</f>
        <v>CH</v>
      </c>
      <c r="D366" s="12" t="str">
        <f>INDEX('ei names mapping'!$B$104:$R$133,MATCH(B335,'ei names mapping'!$A$104:$A$133,0),MATCH(G366,'ei names mapping'!$B$3:$R$3,0))</f>
        <v>meter-year</v>
      </c>
      <c r="E366" s="12"/>
      <c r="F366" s="12" t="s">
        <v>91</v>
      </c>
      <c r="G366" s="21" t="s">
        <v>108</v>
      </c>
      <c r="H366" s="12" t="str">
        <f>INDEX('ei names mapping'!$B$71:$R$100,MATCH(B335,'ei names mapping'!$A$4:$A$33,0),MATCH(G366,'ei names mapping'!$B$3:$R$3,0))</f>
        <v>road</v>
      </c>
    </row>
    <row r="367" spans="1:8" x14ac:dyDescent="0.3">
      <c r="A367" s="12" t="str">
        <f>INDEX('ei names mapping'!$B$4:$BK$33,MATCH(B335,'ei names mapping'!$A$4:$A$33,0),MATCH(G367,'ei names mapping'!$B$3:$BK$3,0))</f>
        <v>treatment of road wear emissions, passenger car</v>
      </c>
      <c r="B367" s="16">
        <f>INDEX('vehicles specifications'!$B$3:$CK$86,MATCH(B338,'vehicles specifications'!$A$3:$A$86,0),MATCH(G367,'vehicles specifications'!$B$2:$CK$2,0))*INDEX('ei names mapping'!$B$137:$BK$220,MATCH(B338,'ei names mapping'!$A$137:$A$220,0),MATCH(G367,'ei names mapping'!$B$136:$BK$136,0))</f>
        <v>-6.0000000000000002E-6</v>
      </c>
      <c r="C367" s="12" t="str">
        <f>INDEX('ei names mapping'!$B$38:$BK$67,MATCH(B335,'ei names mapping'!$A$4:$A$33,0),MATCH(G367,'ei names mapping'!$B$3:$BK$3,0))</f>
        <v>RER</v>
      </c>
      <c r="D367" s="12" t="str">
        <f>INDEX('ei names mapping'!$B$104:$BK$133,MATCH(B335,'ei names mapping'!$A$4:$A$33,0),MATCH(G367,'ei names mapping'!$B$3:$BK$3,0))</f>
        <v>kilogram</v>
      </c>
      <c r="E367" s="12"/>
      <c r="F367" s="12" t="s">
        <v>91</v>
      </c>
      <c r="G367" t="s">
        <v>29</v>
      </c>
      <c r="H367" s="12" t="str">
        <f>INDEX('ei names mapping'!$B$71:$BK$100,MATCH(B335,'ei names mapping'!$A$4:$A$33,0),MATCH(G367,'ei names mapping'!$B$3:$BK$3,0))</f>
        <v>road wear emissions, passenger car</v>
      </c>
    </row>
    <row r="368" spans="1:8" x14ac:dyDescent="0.3">
      <c r="A368" s="12" t="str">
        <f>INDEX('ei names mapping'!$B$4:$BK$33,MATCH(B335,'ei names mapping'!$A$4:$A$33,0),MATCH(G368,'ei names mapping'!$B$3:$BK$3,0))</f>
        <v>treatment of tyre wear emissions, passenger car</v>
      </c>
      <c r="B368" s="16">
        <f>INDEX('vehicles specifications'!$B$3:$CK$86,MATCH(B338,'vehicles specifications'!$A$3:$A$86,0),MATCH(G368,'vehicles specifications'!$B$2:$CK$2,0))*INDEX('ei names mapping'!$B$137:$BK$220,MATCH(B338,'ei names mapping'!$A$137:$A$220,0),MATCH(G368,'ei names mapping'!$B$136:$BK$136,0))</f>
        <v>-7.3669999999999991E-6</v>
      </c>
      <c r="C368" s="12" t="str">
        <f>INDEX('ei names mapping'!$B$38:$BK$67,MATCH(B335,'ei names mapping'!$A$4:$A$33,0),MATCH(G368,'ei names mapping'!$B$3:$BK$3,0))</f>
        <v>RER</v>
      </c>
      <c r="D368" s="12" t="str">
        <f>INDEX('ei names mapping'!$B$104:$BK$133,MATCH(B335,'ei names mapping'!$A$4:$A$33,0),MATCH(G368,'ei names mapping'!$B$3:$BK$3,0))</f>
        <v>kilogram</v>
      </c>
      <c r="E368" s="12"/>
      <c r="F368" s="12" t="s">
        <v>91</v>
      </c>
      <c r="G368" t="s">
        <v>30</v>
      </c>
      <c r="H368" s="12" t="str">
        <f>INDEX('ei names mapping'!$B$71:$BK$100,MATCH(B335,'ei names mapping'!$A$4:$A$33,0),MATCH(G368,'ei names mapping'!$B$3:$BK$3,0))</f>
        <v>tyre wear emissions, passenger car</v>
      </c>
    </row>
    <row r="369" spans="1:8" x14ac:dyDescent="0.3">
      <c r="A369" s="12" t="str">
        <f>INDEX('ei names mapping'!$B$4:$BK$33,MATCH(B335,'ei names mapping'!$A$4:$A$33,0),MATCH(G369,'ei names mapping'!$B$3:$BK$3,0))</f>
        <v>treatment of brake wear emissions, passenger car</v>
      </c>
      <c r="B369" s="16">
        <f>INDEX('vehicles specifications'!$B$3:$CK$86,MATCH(B338,'vehicles specifications'!$A$3:$A$86,0),MATCH(G369,'vehicles specifications'!$B$2:$CK$2,0))*INDEX('ei names mapping'!$B$137:$BK$220,MATCH(B338,'ei names mapping'!$A$137:$A$220,0),MATCH(G369,'ei names mapping'!$B$136:$BK$136,0))</f>
        <v>-4.1749999999999998E-6</v>
      </c>
      <c r="C369" s="12" t="str">
        <f>INDEX('ei names mapping'!$B$38:$BK$67,MATCH(B335,'ei names mapping'!$A$4:$A$33,0),MATCH(G369,'ei names mapping'!$B$3:$BK$3,0))</f>
        <v>RER</v>
      </c>
      <c r="D369" s="12" t="str">
        <f>INDEX('ei names mapping'!$B$104:$BK$133,MATCH(B335,'ei names mapping'!$A$4:$A$33,0),MATCH(G369,'ei names mapping'!$B$3:$BK$3,0))</f>
        <v>kilogram</v>
      </c>
      <c r="E369" s="12"/>
      <c r="F369" s="12" t="s">
        <v>91</v>
      </c>
      <c r="G369" t="s">
        <v>31</v>
      </c>
      <c r="H369" s="12" t="str">
        <f>INDEX('ei names mapping'!$B$71:$BK$100,MATCH(B335,'ei names mapping'!$A$4:$A$33,0),MATCH(G369,'ei names mapping'!$B$3:$BK$3,0))</f>
        <v>brake wear emissions, passenger car</v>
      </c>
    </row>
    <row r="370" spans="1:8" x14ac:dyDescent="0.3">
      <c r="B370" s="6"/>
    </row>
    <row r="371" spans="1:8" ht="15.6" x14ac:dyDescent="0.3">
      <c r="A371" s="11" t="s">
        <v>72</v>
      </c>
      <c r="B371" s="9" t="str">
        <f>"transport, "&amp;B373&amp;", "&amp;B375&amp;", label-certified electricity"</f>
        <v>transport, Motorbike, electric, 11-35kW, 2030, label-certified electricity</v>
      </c>
    </row>
    <row r="372" spans="1:8" x14ac:dyDescent="0.3">
      <c r="A372" t="s">
        <v>73</v>
      </c>
      <c r="B372" t="s">
        <v>37</v>
      </c>
    </row>
    <row r="373" spans="1:8" x14ac:dyDescent="0.3">
      <c r="A373" t="s">
        <v>87</v>
      </c>
      <c r="B373" t="s">
        <v>522</v>
      </c>
    </row>
    <row r="374" spans="1:8" x14ac:dyDescent="0.3">
      <c r="A374" t="s">
        <v>88</v>
      </c>
      <c r="B374" s="12"/>
    </row>
    <row r="375" spans="1:8" x14ac:dyDescent="0.3">
      <c r="A375" t="s">
        <v>89</v>
      </c>
      <c r="B375" s="12">
        <v>2030</v>
      </c>
    </row>
    <row r="376" spans="1:8" x14ac:dyDescent="0.3">
      <c r="A376" t="s">
        <v>131</v>
      </c>
      <c r="B376" s="12" t="str">
        <f>B373&amp;" - "&amp;B375&amp;" - "&amp;B372</f>
        <v>Motorbike, electric, 11-35kW - 2030 - CH</v>
      </c>
    </row>
    <row r="377" spans="1:8" x14ac:dyDescent="0.3">
      <c r="A377" t="s">
        <v>74</v>
      </c>
      <c r="B377" s="12" t="str">
        <f>"transport, "&amp;B373</f>
        <v>transport, Motorbike, electric, 11-35kW</v>
      </c>
    </row>
    <row r="378" spans="1:8" x14ac:dyDescent="0.3">
      <c r="A378" t="s">
        <v>75</v>
      </c>
      <c r="B378" t="s">
        <v>76</v>
      </c>
    </row>
    <row r="379" spans="1:8" x14ac:dyDescent="0.3">
      <c r="A379" t="s">
        <v>77</v>
      </c>
      <c r="B379" t="s">
        <v>172</v>
      </c>
    </row>
    <row r="380" spans="1:8" x14ac:dyDescent="0.3">
      <c r="A380" t="s">
        <v>79</v>
      </c>
      <c r="B380" t="s">
        <v>90</v>
      </c>
    </row>
    <row r="381" spans="1:8" x14ac:dyDescent="0.3">
      <c r="A381" t="s">
        <v>132</v>
      </c>
      <c r="B381">
        <f>INDEX('vehicles specifications'!$B$3:$CK$86,MATCH(B376,'vehicles specifications'!$A$3:$A$86,0),MATCH("Lifetime [km]",'vehicles specifications'!$B$2:$CK$2,0))</f>
        <v>62100</v>
      </c>
    </row>
    <row r="382" spans="1:8" x14ac:dyDescent="0.3">
      <c r="A382" t="s">
        <v>133</v>
      </c>
      <c r="B382">
        <f>INDEX('vehicles specifications'!$B$3:$CK$86,MATCH(B376,'vehicles specifications'!$A$3:$A$86,0),MATCH("Passengers [unit]",'vehicles specifications'!$B$2:$CK$2,0))</f>
        <v>1.1000000000000001</v>
      </c>
    </row>
    <row r="383" spans="1:8" x14ac:dyDescent="0.3">
      <c r="A383" t="s">
        <v>134</v>
      </c>
      <c r="B383">
        <f>INDEX('vehicles specifications'!$B$3:$CK$86,MATCH(B376,'vehicles specifications'!$A$3:$A$86,0),MATCH("Servicing [unit]",'vehicles specifications'!$B$2:$CK$2,0))</f>
        <v>1.242</v>
      </c>
    </row>
    <row r="384" spans="1:8" x14ac:dyDescent="0.3">
      <c r="A384" t="s">
        <v>135</v>
      </c>
      <c r="B384">
        <f>INDEX('vehicles specifications'!$B$3:$CK$86,MATCH(B376,'vehicles specifications'!$A$3:$A$86,0),MATCH("Energy battery replacement [unit]",'vehicles specifications'!$B$2:$CK$2,0))</f>
        <v>0.5</v>
      </c>
    </row>
    <row r="385" spans="1:8" x14ac:dyDescent="0.3">
      <c r="A385" t="s">
        <v>136</v>
      </c>
      <c r="B385">
        <f>INDEX('vehicles specifications'!$B$3:$CK$86,MATCH(B376,'vehicles specifications'!$A$3:$A$86,0),MATCH("Annual kilometers [km]",'vehicles specifications'!$B$2:$CK$2,0))</f>
        <v>4690</v>
      </c>
    </row>
    <row r="386" spans="1:8" x14ac:dyDescent="0.3">
      <c r="A386" t="s">
        <v>137</v>
      </c>
      <c r="B386" s="2">
        <f>INDEX('vehicles specifications'!$B$3:$CK$86,MATCH(B376,'vehicles specifications'!$A$3:$A$86,0),MATCH("Curb mass [kg]",'vehicles specifications'!$B$2:$CK$2,0))</f>
        <v>161.76999999999998</v>
      </c>
    </row>
    <row r="387" spans="1:8" x14ac:dyDescent="0.3">
      <c r="A387" t="s">
        <v>138</v>
      </c>
      <c r="B387">
        <f>INDEX('vehicles specifications'!$B$3:$CK$86,MATCH(B376,'vehicles specifications'!$A$3:$A$86,0),MATCH("Power [kW]",'vehicles specifications'!$B$2:$CK$2,0))</f>
        <v>14</v>
      </c>
    </row>
    <row r="388" spans="1:8" x14ac:dyDescent="0.3">
      <c r="A388" t="s">
        <v>139</v>
      </c>
      <c r="B388">
        <f>INDEX('vehicles specifications'!$B$3:$CK$86,MATCH(B376,'vehicles specifications'!$A$3:$A$86,0),MATCH("Energy battery mass [kg]",'vehicles specifications'!$B$2:$CK$2,0))</f>
        <v>51.2</v>
      </c>
    </row>
    <row r="389" spans="1:8" x14ac:dyDescent="0.3">
      <c r="A389" t="s">
        <v>140</v>
      </c>
      <c r="B389" s="21">
        <f>INDEX('vehicles specifications'!$B$3:$CK$86,MATCH(B376,'vehicles specifications'!$A$3:$A$86,0),MATCH("Electric energy stored [kWh]",'vehicles specifications'!$B$2:$CK$2,0))</f>
        <v>12.8</v>
      </c>
    </row>
    <row r="390" spans="1:8" s="21" customFormat="1" x14ac:dyDescent="0.3">
      <c r="A390" s="21" t="s">
        <v>654</v>
      </c>
      <c r="B390" s="21">
        <f>INDEX('vehicles specifications'!$B$3:$CK$86,MATCH(B376,'vehicles specifications'!$A$3:$A$86,0),MATCH("Electric energy available [kWh]",'vehicles specifications'!$B$2:$CK$2,0))</f>
        <v>10.240000000000002</v>
      </c>
    </row>
    <row r="391" spans="1:8" x14ac:dyDescent="0.3">
      <c r="A391" t="s">
        <v>143</v>
      </c>
      <c r="B391" s="2">
        <f>INDEX('vehicles specifications'!$B$3:$CK$86,MATCH(B376,'vehicles specifications'!$A$3:$A$86,0),MATCH("Oxydation energy stored [kWh]",'vehicles specifications'!$B$2:$CK$2,0))</f>
        <v>0</v>
      </c>
    </row>
    <row r="392" spans="1:8" x14ac:dyDescent="0.3">
      <c r="A392" t="s">
        <v>145</v>
      </c>
      <c r="B392">
        <f>INDEX('vehicles specifications'!$B$3:$CK$86,MATCH(B376,'vehicles specifications'!$A$3:$A$86,0),MATCH("Fuel mass [kg]",'vehicles specifications'!$B$2:$CK$2,0))</f>
        <v>0</v>
      </c>
    </row>
    <row r="393" spans="1:8" x14ac:dyDescent="0.3">
      <c r="A393" t="s">
        <v>141</v>
      </c>
      <c r="B393" s="2">
        <f>INDEX('vehicles specifications'!$B$3:$CK$86,MATCH(B376,'vehicles specifications'!$A$3:$A$86,0),MATCH("Range [km]",'vehicles specifications'!$B$2:$CK$2,0))</f>
        <v>149.63723252747255</v>
      </c>
    </row>
    <row r="394" spans="1:8" x14ac:dyDescent="0.3">
      <c r="A394" t="s">
        <v>142</v>
      </c>
      <c r="B394" t="str">
        <f>INDEX('vehicles specifications'!$B$3:$CK$86,MATCH(B376,'vehicles specifications'!$A$3:$A$86,0),MATCH("Emission standard",'vehicles specifications'!$B$2:$CK$2,0))</f>
        <v>None</v>
      </c>
    </row>
    <row r="395" spans="1:8" x14ac:dyDescent="0.3">
      <c r="A395" t="s">
        <v>144</v>
      </c>
      <c r="B395" s="6">
        <f>INDEX('vehicles specifications'!$B$3:$CK$86,MATCH(B376,'vehicles specifications'!$A$3:$A$86,0),MATCH("Lightweighting rate [%]",'vehicles specifications'!$B$2:$CK$2,0))</f>
        <v>0.03</v>
      </c>
    </row>
    <row r="396" spans="1:8" x14ac:dyDescent="0.3">
      <c r="A396" t="s">
        <v>84</v>
      </c>
      <c r="B396" s="21" t="str">
        <f>"Power: "&amp;B387&amp;" kW. Lifetime: "&amp;B381&amp;" km. Annual kilometers: "&amp;B385&amp;" km. Number of passengers: "&amp;B382&amp;". Curb mass: "&amp;ROUND(B386,1)&amp;" kg. Lightweighting of glider: "&amp;ROUND(B395*100,0)&amp;"%. Emission standard: "&amp;B394&amp;". Service visits throughout lifetime: "&amp;ROUND(B383,1)&amp;". Range: "&amp;ROUND(B393,0)&amp;" km. Battery capacity: "&amp;ROUND(B389,1)&amp;" kWh. Available battery capacity: "&amp;B390&amp;" kWh. Battery mass: "&amp;ROUND(B388,1)&amp; " kg. Battery replacement throughout lifetime: "&amp;ROUND(B384,1)&amp;". Fuel tank capacity: "&amp;ROUND(B391,1)&amp;" kWh. Fuel mass: "&amp;ROUND(B392,1)&amp;" kg. Documentation: "&amp;Readmefirst!$B$2&amp;", "&amp;Readmefirst!$B$3&amp;". "&amp;'lci-kick scooter'!B339</f>
        <v xml:space="preserve">Power: 14 kW. Lifetime: 62100 km. Annual kilometers: 4690 km. Number of passengers: 1.1. Curb mass: 161.8 kg. Lightweighting of glider: 3%. Emission standard: None. Service visits throughout lifetime: 1.2. Range: 150 km. Battery capacity: 12.8 kWh. Available battery capacity: 10.24 kWh. Battery mass: 51.2 kg. Battery replacement throughout lifetime: 0.5. Fuel tank capacity: 0 kWh. Fuel mass: 0 kg. Documentation: 2021 UVEK life-cycle inventories update of on-road vehicles, Sacchi R. (PSI), Bauer C. (PSI), 2021. </v>
      </c>
    </row>
    <row r="397" spans="1:8" ht="15.6" x14ac:dyDescent="0.3">
      <c r="A397" s="11" t="s">
        <v>80</v>
      </c>
    </row>
    <row r="398" spans="1:8" x14ac:dyDescent="0.3">
      <c r="A398" t="s">
        <v>81</v>
      </c>
      <c r="B398" t="s">
        <v>82</v>
      </c>
      <c r="C398" t="s">
        <v>73</v>
      </c>
      <c r="D398" t="s">
        <v>77</v>
      </c>
      <c r="E398" t="s">
        <v>83</v>
      </c>
      <c r="F398" t="s">
        <v>75</v>
      </c>
      <c r="G398" t="s">
        <v>84</v>
      </c>
      <c r="H398" t="s">
        <v>74</v>
      </c>
    </row>
    <row r="399" spans="1:8" x14ac:dyDescent="0.3">
      <c r="A399" s="12" t="str">
        <f>B371</f>
        <v>transport, Motorbike, electric, 11-35kW, 2030, label-certified electricity</v>
      </c>
      <c r="B399" s="12">
        <v>1</v>
      </c>
      <c r="C399" s="12" t="str">
        <f>B372</f>
        <v>CH</v>
      </c>
      <c r="D399" s="12" t="s">
        <v>172</v>
      </c>
      <c r="E399" s="12"/>
      <c r="F399" s="12" t="s">
        <v>85</v>
      </c>
      <c r="G399" s="12" t="s">
        <v>86</v>
      </c>
      <c r="H399" s="12" t="str">
        <f>B377</f>
        <v>transport, Motorbike, electric, 11-35kW</v>
      </c>
    </row>
    <row r="400" spans="1:8" x14ac:dyDescent="0.3">
      <c r="A400" s="12" t="str">
        <f>B373&amp;", "&amp;B375</f>
        <v>Motorbike, electric, 11-35kW, 2030</v>
      </c>
      <c r="B400" s="12">
        <f>1/B381</f>
        <v>1.6103059581320449E-5</v>
      </c>
      <c r="C400" s="12" t="str">
        <f>B372</f>
        <v>CH</v>
      </c>
      <c r="D400" s="12" t="s">
        <v>77</v>
      </c>
      <c r="E400" s="12"/>
      <c r="F400" s="12" t="s">
        <v>91</v>
      </c>
      <c r="G400" s="12"/>
      <c r="H400" s="12" t="str">
        <f>RIGHT(H399,LEN(H399)-11)</f>
        <v>Motorbike, electric, 11-35kW</v>
      </c>
    </row>
    <row r="401" spans="1:8" x14ac:dyDescent="0.3">
      <c r="A401" s="12" t="str">
        <f>INDEX('ei names mapping'!$B$4:$R$33,MATCH(B373,'ei names mapping'!$A$4:$A$33,0),MATCH(G401,'ei names mapping'!$B$3:$R$3,0))</f>
        <v>road maintenance</v>
      </c>
      <c r="B401" s="16">
        <f>INDEX('vehicles specifications'!$B$3:$CK$86,MATCH(B376,'vehicles specifications'!$A$3:$A$86,0),MATCH(G401,'vehicles specifications'!$B$2:$CK$2,0))*INDEX('ei names mapping'!$B$137:$BK$220,MATCH(B376,'ei names mapping'!$A$137:$A$220,0),MATCH(G401,'ei names mapping'!$B$136:$BK$136,0))</f>
        <v>1.2899999999999999E-3</v>
      </c>
      <c r="C401" s="12" t="str">
        <f>INDEX('ei names mapping'!$B$38:$R$67,MATCH(B373,'ei names mapping'!$A$4:$A$33,0),MATCH(G401,'ei names mapping'!$B$3:$R$3,0))</f>
        <v>CH</v>
      </c>
      <c r="D401" s="12" t="str">
        <f>INDEX('ei names mapping'!$B$104:$BK$133,MATCH(B373,'ei names mapping'!$A$4:$A$33,0),MATCH(G401,'ei names mapping'!$B$3:$BK$3,0))</f>
        <v>meter-year</v>
      </c>
      <c r="E401" s="12"/>
      <c r="F401" s="12" t="s">
        <v>91</v>
      </c>
      <c r="G401" t="s">
        <v>117</v>
      </c>
      <c r="H401" s="12" t="str">
        <f>INDEX('ei names mapping'!$B$71:$BK$100,MATCH(B373,'ei names mapping'!$A$4:$A$33,0),MATCH(G401,'ei names mapping'!$B$3:$BK$3,0))</f>
        <v>road maintenance</v>
      </c>
    </row>
    <row r="402" spans="1:8" x14ac:dyDescent="0.3">
      <c r="A402" s="12" t="s">
        <v>114</v>
      </c>
      <c r="B402" s="14">
        <f>INDEX('vehicles specifications'!$B$3:$CK$86,MATCH(B376,'vehicles specifications'!$A$3:$A$86,0),MATCH(G402,'vehicles specifications'!$B$2:$CK$2,0))*INDEX('ei names mapping'!$B$137:$BK$220,MATCH(B376,'ei names mapping'!$A$137:$A$220,0),MATCH(G402,'ei names mapping'!$B$136:$BK$136,0))</f>
        <v>7.5275383069731625E-2</v>
      </c>
      <c r="C402" s="12" t="str">
        <f>INDEX('ei names mapping'!$B$38:$R$67,MATCH($B$3,'ei names mapping'!$A$4:$A$33,0),MATCH(G402,'ei names mapping'!$B$3:$R$3,0))</f>
        <v>CH</v>
      </c>
      <c r="D402" s="12" t="str">
        <f>INDEX('ei names mapping'!$B$104:$R$133,MATCH($B$3,'ei names mapping'!$A$4:$A$33,0),MATCH(G402,'ei names mapping'!$B$3:$R$3,0))</f>
        <v>kilowatt hour</v>
      </c>
      <c r="E402" s="12"/>
      <c r="F402" s="12" t="s">
        <v>91</v>
      </c>
      <c r="G402" t="s">
        <v>28</v>
      </c>
      <c r="H402" s="12" t="s">
        <v>116</v>
      </c>
    </row>
    <row r="403" spans="1:8" x14ac:dyDescent="0.3">
      <c r="A403" s="12" t="str">
        <f>INDEX('ei names mapping'!$B$4:$R$33,MATCH(B373,'ei names mapping'!$A$4:$A$33,0),MATCH(G403,'ei names mapping'!$B$3:$R$3,0))</f>
        <v>market for maintenance, electric scooter, without battery</v>
      </c>
      <c r="B403" s="16">
        <f>INDEX('vehicles specifications'!$B$3:$CK$86,MATCH(B376,'vehicles specifications'!$A$3:$A$86,0),MATCH(G403,'vehicles specifications'!$B$2:$CK$2,0))*INDEX('ei names mapping'!$B$137:$BK$220,MATCH(B376,'ei names mapping'!$A$137:$A$220,0),MATCH(G403,'ei names mapping'!$B$136:$BK$136,0))</f>
        <v>1.9999999999999998E-5</v>
      </c>
      <c r="C403" s="12" t="str">
        <f>INDEX('ei names mapping'!$B$38:$BK$67,MATCH(B373,'ei names mapping'!$A$4:$A$33,0),MATCH(G403,'ei names mapping'!$B$3:$BK$3,0))</f>
        <v>GLO</v>
      </c>
      <c r="D403" s="12" t="str">
        <f>INDEX('ei names mapping'!$B$104:$BK$133,MATCH(B373,'ei names mapping'!$A$4:$A$33,0),MATCH(G403,'ei names mapping'!$B$3:$BK$3,0))</f>
        <v>unit</v>
      </c>
      <c r="F403" s="12" t="s">
        <v>91</v>
      </c>
      <c r="G403" s="12" t="s">
        <v>123</v>
      </c>
      <c r="H403" s="12" t="str">
        <f>INDEX('ei names mapping'!$B$71:$BK$100,MATCH(B373,'ei names mapping'!$A$4:$A$33,0),MATCH(G403,'ei names mapping'!$B$3:$BK$3,0))</f>
        <v>maintenance, electric scooter, without battery</v>
      </c>
    </row>
    <row r="404" spans="1:8" s="21" customFormat="1" x14ac:dyDescent="0.3">
      <c r="A404" s="12" t="str">
        <f>INDEX('ei names mapping'!$B$4:$R$33,MATCH(B373,'ei names mapping'!$A$4:$A$33,0),MATCH(G404,'ei names mapping'!$B$3:$R$3,0))</f>
        <v>road construction</v>
      </c>
      <c r="B404" s="16">
        <f>INDEX('vehicles specifications'!$B$3:$CK$86,MATCH(B376,'vehicles specifications'!$A$3:$A$86,0),MATCH(G404,'vehicles specifications'!$B$2:$CK$2,0))*INDEX('ei names mapping'!$B$137:$BK$220,MATCH(B376,'ei names mapping'!$A$137:$A$220,0),MATCH(G404,'ei names mapping'!$B$136:$BK$136,0))</f>
        <v>1.3144148999999998E-4</v>
      </c>
      <c r="C404" s="12" t="str">
        <f>INDEX('ei names mapping'!$B$38:$R$67,MATCH(B373,'ei names mapping'!$A$4:$A$33,0),MATCH(G404,'ei names mapping'!$B$3:$R$3,0))</f>
        <v>CH</v>
      </c>
      <c r="D404" s="12" t="str">
        <f>INDEX('ei names mapping'!$B$104:$R$133,MATCH(B373,'ei names mapping'!$A$104:$A$133,0),MATCH(G404,'ei names mapping'!$B$3:$R$3,0))</f>
        <v>meter-year</v>
      </c>
      <c r="E404" s="12"/>
      <c r="F404" s="12" t="s">
        <v>91</v>
      </c>
      <c r="G404" s="21" t="s">
        <v>108</v>
      </c>
      <c r="H404" s="12" t="str">
        <f>INDEX('ei names mapping'!$B$71:$R$100,MATCH(B373,'ei names mapping'!$A$4:$A$33,0),MATCH(G404,'ei names mapping'!$B$3:$R$3,0))</f>
        <v>road</v>
      </c>
    </row>
    <row r="405" spans="1:8" x14ac:dyDescent="0.3">
      <c r="A405" s="12" t="str">
        <f>INDEX('ei names mapping'!$B$4:$BK$33,MATCH(B373,'ei names mapping'!$A$4:$A$33,0),MATCH(G405,'ei names mapping'!$B$3:$BK$3,0))</f>
        <v>treatment of road wear emissions, passenger car</v>
      </c>
      <c r="B405" s="16">
        <f>INDEX('vehicles specifications'!$B$3:$CK$86,MATCH(B376,'vehicles specifications'!$A$3:$A$86,0),MATCH(G405,'vehicles specifications'!$B$2:$CK$2,0))*INDEX('ei names mapping'!$B$137:$BK$220,MATCH(B376,'ei names mapping'!$A$137:$A$220,0),MATCH(G405,'ei names mapping'!$B$136:$BK$136,0))</f>
        <v>-6.0000000000000002E-6</v>
      </c>
      <c r="C405" s="12" t="str">
        <f>INDEX('ei names mapping'!$B$38:$BK$67,MATCH(B373,'ei names mapping'!$A$4:$A$33,0),MATCH(G405,'ei names mapping'!$B$3:$BK$3,0))</f>
        <v>RER</v>
      </c>
      <c r="D405" s="12" t="str">
        <f>INDEX('ei names mapping'!$B$104:$BK$133,MATCH(B373,'ei names mapping'!$A$4:$A$33,0),MATCH(G405,'ei names mapping'!$B$3:$BK$3,0))</f>
        <v>kilogram</v>
      </c>
      <c r="E405" s="12"/>
      <c r="F405" s="12" t="s">
        <v>91</v>
      </c>
      <c r="G405" t="s">
        <v>29</v>
      </c>
      <c r="H405" s="12" t="str">
        <f>INDEX('ei names mapping'!$B$71:$BK$100,MATCH(B373,'ei names mapping'!$A$4:$A$33,0),MATCH(G405,'ei names mapping'!$B$3:$BK$3,0))</f>
        <v>road wear emissions, passenger car</v>
      </c>
    </row>
    <row r="406" spans="1:8" x14ac:dyDescent="0.3">
      <c r="A406" s="12" t="str">
        <f>INDEX('ei names mapping'!$B$4:$BK$33,MATCH(B373,'ei names mapping'!$A$4:$A$33,0),MATCH(G406,'ei names mapping'!$B$3:$BK$3,0))</f>
        <v>treatment of tyre wear emissions, passenger car</v>
      </c>
      <c r="B406" s="16">
        <f>INDEX('vehicles specifications'!$B$3:$CK$86,MATCH(B376,'vehicles specifications'!$A$3:$A$86,0),MATCH(G406,'vehicles specifications'!$B$2:$CK$2,0))*INDEX('ei names mapping'!$B$137:$BK$220,MATCH(B376,'ei names mapping'!$A$137:$A$220,0),MATCH(G406,'ei names mapping'!$B$136:$BK$136,0))</f>
        <v>-7.3669999999999991E-6</v>
      </c>
      <c r="C406" s="12" t="str">
        <f>INDEX('ei names mapping'!$B$38:$BK$67,MATCH(B373,'ei names mapping'!$A$4:$A$33,0),MATCH(G406,'ei names mapping'!$B$3:$BK$3,0))</f>
        <v>RER</v>
      </c>
      <c r="D406" s="12" t="str">
        <f>INDEX('ei names mapping'!$B$104:$BK$133,MATCH(B373,'ei names mapping'!$A$4:$A$33,0),MATCH(G406,'ei names mapping'!$B$3:$BK$3,0))</f>
        <v>kilogram</v>
      </c>
      <c r="E406" s="12"/>
      <c r="F406" s="12" t="s">
        <v>91</v>
      </c>
      <c r="G406" t="s">
        <v>30</v>
      </c>
      <c r="H406" s="12" t="str">
        <f>INDEX('ei names mapping'!$B$71:$BK$100,MATCH(B373,'ei names mapping'!$A$4:$A$33,0),MATCH(G406,'ei names mapping'!$B$3:$BK$3,0))</f>
        <v>tyre wear emissions, passenger car</v>
      </c>
    </row>
    <row r="407" spans="1:8" x14ac:dyDescent="0.3">
      <c r="A407" s="12" t="str">
        <f>INDEX('ei names mapping'!$B$4:$BK$33,MATCH(B373,'ei names mapping'!$A$4:$A$33,0),MATCH(G407,'ei names mapping'!$B$3:$BK$3,0))</f>
        <v>treatment of brake wear emissions, passenger car</v>
      </c>
      <c r="B407" s="16">
        <f>INDEX('vehicles specifications'!$B$3:$CK$86,MATCH(B376,'vehicles specifications'!$A$3:$A$86,0),MATCH(G407,'vehicles specifications'!$B$2:$CK$2,0))*INDEX('ei names mapping'!$B$137:$BK$220,MATCH(B376,'ei names mapping'!$A$137:$A$220,0),MATCH(G407,'ei names mapping'!$B$136:$BK$136,0))</f>
        <v>-4.1749999999999998E-6</v>
      </c>
      <c r="C407" s="12" t="str">
        <f>INDEX('ei names mapping'!$B$38:$BK$67,MATCH(B373,'ei names mapping'!$A$4:$A$33,0),MATCH(G407,'ei names mapping'!$B$3:$BK$3,0))</f>
        <v>RER</v>
      </c>
      <c r="D407" s="12" t="str">
        <f>INDEX('ei names mapping'!$B$104:$BK$133,MATCH(B373,'ei names mapping'!$A$4:$A$33,0),MATCH(G407,'ei names mapping'!$B$3:$BK$3,0))</f>
        <v>kilogram</v>
      </c>
      <c r="E407" s="12"/>
      <c r="F407" s="12" t="s">
        <v>91</v>
      </c>
      <c r="G407" t="s">
        <v>31</v>
      </c>
      <c r="H407" s="12" t="str">
        <f>INDEX('ei names mapping'!$B$71:$BK$100,MATCH(B373,'ei names mapping'!$A$4:$A$33,0),MATCH(G407,'ei names mapping'!$B$3:$BK$3,0))</f>
        <v>brake wear emissions, passenger car</v>
      </c>
    </row>
    <row r="409" spans="1:8" ht="15.6" x14ac:dyDescent="0.3">
      <c r="A409" s="11" t="s">
        <v>72</v>
      </c>
      <c r="B409" s="9" t="str">
        <f>"transport, "&amp;B411&amp;", "&amp;B413&amp;", label-certified electricity"</f>
        <v>transport, Motorbike, electric, 11-35kW, 2040, label-certified electricity</v>
      </c>
    </row>
    <row r="410" spans="1:8" x14ac:dyDescent="0.3">
      <c r="A410" t="s">
        <v>73</v>
      </c>
      <c r="B410" t="s">
        <v>37</v>
      </c>
    </row>
    <row r="411" spans="1:8" x14ac:dyDescent="0.3">
      <c r="A411" t="s">
        <v>87</v>
      </c>
      <c r="B411" t="s">
        <v>522</v>
      </c>
    </row>
    <row r="412" spans="1:8" x14ac:dyDescent="0.3">
      <c r="A412" t="s">
        <v>88</v>
      </c>
      <c r="B412" s="12"/>
    </row>
    <row r="413" spans="1:8" x14ac:dyDescent="0.3">
      <c r="A413" t="s">
        <v>89</v>
      </c>
      <c r="B413" s="12">
        <v>2040</v>
      </c>
    </row>
    <row r="414" spans="1:8" x14ac:dyDescent="0.3">
      <c r="A414" t="s">
        <v>131</v>
      </c>
      <c r="B414" s="12" t="str">
        <f>B411&amp;" - "&amp;B413&amp;" - "&amp;B410</f>
        <v>Motorbike, electric, 11-35kW - 2040 - CH</v>
      </c>
    </row>
    <row r="415" spans="1:8" x14ac:dyDescent="0.3">
      <c r="A415" t="s">
        <v>74</v>
      </c>
      <c r="B415" s="12" t="str">
        <f>"transport, "&amp;B411</f>
        <v>transport, Motorbike, electric, 11-35kW</v>
      </c>
    </row>
    <row r="416" spans="1:8" x14ac:dyDescent="0.3">
      <c r="A416" t="s">
        <v>75</v>
      </c>
      <c r="B416" t="s">
        <v>76</v>
      </c>
    </row>
    <row r="417" spans="1:2" x14ac:dyDescent="0.3">
      <c r="A417" t="s">
        <v>77</v>
      </c>
      <c r="B417" t="s">
        <v>172</v>
      </c>
    </row>
    <row r="418" spans="1:2" x14ac:dyDescent="0.3">
      <c r="A418" t="s">
        <v>79</v>
      </c>
      <c r="B418" t="s">
        <v>90</v>
      </c>
    </row>
    <row r="419" spans="1:2" x14ac:dyDescent="0.3">
      <c r="A419" t="s">
        <v>132</v>
      </c>
      <c r="B419">
        <f>INDEX('vehicles specifications'!$B$3:$CK$86,MATCH(B414,'vehicles specifications'!$A$3:$A$86,0),MATCH("Lifetime [km]",'vehicles specifications'!$B$2:$CK$2,0))</f>
        <v>62100</v>
      </c>
    </row>
    <row r="420" spans="1:2" x14ac:dyDescent="0.3">
      <c r="A420" t="s">
        <v>133</v>
      </c>
      <c r="B420">
        <f>INDEX('vehicles specifications'!$B$3:$CK$86,MATCH(B414,'vehicles specifications'!$A$3:$A$86,0),MATCH("Passengers [unit]",'vehicles specifications'!$B$2:$CK$2,0))</f>
        <v>1.1000000000000001</v>
      </c>
    </row>
    <row r="421" spans="1:2" x14ac:dyDescent="0.3">
      <c r="A421" t="s">
        <v>134</v>
      </c>
      <c r="B421">
        <f>INDEX('vehicles specifications'!$B$3:$CK$86,MATCH(B414,'vehicles specifications'!$A$3:$A$86,0),MATCH("Servicing [unit]",'vehicles specifications'!$B$2:$CK$2,0))</f>
        <v>1.242</v>
      </c>
    </row>
    <row r="422" spans="1:2" x14ac:dyDescent="0.3">
      <c r="A422" t="s">
        <v>135</v>
      </c>
      <c r="B422">
        <f>INDEX('vehicles specifications'!$B$3:$CK$86,MATCH(B414,'vehicles specifications'!$A$3:$A$86,0),MATCH("Energy battery replacement [unit]",'vehicles specifications'!$B$2:$CK$2,0))</f>
        <v>0.25</v>
      </c>
    </row>
    <row r="423" spans="1:2" x14ac:dyDescent="0.3">
      <c r="A423" t="s">
        <v>136</v>
      </c>
      <c r="B423">
        <f>INDEX('vehicles specifications'!$B$3:$CK$86,MATCH(B414,'vehicles specifications'!$A$3:$A$86,0),MATCH("Annual kilometers [km]",'vehicles specifications'!$B$2:$CK$2,0))</f>
        <v>4690</v>
      </c>
    </row>
    <row r="424" spans="1:2" x14ac:dyDescent="0.3">
      <c r="A424" t="s">
        <v>137</v>
      </c>
      <c r="B424" s="2">
        <f>INDEX('vehicles specifications'!$B$3:$CK$86,MATCH(B414,'vehicles specifications'!$A$3:$A$86,0),MATCH("Curb mass [kg]",'vehicles specifications'!$B$2:$CK$2,0))</f>
        <v>162.35</v>
      </c>
    </row>
    <row r="425" spans="1:2" x14ac:dyDescent="0.3">
      <c r="A425" t="s">
        <v>138</v>
      </c>
      <c r="B425">
        <f>INDEX('vehicles specifications'!$B$3:$CK$86,MATCH(B414,'vehicles specifications'!$A$3:$A$86,0),MATCH("Power [kW]",'vehicles specifications'!$B$2:$CK$2,0))</f>
        <v>14</v>
      </c>
    </row>
    <row r="426" spans="1:2" x14ac:dyDescent="0.3">
      <c r="A426" t="s">
        <v>139</v>
      </c>
      <c r="B426">
        <f>INDEX('vehicles specifications'!$B$3:$CK$86,MATCH(B414,'vehicles specifications'!$A$3:$A$86,0),MATCH("Energy battery mass [kg]",'vehicles specifications'!$B$2:$CK$2,0))</f>
        <v>53.4</v>
      </c>
    </row>
    <row r="427" spans="1:2" x14ac:dyDescent="0.3">
      <c r="A427" t="s">
        <v>140</v>
      </c>
      <c r="B427" s="21">
        <f>INDEX('vehicles specifications'!$B$3:$CK$86,MATCH(B414,'vehicles specifications'!$A$3:$A$86,0),MATCH("Electric energy stored [kWh]",'vehicles specifications'!$B$2:$CK$2,0))</f>
        <v>17.8</v>
      </c>
    </row>
    <row r="428" spans="1:2" s="21" customFormat="1" x14ac:dyDescent="0.3">
      <c r="A428" s="21" t="s">
        <v>654</v>
      </c>
      <c r="B428" s="21">
        <f>INDEX('vehicles specifications'!$B$3:$CK$86,MATCH(B414,'vehicles specifications'!$A$3:$A$86,0),MATCH("Electric energy available [kWh]",'vehicles specifications'!$B$2:$CK$2,0))</f>
        <v>14.240000000000002</v>
      </c>
    </row>
    <row r="429" spans="1:2" x14ac:dyDescent="0.3">
      <c r="A429" t="s">
        <v>143</v>
      </c>
      <c r="B429" s="2">
        <f>INDEX('vehicles specifications'!$B$3:$CK$86,MATCH(B414,'vehicles specifications'!$A$3:$A$86,0),MATCH("Oxydation energy stored [kWh]",'vehicles specifications'!$B$2:$CK$2,0))</f>
        <v>0</v>
      </c>
    </row>
    <row r="430" spans="1:2" x14ac:dyDescent="0.3">
      <c r="A430" t="s">
        <v>145</v>
      </c>
      <c r="B430">
        <f>INDEX('vehicles specifications'!$B$3:$CK$86,MATCH(B414,'vehicles specifications'!$A$3:$A$86,0),MATCH("Fuel mass [kg]",'vehicles specifications'!$B$2:$CK$2,0))</f>
        <v>0</v>
      </c>
    </row>
    <row r="431" spans="1:2" x14ac:dyDescent="0.3">
      <c r="A431" t="s">
        <v>141</v>
      </c>
      <c r="B431" s="2">
        <f>INDEX('vehicles specifications'!$B$3:$CK$86,MATCH(B414,'vehicles specifications'!$A$3:$A$86,0),MATCH("Range [km]",'vehicles specifications'!$B$2:$CK$2,0))</f>
        <v>208.08927648351653</v>
      </c>
    </row>
    <row r="432" spans="1:2" x14ac:dyDescent="0.3">
      <c r="A432" t="s">
        <v>142</v>
      </c>
      <c r="B432" t="str">
        <f>INDEX('vehicles specifications'!$B$3:$CK$86,MATCH(B414,'vehicles specifications'!$A$3:$A$86,0),MATCH("Emission standard",'vehicles specifications'!$B$2:$CK$2,0))</f>
        <v>None</v>
      </c>
    </row>
    <row r="433" spans="1:8" x14ac:dyDescent="0.3">
      <c r="A433" t="s">
        <v>144</v>
      </c>
      <c r="B433" s="6">
        <f>INDEX('vehicles specifications'!$B$3:$CK$86,MATCH(B414,'vehicles specifications'!$A$3:$A$86,0),MATCH("Lightweighting rate [%]",'vehicles specifications'!$B$2:$CK$2,0))</f>
        <v>0.05</v>
      </c>
    </row>
    <row r="434" spans="1:8" x14ac:dyDescent="0.3">
      <c r="A434" t="s">
        <v>84</v>
      </c>
      <c r="B434" s="21" t="str">
        <f>"Power: "&amp;B425&amp;" kW. Lifetime: "&amp;B419&amp;" km. Annual kilometers: "&amp;B423&amp;" km. Number of passengers: "&amp;B420&amp;". Curb mass: "&amp;ROUND(B424,1)&amp;" kg. Lightweighting of glider: "&amp;ROUND(B433*100,0)&amp;"%. Emission standard: "&amp;B432&amp;". Service visits throughout lifetime: "&amp;ROUND(B421,1)&amp;". Range: "&amp;ROUND(B431,0)&amp;" km. Battery capacity: "&amp;ROUND(B427,1)&amp;" kWh. Available battery capacity: "&amp;B428&amp;" kWh. Battery mass: "&amp;ROUND(B426,1)&amp; " kg. Battery replacement throughout lifetime: "&amp;ROUND(B422,1)&amp;". Fuel tank capacity: "&amp;ROUND(B429,1)&amp;" kWh. Fuel mass: "&amp;ROUND(B430,1)&amp;" kg. Documentation: "&amp;Readmefirst!$B$2&amp;", "&amp;Readmefirst!$B$3&amp;". "&amp;'lci-kick scooter'!B377</f>
        <v xml:space="preserve">Power: 14 kW. Lifetime: 62100 km. Annual kilometers: 4690 km. Number of passengers: 1.1. Curb mass: 162.4 kg. Lightweighting of glider: 5%. Emission standard: None. Service visits throughout lifetime: 1.2. Range: 208 km. Battery capacity: 17.8 kWh. Available battery capacity: 14.24 kWh. Battery mass: 53.4 kg. Battery replacement throughout lifetime: 0.3. Fuel tank capacity: 0 kWh. Fuel mass: 0 kg. Documentation: 2021 UVEK life-cycle inventories update of on-road vehicles, Sacchi R. (PSI), Bauer C. (PSI), 2021. </v>
      </c>
    </row>
    <row r="435" spans="1:8" ht="15.6" x14ac:dyDescent="0.3">
      <c r="A435" s="11" t="s">
        <v>80</v>
      </c>
    </row>
    <row r="436" spans="1:8" x14ac:dyDescent="0.3">
      <c r="A436" t="s">
        <v>81</v>
      </c>
      <c r="B436" t="s">
        <v>82</v>
      </c>
      <c r="C436" t="s">
        <v>73</v>
      </c>
      <c r="D436" t="s">
        <v>77</v>
      </c>
      <c r="E436" t="s">
        <v>83</v>
      </c>
      <c r="F436" t="s">
        <v>75</v>
      </c>
      <c r="G436" t="s">
        <v>84</v>
      </c>
      <c r="H436" t="s">
        <v>74</v>
      </c>
    </row>
    <row r="437" spans="1:8" x14ac:dyDescent="0.3">
      <c r="A437" s="12" t="str">
        <f>B409</f>
        <v>transport, Motorbike, electric, 11-35kW, 2040, label-certified electricity</v>
      </c>
      <c r="B437" s="12">
        <v>1</v>
      </c>
      <c r="C437" s="12" t="str">
        <f>B410</f>
        <v>CH</v>
      </c>
      <c r="D437" s="12" t="s">
        <v>172</v>
      </c>
      <c r="E437" s="12"/>
      <c r="F437" s="12" t="s">
        <v>85</v>
      </c>
      <c r="G437" s="12" t="s">
        <v>86</v>
      </c>
      <c r="H437" s="12" t="str">
        <f>B415</f>
        <v>transport, Motorbike, electric, 11-35kW</v>
      </c>
    </row>
    <row r="438" spans="1:8" x14ac:dyDescent="0.3">
      <c r="A438" s="12" t="str">
        <f>B411&amp;", "&amp;B413</f>
        <v>Motorbike, electric, 11-35kW, 2040</v>
      </c>
      <c r="B438" s="12">
        <f>1/B419</f>
        <v>1.6103059581320449E-5</v>
      </c>
      <c r="C438" s="12" t="str">
        <f>B410</f>
        <v>CH</v>
      </c>
      <c r="D438" s="12" t="s">
        <v>77</v>
      </c>
      <c r="E438" s="12"/>
      <c r="F438" s="12" t="s">
        <v>91</v>
      </c>
      <c r="G438" s="12"/>
      <c r="H438" s="12" t="str">
        <f>RIGHT(H437,LEN(H437)-11)</f>
        <v>Motorbike, electric, 11-35kW</v>
      </c>
    </row>
    <row r="439" spans="1:8" x14ac:dyDescent="0.3">
      <c r="A439" s="12" t="str">
        <f>INDEX('ei names mapping'!$B$4:$R$33,MATCH(B411,'ei names mapping'!$A$4:$A$33,0),MATCH(G439,'ei names mapping'!$B$3:$R$3,0))</f>
        <v>road maintenance</v>
      </c>
      <c r="B439" s="16">
        <f>INDEX('vehicles specifications'!$B$3:$CK$86,MATCH(B414,'vehicles specifications'!$A$3:$A$86,0),MATCH(G439,'vehicles specifications'!$B$2:$CK$2,0))*INDEX('ei names mapping'!$B$137:$BK$220,MATCH(B414,'ei names mapping'!$A$137:$A$220,0),MATCH(G439,'ei names mapping'!$B$136:$BK$136,0))</f>
        <v>1.2899999999999999E-3</v>
      </c>
      <c r="C439" s="12" t="str">
        <f>INDEX('ei names mapping'!$B$38:$R$67,MATCH(B411,'ei names mapping'!$A$4:$A$33,0),MATCH(G439,'ei names mapping'!$B$3:$R$3,0))</f>
        <v>CH</v>
      </c>
      <c r="D439" s="12" t="str">
        <f>INDEX('ei names mapping'!$B$104:$BK$133,MATCH(B411,'ei names mapping'!$A$4:$A$33,0),MATCH(G439,'ei names mapping'!$B$3:$BK$3,0))</f>
        <v>meter-year</v>
      </c>
      <c r="E439" s="12"/>
      <c r="F439" s="12" t="s">
        <v>91</v>
      </c>
      <c r="G439" t="s">
        <v>117</v>
      </c>
      <c r="H439" s="12" t="str">
        <f>INDEX('ei names mapping'!$B$71:$BK$100,MATCH(B411,'ei names mapping'!$A$4:$A$33,0),MATCH(G439,'ei names mapping'!$B$3:$BK$3,0))</f>
        <v>road maintenance</v>
      </c>
    </row>
    <row r="440" spans="1:8" x14ac:dyDescent="0.3">
      <c r="A440" s="12" t="s">
        <v>114</v>
      </c>
      <c r="B440" s="14">
        <f>INDEX('vehicles specifications'!$B$3:$CK$86,MATCH(B414,'vehicles specifications'!$A$3:$A$86,0),MATCH(G440,'vehicles specifications'!$B$2:$CK$2,0))*INDEX('ei names mapping'!$B$137:$BK$220,MATCH(B414,'ei names mapping'!$A$137:$A$220,0),MATCH(G440,'ei names mapping'!$B$136:$BK$136,0))</f>
        <v>7.5275383069731625E-2</v>
      </c>
      <c r="C440" s="12" t="str">
        <f>INDEX('ei names mapping'!$B$38:$R$67,MATCH($B$3,'ei names mapping'!$A$4:$A$33,0),MATCH(G440,'ei names mapping'!$B$3:$R$3,0))</f>
        <v>CH</v>
      </c>
      <c r="D440" s="12" t="str">
        <f>INDEX('ei names mapping'!$B$104:$R$133,MATCH($B$3,'ei names mapping'!$A$4:$A$33,0),MATCH(G440,'ei names mapping'!$B$3:$R$3,0))</f>
        <v>kilowatt hour</v>
      </c>
      <c r="E440" s="12"/>
      <c r="F440" s="12" t="s">
        <v>91</v>
      </c>
      <c r="G440" t="s">
        <v>28</v>
      </c>
      <c r="H440" s="12" t="s">
        <v>116</v>
      </c>
    </row>
    <row r="441" spans="1:8" x14ac:dyDescent="0.3">
      <c r="A441" s="12" t="str">
        <f>INDEX('ei names mapping'!$B$4:$R$33,MATCH(B411,'ei names mapping'!$A$4:$A$33,0),MATCH(G441,'ei names mapping'!$B$3:$R$3,0))</f>
        <v>market for maintenance, electric scooter, without battery</v>
      </c>
      <c r="B441" s="16">
        <f>INDEX('vehicles specifications'!$B$3:$CK$86,MATCH(B414,'vehicles specifications'!$A$3:$A$86,0),MATCH(G441,'vehicles specifications'!$B$2:$CK$2,0))*INDEX('ei names mapping'!$B$137:$BK$220,MATCH(B414,'ei names mapping'!$A$137:$A$220,0),MATCH(G441,'ei names mapping'!$B$136:$BK$136,0))</f>
        <v>1.9999999999999998E-5</v>
      </c>
      <c r="C441" s="12" t="str">
        <f>INDEX('ei names mapping'!$B$38:$BK$67,MATCH(B411,'ei names mapping'!$A$4:$A$33,0),MATCH(G441,'ei names mapping'!$B$3:$BK$3,0))</f>
        <v>GLO</v>
      </c>
      <c r="D441" s="12" t="str">
        <f>INDEX('ei names mapping'!$B$104:$BK$133,MATCH(B411,'ei names mapping'!$A$4:$A$33,0),MATCH(G441,'ei names mapping'!$B$3:$BK$3,0))</f>
        <v>unit</v>
      </c>
      <c r="F441" s="12" t="s">
        <v>91</v>
      </c>
      <c r="G441" s="12" t="s">
        <v>123</v>
      </c>
      <c r="H441" s="12" t="str">
        <f>INDEX('ei names mapping'!$B$71:$BK$100,MATCH(B411,'ei names mapping'!$A$4:$A$33,0),MATCH(G441,'ei names mapping'!$B$3:$BK$3,0))</f>
        <v>maintenance, electric scooter, without battery</v>
      </c>
    </row>
    <row r="442" spans="1:8" s="21" customFormat="1" x14ac:dyDescent="0.3">
      <c r="A442" s="12" t="str">
        <f>INDEX('ei names mapping'!$B$4:$R$33,MATCH(B411,'ei names mapping'!$A$4:$A$33,0),MATCH(G442,'ei names mapping'!$B$3:$R$3,0))</f>
        <v>road construction</v>
      </c>
      <c r="B442" s="16">
        <f>INDEX('vehicles specifications'!$B$3:$CK$86,MATCH(B414,'vehicles specifications'!$A$3:$A$86,0),MATCH(G442,'vehicles specifications'!$B$2:$CK$2,0))*INDEX('ei names mapping'!$B$137:$BK$220,MATCH(B414,'ei names mapping'!$A$137:$A$220,0),MATCH(G442,'ei names mapping'!$B$136:$BK$136,0))</f>
        <v>1.3175295000000001E-4</v>
      </c>
      <c r="C442" s="12" t="str">
        <f>INDEX('ei names mapping'!$B$38:$R$67,MATCH(B411,'ei names mapping'!$A$4:$A$33,0),MATCH(G442,'ei names mapping'!$B$3:$R$3,0))</f>
        <v>CH</v>
      </c>
      <c r="D442" s="12" t="str">
        <f>INDEX('ei names mapping'!$B$104:$R$133,MATCH(B411,'ei names mapping'!$A$104:$A$133,0),MATCH(G442,'ei names mapping'!$B$3:$R$3,0))</f>
        <v>meter-year</v>
      </c>
      <c r="E442" s="12"/>
      <c r="F442" s="12" t="s">
        <v>91</v>
      </c>
      <c r="G442" s="21" t="s">
        <v>108</v>
      </c>
      <c r="H442" s="12" t="str">
        <f>INDEX('ei names mapping'!$B$71:$R$100,MATCH(B411,'ei names mapping'!$A$4:$A$33,0),MATCH(G442,'ei names mapping'!$B$3:$R$3,0))</f>
        <v>road</v>
      </c>
    </row>
    <row r="443" spans="1:8" x14ac:dyDescent="0.3">
      <c r="A443" s="12" t="str">
        <f>INDEX('ei names mapping'!$B$4:$BK$33,MATCH(B411,'ei names mapping'!$A$4:$A$33,0),MATCH(G443,'ei names mapping'!$B$3:$BK$3,0))</f>
        <v>treatment of road wear emissions, passenger car</v>
      </c>
      <c r="B443" s="16">
        <f>INDEX('vehicles specifications'!$B$3:$CK$86,MATCH(B414,'vehicles specifications'!$A$3:$A$86,0),MATCH(G443,'vehicles specifications'!$B$2:$CK$2,0))*INDEX('ei names mapping'!$B$137:$BK$220,MATCH(B414,'ei names mapping'!$A$137:$A$220,0),MATCH(G443,'ei names mapping'!$B$136:$BK$136,0))</f>
        <v>-6.0000000000000002E-6</v>
      </c>
      <c r="C443" s="12" t="str">
        <f>INDEX('ei names mapping'!$B$38:$BK$67,MATCH(B411,'ei names mapping'!$A$4:$A$33,0),MATCH(G443,'ei names mapping'!$B$3:$BK$3,0))</f>
        <v>RER</v>
      </c>
      <c r="D443" s="12" t="str">
        <f>INDEX('ei names mapping'!$B$104:$BK$133,MATCH(B411,'ei names mapping'!$A$4:$A$33,0),MATCH(G443,'ei names mapping'!$B$3:$BK$3,0))</f>
        <v>kilogram</v>
      </c>
      <c r="E443" s="12"/>
      <c r="F443" s="12" t="s">
        <v>91</v>
      </c>
      <c r="G443" t="s">
        <v>29</v>
      </c>
      <c r="H443" s="12" t="str">
        <f>INDEX('ei names mapping'!$B$71:$BK$100,MATCH(B411,'ei names mapping'!$A$4:$A$33,0),MATCH(G443,'ei names mapping'!$B$3:$BK$3,0))</f>
        <v>road wear emissions, passenger car</v>
      </c>
    </row>
    <row r="444" spans="1:8" x14ac:dyDescent="0.3">
      <c r="A444" s="12" t="str">
        <f>INDEX('ei names mapping'!$B$4:$BK$33,MATCH(B411,'ei names mapping'!$A$4:$A$33,0),MATCH(G444,'ei names mapping'!$B$3:$BK$3,0))</f>
        <v>treatment of tyre wear emissions, passenger car</v>
      </c>
      <c r="B444" s="16">
        <f>INDEX('vehicles specifications'!$B$3:$CK$86,MATCH(B414,'vehicles specifications'!$A$3:$A$86,0),MATCH(G444,'vehicles specifications'!$B$2:$CK$2,0))*INDEX('ei names mapping'!$B$137:$BK$220,MATCH(B414,'ei names mapping'!$A$137:$A$220,0),MATCH(G444,'ei names mapping'!$B$136:$BK$136,0))</f>
        <v>-7.3669999999999991E-6</v>
      </c>
      <c r="C444" s="12" t="str">
        <f>INDEX('ei names mapping'!$B$38:$BK$67,MATCH(B411,'ei names mapping'!$A$4:$A$33,0),MATCH(G444,'ei names mapping'!$B$3:$BK$3,0))</f>
        <v>RER</v>
      </c>
      <c r="D444" s="12" t="str">
        <f>INDEX('ei names mapping'!$B$104:$BK$133,MATCH(B411,'ei names mapping'!$A$4:$A$33,0),MATCH(G444,'ei names mapping'!$B$3:$BK$3,0))</f>
        <v>kilogram</v>
      </c>
      <c r="E444" s="12"/>
      <c r="F444" s="12" t="s">
        <v>91</v>
      </c>
      <c r="G444" t="s">
        <v>30</v>
      </c>
      <c r="H444" s="12" t="str">
        <f>INDEX('ei names mapping'!$B$71:$BK$100,MATCH(B411,'ei names mapping'!$A$4:$A$33,0),MATCH(G444,'ei names mapping'!$B$3:$BK$3,0))</f>
        <v>tyre wear emissions, passenger car</v>
      </c>
    </row>
    <row r="445" spans="1:8" x14ac:dyDescent="0.3">
      <c r="A445" s="12" t="str">
        <f>INDEX('ei names mapping'!$B$4:$BK$33,MATCH(B411,'ei names mapping'!$A$4:$A$33,0),MATCH(G445,'ei names mapping'!$B$3:$BK$3,0))</f>
        <v>treatment of brake wear emissions, passenger car</v>
      </c>
      <c r="B445" s="16">
        <f>INDEX('vehicles specifications'!$B$3:$CK$86,MATCH(B414,'vehicles specifications'!$A$3:$A$86,0),MATCH(G445,'vehicles specifications'!$B$2:$CK$2,0))*INDEX('ei names mapping'!$B$137:$BK$220,MATCH(B414,'ei names mapping'!$A$137:$A$220,0),MATCH(G445,'ei names mapping'!$B$136:$BK$136,0))</f>
        <v>-4.1749999999999998E-6</v>
      </c>
      <c r="C445" s="12" t="str">
        <f>INDEX('ei names mapping'!$B$38:$BK$67,MATCH(B411,'ei names mapping'!$A$4:$A$33,0),MATCH(G445,'ei names mapping'!$B$3:$BK$3,0))</f>
        <v>RER</v>
      </c>
      <c r="D445" s="12" t="str">
        <f>INDEX('ei names mapping'!$B$104:$BK$133,MATCH(B411,'ei names mapping'!$A$4:$A$33,0),MATCH(G445,'ei names mapping'!$B$3:$BK$3,0))</f>
        <v>kilogram</v>
      </c>
      <c r="E445" s="12"/>
      <c r="F445" s="12" t="s">
        <v>91</v>
      </c>
      <c r="G445" t="s">
        <v>31</v>
      </c>
      <c r="H445" s="12" t="str">
        <f>INDEX('ei names mapping'!$B$71:$BK$100,MATCH(B411,'ei names mapping'!$A$4:$A$33,0),MATCH(G445,'ei names mapping'!$B$3:$BK$3,0))</f>
        <v>brake wear emissions, passenger car</v>
      </c>
    </row>
    <row r="447" spans="1:8" ht="15.6" x14ac:dyDescent="0.3">
      <c r="A447" s="11" t="s">
        <v>72</v>
      </c>
      <c r="B447" s="9" t="str">
        <f>"transport, "&amp;B449&amp;", "&amp;B451&amp;", label-certified electricity"</f>
        <v>transport, Motorbike, electric, 11-35kW, 2050, label-certified electricity</v>
      </c>
    </row>
    <row r="448" spans="1:8" x14ac:dyDescent="0.3">
      <c r="A448" t="s">
        <v>73</v>
      </c>
      <c r="B448" t="s">
        <v>37</v>
      </c>
    </row>
    <row r="449" spans="1:2" x14ac:dyDescent="0.3">
      <c r="A449" t="s">
        <v>87</v>
      </c>
      <c r="B449" t="s">
        <v>522</v>
      </c>
    </row>
    <row r="450" spans="1:2" x14ac:dyDescent="0.3">
      <c r="A450" t="s">
        <v>88</v>
      </c>
      <c r="B450" s="12"/>
    </row>
    <row r="451" spans="1:2" x14ac:dyDescent="0.3">
      <c r="A451" t="s">
        <v>89</v>
      </c>
      <c r="B451" s="12">
        <v>2050</v>
      </c>
    </row>
    <row r="452" spans="1:2" x14ac:dyDescent="0.3">
      <c r="A452" t="s">
        <v>131</v>
      </c>
      <c r="B452" s="12" t="str">
        <f>B449&amp;" - "&amp;B451&amp;" - "&amp;B448</f>
        <v>Motorbike, electric, 11-35kW - 2050 - CH</v>
      </c>
    </row>
    <row r="453" spans="1:2" x14ac:dyDescent="0.3">
      <c r="A453" t="s">
        <v>74</v>
      </c>
      <c r="B453" s="12" t="str">
        <f>"transport, "&amp;B449</f>
        <v>transport, Motorbike, electric, 11-35kW</v>
      </c>
    </row>
    <row r="454" spans="1:2" x14ac:dyDescent="0.3">
      <c r="A454" t="s">
        <v>75</v>
      </c>
      <c r="B454" t="s">
        <v>76</v>
      </c>
    </row>
    <row r="455" spans="1:2" x14ac:dyDescent="0.3">
      <c r="A455" t="s">
        <v>77</v>
      </c>
      <c r="B455" t="s">
        <v>172</v>
      </c>
    </row>
    <row r="456" spans="1:2" x14ac:dyDescent="0.3">
      <c r="A456" t="s">
        <v>79</v>
      </c>
      <c r="B456" t="s">
        <v>90</v>
      </c>
    </row>
    <row r="457" spans="1:2" x14ac:dyDescent="0.3">
      <c r="A457" t="s">
        <v>132</v>
      </c>
      <c r="B457">
        <f>INDEX('vehicles specifications'!$B$3:$CK$86,MATCH(B452,'vehicles specifications'!$A$3:$A$86,0),MATCH("Lifetime [km]",'vehicles specifications'!$B$2:$CK$2,0))</f>
        <v>62100</v>
      </c>
    </row>
    <row r="458" spans="1:2" x14ac:dyDescent="0.3">
      <c r="A458" t="s">
        <v>133</v>
      </c>
      <c r="B458">
        <f>INDEX('vehicles specifications'!$B$3:$CK$86,MATCH(B452,'vehicles specifications'!$A$3:$A$86,0),MATCH("Passengers [unit]",'vehicles specifications'!$B$2:$CK$2,0))</f>
        <v>1.1000000000000001</v>
      </c>
    </row>
    <row r="459" spans="1:2" x14ac:dyDescent="0.3">
      <c r="A459" t="s">
        <v>134</v>
      </c>
      <c r="B459">
        <f>INDEX('vehicles specifications'!$B$3:$CK$86,MATCH(B452,'vehicles specifications'!$A$3:$A$86,0),MATCH("Servicing [unit]",'vehicles specifications'!$B$2:$CK$2,0))</f>
        <v>1.242</v>
      </c>
    </row>
    <row r="460" spans="1:2" x14ac:dyDescent="0.3">
      <c r="A460" t="s">
        <v>135</v>
      </c>
      <c r="B460">
        <f>INDEX('vehicles specifications'!$B$3:$CK$86,MATCH(B452,'vehicles specifications'!$A$3:$A$86,0),MATCH("Energy battery replacement [unit]",'vehicles specifications'!$B$2:$CK$2,0))</f>
        <v>0</v>
      </c>
    </row>
    <row r="461" spans="1:2" x14ac:dyDescent="0.3">
      <c r="A461" t="s">
        <v>136</v>
      </c>
      <c r="B461">
        <f>INDEX('vehicles specifications'!$B$3:$CK$86,MATCH(B452,'vehicles specifications'!$A$3:$A$86,0),MATCH("Annual kilometers [km]",'vehicles specifications'!$B$2:$CK$2,0))</f>
        <v>4690</v>
      </c>
    </row>
    <row r="462" spans="1:2" x14ac:dyDescent="0.3">
      <c r="A462" t="s">
        <v>137</v>
      </c>
      <c r="B462" s="2">
        <f>INDEX('vehicles specifications'!$B$3:$CK$86,MATCH(B452,'vehicles specifications'!$A$3:$A$86,0),MATCH("Curb mass [kg]",'vehicles specifications'!$B$2:$CK$2,0))</f>
        <v>162.05000000000001</v>
      </c>
    </row>
    <row r="463" spans="1:2" x14ac:dyDescent="0.3">
      <c r="A463" t="s">
        <v>138</v>
      </c>
      <c r="B463">
        <f>INDEX('vehicles specifications'!$B$3:$CK$86,MATCH(B452,'vehicles specifications'!$A$3:$A$86,0),MATCH("Power [kW]",'vehicles specifications'!$B$2:$CK$2,0))</f>
        <v>14</v>
      </c>
    </row>
    <row r="464" spans="1:2" x14ac:dyDescent="0.3">
      <c r="A464" t="s">
        <v>139</v>
      </c>
      <c r="B464">
        <f>INDEX('vehicles specifications'!$B$3:$CK$86,MATCH(B452,'vehicles specifications'!$A$3:$A$86,0),MATCH("Energy battery mass [kg]",'vehicles specifications'!$B$2:$CK$2,0))</f>
        <v>54.72</v>
      </c>
    </row>
    <row r="465" spans="1:8" x14ac:dyDescent="0.3">
      <c r="A465" t="s">
        <v>140</v>
      </c>
      <c r="B465" s="21">
        <f>INDEX('vehicles specifications'!$B$3:$CK$86,MATCH(B452,'vehicles specifications'!$A$3:$A$86,0),MATCH("Electric energy stored [kWh]",'vehicles specifications'!$B$2:$CK$2,0))</f>
        <v>22.8</v>
      </c>
    </row>
    <row r="466" spans="1:8" s="21" customFormat="1" x14ac:dyDescent="0.3">
      <c r="A466" s="21" t="s">
        <v>654</v>
      </c>
      <c r="B466" s="21">
        <f>INDEX('vehicles specifications'!$B$3:$CK$86,MATCH(B452,'vehicles specifications'!$A$3:$A$86,0),MATCH("Electric energy available [kWh]",'vehicles specifications'!$B$2:$CK$2,0))</f>
        <v>18.240000000000002</v>
      </c>
    </row>
    <row r="467" spans="1:8" x14ac:dyDescent="0.3">
      <c r="A467" t="s">
        <v>143</v>
      </c>
      <c r="B467" s="2">
        <f>INDEX('vehicles specifications'!$B$3:$CK$86,MATCH(B452,'vehicles specifications'!$A$3:$A$86,0),MATCH("Oxydation energy stored [kWh]",'vehicles specifications'!$B$2:$CK$2,0))</f>
        <v>0</v>
      </c>
    </row>
    <row r="468" spans="1:8" x14ac:dyDescent="0.3">
      <c r="A468" t="s">
        <v>145</v>
      </c>
      <c r="B468">
        <f>INDEX('vehicles specifications'!$B$3:$CK$86,MATCH(B452,'vehicles specifications'!$A$3:$A$86,0),MATCH("Fuel mass [kg]",'vehicles specifications'!$B$2:$CK$2,0))</f>
        <v>0</v>
      </c>
    </row>
    <row r="469" spans="1:8" x14ac:dyDescent="0.3">
      <c r="A469" t="s">
        <v>141</v>
      </c>
      <c r="B469" s="2">
        <f>INDEX('vehicles specifications'!$B$3:$CK$86,MATCH(B452,'vehicles specifications'!$A$3:$A$86,0),MATCH("Range [km]",'vehicles specifications'!$B$2:$CK$2,0))</f>
        <v>266.54132043956048</v>
      </c>
    </row>
    <row r="470" spans="1:8" x14ac:dyDescent="0.3">
      <c r="A470" t="s">
        <v>142</v>
      </c>
      <c r="B470" t="str">
        <f>INDEX('vehicles specifications'!$B$3:$CK$86,MATCH(B452,'vehicles specifications'!$A$3:$A$86,0),MATCH("Emission standard",'vehicles specifications'!$B$2:$CK$2,0))</f>
        <v>None</v>
      </c>
    </row>
    <row r="471" spans="1:8" x14ac:dyDescent="0.3">
      <c r="A471" t="s">
        <v>144</v>
      </c>
      <c r="B471" s="6">
        <f>INDEX('vehicles specifications'!$B$3:$CK$86,MATCH(B452,'vehicles specifications'!$A$3:$A$86,0),MATCH("Lightweighting rate [%]",'vehicles specifications'!$B$2:$CK$2,0))</f>
        <v>7.0000000000000007E-2</v>
      </c>
    </row>
    <row r="472" spans="1:8" x14ac:dyDescent="0.3">
      <c r="A472" t="s">
        <v>84</v>
      </c>
      <c r="B472" s="21" t="str">
        <f>"Power: "&amp;B463&amp;" kW. Lifetime: "&amp;B457&amp;" km. Annual kilometers: "&amp;B461&amp;" km. Number of passengers: "&amp;B458&amp;". Curb mass: "&amp;ROUND(B462,1)&amp;" kg. Lightweighting of glider: "&amp;ROUND(B471*100,0)&amp;"%. Emission standard: "&amp;B470&amp;". Service visits throughout lifetime: "&amp;ROUND(B459,1)&amp;". Range: "&amp;ROUND(B469,0)&amp;" km. Battery capacity: "&amp;ROUND(B465,1)&amp;" kWh. Available battery capacity: "&amp;B466&amp;" kWh. Battery mass: "&amp;ROUND(B464,1)&amp; " kg. Battery replacement throughout lifetime: "&amp;ROUND(B460,1)&amp;". Fuel tank capacity: "&amp;ROUND(B467,1)&amp;" kWh. Fuel mass: "&amp;ROUND(B468,1)&amp;" kg. Documentation: "&amp;Readmefirst!$B$2&amp;", "&amp;Readmefirst!$B$3&amp;". "&amp;'lci-kick scooter'!B415</f>
        <v xml:space="preserve">Power: 14 kW. Lifetime: 62100 km. Annual kilometers: 4690 km. Number of passengers: 1.1. Curb mass: 162.1 kg. Lightweighting of glider: 7%. Emission standard: None. Service visits throughout lifetime: 1.2. Range: 267 km. Battery capacity: 22.8 kWh. Available battery capacity: 18.24 kWh. Battery mass: 54.7 kg. Battery replacement throughout lifetime: 0. Fuel tank capacity: 0 kWh. Fuel mass: 0 kg. Documentation: 2021 UVEK life-cycle inventories update of on-road vehicles, Sacchi R. (PSI), Bauer C. (PSI), 2021. </v>
      </c>
    </row>
    <row r="473" spans="1:8" ht="15.6" x14ac:dyDescent="0.3">
      <c r="A473" s="11" t="s">
        <v>80</v>
      </c>
    </row>
    <row r="474" spans="1:8" x14ac:dyDescent="0.3">
      <c r="A474" t="s">
        <v>81</v>
      </c>
      <c r="B474" t="s">
        <v>82</v>
      </c>
      <c r="C474" t="s">
        <v>73</v>
      </c>
      <c r="D474" t="s">
        <v>77</v>
      </c>
      <c r="E474" t="s">
        <v>83</v>
      </c>
      <c r="F474" t="s">
        <v>75</v>
      </c>
      <c r="G474" t="s">
        <v>84</v>
      </c>
      <c r="H474" t="s">
        <v>74</v>
      </c>
    </row>
    <row r="475" spans="1:8" x14ac:dyDescent="0.3">
      <c r="A475" s="12" t="str">
        <f>B447</f>
        <v>transport, Motorbike, electric, 11-35kW, 2050, label-certified electricity</v>
      </c>
      <c r="B475" s="12">
        <v>1</v>
      </c>
      <c r="C475" s="12" t="str">
        <f>B448</f>
        <v>CH</v>
      </c>
      <c r="D475" s="12" t="s">
        <v>172</v>
      </c>
      <c r="E475" s="12"/>
      <c r="F475" s="12" t="s">
        <v>85</v>
      </c>
      <c r="G475" s="12" t="s">
        <v>86</v>
      </c>
      <c r="H475" s="12" t="str">
        <f>B453</f>
        <v>transport, Motorbike, electric, 11-35kW</v>
      </c>
    </row>
    <row r="476" spans="1:8" x14ac:dyDescent="0.3">
      <c r="A476" s="12" t="str">
        <f>B449&amp;", "&amp;B451</f>
        <v>Motorbike, electric, 11-35kW, 2050</v>
      </c>
      <c r="B476" s="12">
        <f>1/B457</f>
        <v>1.6103059581320449E-5</v>
      </c>
      <c r="C476" s="12" t="str">
        <f>B448</f>
        <v>CH</v>
      </c>
      <c r="D476" s="12" t="s">
        <v>77</v>
      </c>
      <c r="E476" s="12"/>
      <c r="F476" s="12" t="s">
        <v>91</v>
      </c>
      <c r="G476" s="12"/>
      <c r="H476" s="12" t="str">
        <f>RIGHT(H475,LEN(H475)-11)</f>
        <v>Motorbike, electric, 11-35kW</v>
      </c>
    </row>
    <row r="477" spans="1:8" x14ac:dyDescent="0.3">
      <c r="A477" s="12" t="str">
        <f>INDEX('ei names mapping'!$B$4:$R$33,MATCH(B449,'ei names mapping'!$A$4:$A$33,0),MATCH(G477,'ei names mapping'!$B$3:$R$3,0))</f>
        <v>road maintenance</v>
      </c>
      <c r="B477" s="16">
        <f>INDEX('vehicles specifications'!$B$3:$CK$86,MATCH(B452,'vehicles specifications'!$A$3:$A$86,0),MATCH(G477,'vehicles specifications'!$B$2:$CK$2,0))*INDEX('ei names mapping'!$B$137:$BK$220,MATCH(B452,'ei names mapping'!$A$137:$A$220,0),MATCH(G477,'ei names mapping'!$B$136:$BK$136,0))</f>
        <v>1.2899999999999999E-3</v>
      </c>
      <c r="C477" s="12" t="str">
        <f>INDEX('ei names mapping'!$B$38:$R$67,MATCH(B449,'ei names mapping'!$A$4:$A$33,0),MATCH(G477,'ei names mapping'!$B$3:$R$3,0))</f>
        <v>CH</v>
      </c>
      <c r="D477" s="12" t="str">
        <f>INDEX('ei names mapping'!$B$104:$BK$133,MATCH(B449,'ei names mapping'!$A$4:$A$33,0),MATCH(G477,'ei names mapping'!$B$3:$BK$3,0))</f>
        <v>meter-year</v>
      </c>
      <c r="E477" s="12"/>
      <c r="F477" s="12" t="s">
        <v>91</v>
      </c>
      <c r="G477" t="s">
        <v>117</v>
      </c>
      <c r="H477" s="12" t="str">
        <f>INDEX('ei names mapping'!$B$71:$BK$100,MATCH(B449,'ei names mapping'!$A$4:$A$33,0),MATCH(G477,'ei names mapping'!$B$3:$BK$3,0))</f>
        <v>road maintenance</v>
      </c>
    </row>
    <row r="478" spans="1:8" x14ac:dyDescent="0.3">
      <c r="A478" s="12" t="s">
        <v>114</v>
      </c>
      <c r="B478" s="14">
        <f>INDEX('vehicles specifications'!$B$3:$CK$86,MATCH(B452,'vehicles specifications'!$A$3:$A$86,0),MATCH(G478,'vehicles specifications'!$B$2:$CK$2,0))*INDEX('ei names mapping'!$B$137:$BK$220,MATCH(B452,'ei names mapping'!$A$137:$A$220,0),MATCH(G478,'ei names mapping'!$B$136:$BK$136,0))</f>
        <v>7.5275383069731625E-2</v>
      </c>
      <c r="C478" s="12" t="str">
        <f>INDEX('ei names mapping'!$B$38:$R$67,MATCH($B$3,'ei names mapping'!$A$4:$A$33,0),MATCH(G478,'ei names mapping'!$B$3:$R$3,0))</f>
        <v>CH</v>
      </c>
      <c r="D478" s="12" t="str">
        <f>INDEX('ei names mapping'!$B$104:$R$133,MATCH($B$3,'ei names mapping'!$A$4:$A$33,0),MATCH(G478,'ei names mapping'!$B$3:$R$3,0))</f>
        <v>kilowatt hour</v>
      </c>
      <c r="E478" s="12"/>
      <c r="F478" s="12" t="s">
        <v>91</v>
      </c>
      <c r="G478" t="s">
        <v>28</v>
      </c>
      <c r="H478" s="12" t="s">
        <v>116</v>
      </c>
    </row>
    <row r="479" spans="1:8" x14ac:dyDescent="0.3">
      <c r="A479" s="12" t="str">
        <f>INDEX('ei names mapping'!$B$4:$R$33,MATCH(B449,'ei names mapping'!$A$4:$A$33,0),MATCH(G479,'ei names mapping'!$B$3:$R$3,0))</f>
        <v>market for maintenance, electric scooter, without battery</v>
      </c>
      <c r="B479" s="16">
        <f>INDEX('vehicles specifications'!$B$3:$CK$86,MATCH(B452,'vehicles specifications'!$A$3:$A$86,0),MATCH(G479,'vehicles specifications'!$B$2:$CK$2,0))*INDEX('ei names mapping'!$B$137:$BK$220,MATCH(B452,'ei names mapping'!$A$137:$A$220,0),MATCH(G479,'ei names mapping'!$B$136:$BK$136,0))</f>
        <v>1.9999999999999998E-5</v>
      </c>
      <c r="C479" s="12" t="str">
        <f>INDEX('ei names mapping'!$B$38:$BK$67,MATCH(B449,'ei names mapping'!$A$4:$A$33,0),MATCH(G479,'ei names mapping'!$B$3:$BK$3,0))</f>
        <v>GLO</v>
      </c>
      <c r="D479" s="12" t="str">
        <f>INDEX('ei names mapping'!$B$104:$BK$133,MATCH(B449,'ei names mapping'!$A$4:$A$33,0),MATCH(G479,'ei names mapping'!$B$3:$BK$3,0))</f>
        <v>unit</v>
      </c>
      <c r="F479" s="12" t="s">
        <v>91</v>
      </c>
      <c r="G479" s="12" t="s">
        <v>123</v>
      </c>
      <c r="H479" s="12" t="str">
        <f>INDEX('ei names mapping'!$B$71:$BK$100,MATCH(B449,'ei names mapping'!$A$4:$A$33,0),MATCH(G479,'ei names mapping'!$B$3:$BK$3,0))</f>
        <v>maintenance, electric scooter, without battery</v>
      </c>
    </row>
    <row r="480" spans="1:8" s="21" customFormat="1" x14ac:dyDescent="0.3">
      <c r="A480" s="12" t="str">
        <f>INDEX('ei names mapping'!$B$4:$R$33,MATCH(B449,'ei names mapping'!$A$4:$A$33,0),MATCH(G480,'ei names mapping'!$B$3:$R$3,0))</f>
        <v>road construction</v>
      </c>
      <c r="B480" s="16">
        <f>INDEX('vehicles specifications'!$B$3:$CK$86,MATCH(B452,'vehicles specifications'!$A$3:$A$86,0),MATCH(G480,'vehicles specifications'!$B$2:$CK$2,0))*INDEX('ei names mapping'!$B$137:$BK$220,MATCH(B452,'ei names mapping'!$A$137:$A$220,0),MATCH(G480,'ei names mapping'!$B$136:$BK$136,0))</f>
        <v>1.3159185000000001E-4</v>
      </c>
      <c r="C480" s="12" t="str">
        <f>INDEX('ei names mapping'!$B$38:$R$67,MATCH(B449,'ei names mapping'!$A$4:$A$33,0),MATCH(G480,'ei names mapping'!$B$3:$R$3,0))</f>
        <v>CH</v>
      </c>
      <c r="D480" s="12" t="str">
        <f>INDEX('ei names mapping'!$B$104:$R$133,MATCH(B449,'ei names mapping'!$A$104:$A$133,0),MATCH(G480,'ei names mapping'!$B$3:$R$3,0))</f>
        <v>meter-year</v>
      </c>
      <c r="E480" s="12"/>
      <c r="F480" s="12" t="s">
        <v>91</v>
      </c>
      <c r="G480" s="21" t="s">
        <v>108</v>
      </c>
      <c r="H480" s="12" t="str">
        <f>INDEX('ei names mapping'!$B$71:$R$100,MATCH(B449,'ei names mapping'!$A$4:$A$33,0),MATCH(G480,'ei names mapping'!$B$3:$R$3,0))</f>
        <v>road</v>
      </c>
    </row>
    <row r="481" spans="1:8" x14ac:dyDescent="0.3">
      <c r="A481" s="12" t="str">
        <f>INDEX('ei names mapping'!$B$4:$BK$33,MATCH(B449,'ei names mapping'!$A$4:$A$33,0),MATCH(G481,'ei names mapping'!$B$3:$BK$3,0))</f>
        <v>treatment of road wear emissions, passenger car</v>
      </c>
      <c r="B481" s="16">
        <f>INDEX('vehicles specifications'!$B$3:$CK$86,MATCH(B452,'vehicles specifications'!$A$3:$A$86,0),MATCH(G481,'vehicles specifications'!$B$2:$CK$2,0))*INDEX('ei names mapping'!$B$137:$BK$220,MATCH(B452,'ei names mapping'!$A$137:$A$220,0),MATCH(G481,'ei names mapping'!$B$136:$BK$136,0))</f>
        <v>-6.0000000000000002E-6</v>
      </c>
      <c r="C481" s="12" t="str">
        <f>INDEX('ei names mapping'!$B$38:$BK$67,MATCH(B449,'ei names mapping'!$A$4:$A$33,0),MATCH(G481,'ei names mapping'!$B$3:$BK$3,0))</f>
        <v>RER</v>
      </c>
      <c r="D481" s="12" t="str">
        <f>INDEX('ei names mapping'!$B$104:$BK$133,MATCH(B449,'ei names mapping'!$A$4:$A$33,0),MATCH(G481,'ei names mapping'!$B$3:$BK$3,0))</f>
        <v>kilogram</v>
      </c>
      <c r="E481" s="12"/>
      <c r="F481" s="12" t="s">
        <v>91</v>
      </c>
      <c r="G481" t="s">
        <v>29</v>
      </c>
      <c r="H481" s="12" t="str">
        <f>INDEX('ei names mapping'!$B$71:$BK$100,MATCH(B449,'ei names mapping'!$A$4:$A$33,0),MATCH(G481,'ei names mapping'!$B$3:$BK$3,0))</f>
        <v>road wear emissions, passenger car</v>
      </c>
    </row>
    <row r="482" spans="1:8" x14ac:dyDescent="0.3">
      <c r="A482" s="12" t="str">
        <f>INDEX('ei names mapping'!$B$4:$BK$33,MATCH(B449,'ei names mapping'!$A$4:$A$33,0),MATCH(G482,'ei names mapping'!$B$3:$BK$3,0))</f>
        <v>treatment of tyre wear emissions, passenger car</v>
      </c>
      <c r="B482" s="16">
        <f>INDEX('vehicles specifications'!$B$3:$CK$86,MATCH(B452,'vehicles specifications'!$A$3:$A$86,0),MATCH(G482,'vehicles specifications'!$B$2:$CK$2,0))*INDEX('ei names mapping'!$B$137:$BK$220,MATCH(B452,'ei names mapping'!$A$137:$A$220,0),MATCH(G482,'ei names mapping'!$B$136:$BK$136,0))</f>
        <v>-7.3669999999999991E-6</v>
      </c>
      <c r="C482" s="12" t="str">
        <f>INDEX('ei names mapping'!$B$38:$BK$67,MATCH(B449,'ei names mapping'!$A$4:$A$33,0),MATCH(G482,'ei names mapping'!$B$3:$BK$3,0))</f>
        <v>RER</v>
      </c>
      <c r="D482" s="12" t="str">
        <f>INDEX('ei names mapping'!$B$104:$BK$133,MATCH(B449,'ei names mapping'!$A$4:$A$33,0),MATCH(G482,'ei names mapping'!$B$3:$BK$3,0))</f>
        <v>kilogram</v>
      </c>
      <c r="E482" s="12"/>
      <c r="F482" s="12" t="s">
        <v>91</v>
      </c>
      <c r="G482" t="s">
        <v>30</v>
      </c>
      <c r="H482" s="12" t="str">
        <f>INDEX('ei names mapping'!$B$71:$BK$100,MATCH(B449,'ei names mapping'!$A$4:$A$33,0),MATCH(G482,'ei names mapping'!$B$3:$BK$3,0))</f>
        <v>tyre wear emissions, passenger car</v>
      </c>
    </row>
    <row r="483" spans="1:8" x14ac:dyDescent="0.3">
      <c r="A483" s="12" t="str">
        <f>INDEX('ei names mapping'!$B$4:$BK$33,MATCH(B449,'ei names mapping'!$A$4:$A$33,0),MATCH(G483,'ei names mapping'!$B$3:$BK$3,0))</f>
        <v>treatment of brake wear emissions, passenger car</v>
      </c>
      <c r="B483" s="16">
        <f>INDEX('vehicles specifications'!$B$3:$CK$86,MATCH(B452,'vehicles specifications'!$A$3:$A$86,0),MATCH(G483,'vehicles specifications'!$B$2:$CK$2,0))*INDEX('ei names mapping'!$B$137:$BK$220,MATCH(B452,'ei names mapping'!$A$137:$A$220,0),MATCH(G483,'ei names mapping'!$B$136:$BK$136,0))</f>
        <v>-4.1749999999999998E-6</v>
      </c>
      <c r="C483" s="12" t="str">
        <f>INDEX('ei names mapping'!$B$38:$BK$67,MATCH(B449,'ei names mapping'!$A$4:$A$33,0),MATCH(G483,'ei names mapping'!$B$3:$BK$3,0))</f>
        <v>RER</v>
      </c>
      <c r="D483" s="12" t="str">
        <f>INDEX('ei names mapping'!$B$104:$BK$133,MATCH(B449,'ei names mapping'!$A$4:$A$33,0),MATCH(G483,'ei names mapping'!$B$3:$BK$3,0))</f>
        <v>kilogram</v>
      </c>
      <c r="E483" s="12"/>
      <c r="F483" s="12" t="s">
        <v>91</v>
      </c>
      <c r="G483" t="s">
        <v>31</v>
      </c>
      <c r="H483" s="12" t="str">
        <f>INDEX('ei names mapping'!$B$71:$BK$100,MATCH(B449,'ei names mapping'!$A$4:$A$33,0),MATCH(G483,'ei names mapping'!$B$3:$BK$3,0))</f>
        <v>brake wear emissions, passenger car</v>
      </c>
    </row>
    <row r="485" spans="1:8" ht="15.6" x14ac:dyDescent="0.3">
      <c r="A485" s="11"/>
      <c r="B485" s="9"/>
    </row>
    <row r="488" spans="1:8" x14ac:dyDescent="0.3">
      <c r="B488" s="12"/>
    </row>
    <row r="489" spans="1:8" x14ac:dyDescent="0.3">
      <c r="B489" s="12"/>
    </row>
    <row r="490" spans="1:8" x14ac:dyDescent="0.3">
      <c r="B490" s="12"/>
    </row>
    <row r="500" spans="1:8" x14ac:dyDescent="0.3">
      <c r="B500" s="2"/>
    </row>
    <row r="504" spans="1:8" x14ac:dyDescent="0.3">
      <c r="B504" s="2"/>
    </row>
    <row r="506" spans="1:8" x14ac:dyDescent="0.3">
      <c r="B506" s="2"/>
    </row>
    <row r="508" spans="1:8" x14ac:dyDescent="0.3">
      <c r="B508" s="6"/>
    </row>
    <row r="510" spans="1:8" ht="15.6" x14ac:dyDescent="0.3">
      <c r="A510" s="11"/>
    </row>
    <row r="512" spans="1:8" x14ac:dyDescent="0.3">
      <c r="A512" s="12"/>
      <c r="B512" s="12"/>
      <c r="C512" s="12"/>
      <c r="D512" s="12"/>
      <c r="E512" s="12"/>
      <c r="F512" s="12"/>
      <c r="G512" s="12"/>
      <c r="H512" s="12"/>
    </row>
    <row r="513" spans="1:8" x14ac:dyDescent="0.3">
      <c r="A513" s="12"/>
      <c r="B513" s="16"/>
      <c r="C513" s="12"/>
      <c r="D513" s="12"/>
      <c r="E513" s="12"/>
      <c r="F513" s="12"/>
      <c r="G513" s="12"/>
      <c r="H513" s="12"/>
    </row>
    <row r="514" spans="1:8" x14ac:dyDescent="0.3">
      <c r="A514" s="12"/>
      <c r="B514" s="16"/>
      <c r="C514" s="12"/>
      <c r="D514" s="12"/>
      <c r="E514" s="12"/>
      <c r="F514" s="12"/>
      <c r="H514" s="12"/>
    </row>
    <row r="515" spans="1:8" x14ac:dyDescent="0.3">
      <c r="A515" s="12"/>
      <c r="B515" s="16"/>
      <c r="C515" s="12"/>
      <c r="D515" s="12"/>
      <c r="E515" s="12"/>
      <c r="F515" s="12"/>
      <c r="H515" s="12"/>
    </row>
    <row r="516" spans="1:8" x14ac:dyDescent="0.3">
      <c r="A516" s="12"/>
      <c r="B516" s="16"/>
      <c r="C516" s="12"/>
      <c r="D516" s="12"/>
      <c r="E516" s="12"/>
      <c r="F516" s="12"/>
      <c r="H516" s="12"/>
    </row>
    <row r="517" spans="1:8" x14ac:dyDescent="0.3">
      <c r="A517" s="12"/>
      <c r="B517" s="16"/>
      <c r="C517" s="12"/>
      <c r="D517" s="12"/>
      <c r="E517" s="12"/>
      <c r="F517" s="12"/>
      <c r="H517" s="12"/>
    </row>
    <row r="518" spans="1:8" x14ac:dyDescent="0.3">
      <c r="A518" s="12"/>
      <c r="B518" s="16"/>
      <c r="C518" s="12"/>
      <c r="D518" s="12"/>
      <c r="E518" s="12"/>
      <c r="F518" s="12"/>
      <c r="H518" s="12"/>
    </row>
    <row r="519" spans="1:8" x14ac:dyDescent="0.3">
      <c r="A519" s="12"/>
      <c r="B519" s="16"/>
      <c r="C519" s="12"/>
      <c r="D519" s="12"/>
      <c r="E519" s="12"/>
      <c r="F519" s="12"/>
      <c r="H519" s="12"/>
    </row>
    <row r="520" spans="1:8" x14ac:dyDescent="0.3">
      <c r="A520" s="12"/>
      <c r="B520" s="16"/>
      <c r="C520" s="12"/>
      <c r="D520" s="12"/>
      <c r="E520" s="12"/>
      <c r="F520" s="12"/>
      <c r="H520" s="12"/>
    </row>
    <row r="521" spans="1:8" x14ac:dyDescent="0.3">
      <c r="A521" s="12"/>
      <c r="B521" s="16"/>
      <c r="C521" s="12"/>
      <c r="D521" s="12"/>
      <c r="E521" s="12"/>
      <c r="F521" s="12"/>
      <c r="H521" s="12"/>
    </row>
    <row r="522" spans="1:8" x14ac:dyDescent="0.3">
      <c r="A522" s="12"/>
      <c r="B522" s="16"/>
      <c r="C522" s="12"/>
      <c r="D522" s="12"/>
      <c r="E522" s="12"/>
      <c r="F522" s="12"/>
      <c r="H522" s="12"/>
    </row>
    <row r="523" spans="1:8" x14ac:dyDescent="0.3">
      <c r="A523" s="12"/>
      <c r="B523" s="16"/>
      <c r="C523" s="12"/>
      <c r="D523" s="12"/>
      <c r="E523" s="12"/>
      <c r="F523" s="12"/>
      <c r="H523" s="12"/>
    </row>
    <row r="524" spans="1:8" ht="15.6" x14ac:dyDescent="0.3">
      <c r="A524" s="11"/>
      <c r="B524" s="9"/>
    </row>
    <row r="527" spans="1:8" x14ac:dyDescent="0.3">
      <c r="B527" s="12"/>
    </row>
    <row r="528" spans="1:8" x14ac:dyDescent="0.3">
      <c r="B528" s="12"/>
    </row>
    <row r="529" spans="2:2" x14ac:dyDescent="0.3">
      <c r="B529" s="12"/>
    </row>
    <row r="539" spans="2:2" x14ac:dyDescent="0.3">
      <c r="B539" s="2"/>
    </row>
    <row r="543" spans="2:2" x14ac:dyDescent="0.3">
      <c r="B543" s="2"/>
    </row>
    <row r="545" spans="1:8" x14ac:dyDescent="0.3">
      <c r="B545" s="2"/>
    </row>
    <row r="547" spans="1:8" x14ac:dyDescent="0.3">
      <c r="B547" s="6"/>
    </row>
    <row r="549" spans="1:8" ht="15.6" x14ac:dyDescent="0.3">
      <c r="A549" s="11"/>
    </row>
    <row r="551" spans="1:8" x14ac:dyDescent="0.3">
      <c r="A551" s="12"/>
      <c r="B551" s="12"/>
      <c r="C551" s="12"/>
      <c r="D551" s="12"/>
      <c r="E551" s="12"/>
      <c r="F551" s="12"/>
      <c r="G551" s="12"/>
      <c r="H551" s="12"/>
    </row>
    <row r="552" spans="1:8" x14ac:dyDescent="0.3">
      <c r="A552" s="12"/>
      <c r="B552" s="16"/>
      <c r="C552" s="12"/>
      <c r="D552" s="12"/>
      <c r="E552" s="12"/>
      <c r="F552" s="12"/>
      <c r="G552" s="12"/>
      <c r="H552" s="12"/>
    </row>
    <row r="553" spans="1:8" x14ac:dyDescent="0.3">
      <c r="A553" s="12"/>
      <c r="B553" s="16"/>
      <c r="C553" s="12"/>
      <c r="D553" s="12"/>
      <c r="E553" s="12"/>
      <c r="F553" s="12"/>
      <c r="H553" s="12"/>
    </row>
    <row r="554" spans="1:8" x14ac:dyDescent="0.3">
      <c r="A554" s="12"/>
      <c r="B554" s="16"/>
      <c r="C554" s="12"/>
      <c r="D554" s="12"/>
      <c r="E554" s="12"/>
      <c r="F554" s="12"/>
      <c r="H554" s="12"/>
    </row>
    <row r="555" spans="1:8" x14ac:dyDescent="0.3">
      <c r="A555" s="12"/>
      <c r="B555" s="16"/>
      <c r="C555" s="12"/>
      <c r="D555" s="12"/>
      <c r="E555" s="12"/>
      <c r="F555" s="12"/>
      <c r="H555" s="12"/>
    </row>
    <row r="556" spans="1:8" x14ac:dyDescent="0.3">
      <c r="A556" s="12"/>
      <c r="B556" s="16"/>
      <c r="C556" s="12"/>
      <c r="D556" s="12"/>
      <c r="E556" s="12"/>
      <c r="F556" s="12"/>
      <c r="H556" s="12"/>
    </row>
    <row r="557" spans="1:8" x14ac:dyDescent="0.3">
      <c r="A557" s="12"/>
      <c r="B557" s="16"/>
      <c r="C557" s="12"/>
      <c r="D557" s="12"/>
      <c r="E557" s="12"/>
      <c r="F557" s="12"/>
      <c r="H557" s="12"/>
    </row>
    <row r="558" spans="1:8" x14ac:dyDescent="0.3">
      <c r="A558" s="12"/>
      <c r="B558" s="16"/>
      <c r="C558" s="12"/>
      <c r="D558" s="12"/>
      <c r="E558" s="12"/>
      <c r="F558" s="12"/>
      <c r="H558" s="12"/>
    </row>
    <row r="559" spans="1:8" x14ac:dyDescent="0.3">
      <c r="A559" s="12"/>
      <c r="B559" s="16"/>
      <c r="C559" s="12"/>
      <c r="D559" s="12"/>
      <c r="E559" s="12"/>
      <c r="F559" s="12"/>
      <c r="H559" s="12"/>
    </row>
    <row r="560" spans="1:8" x14ac:dyDescent="0.3">
      <c r="A560" s="12"/>
      <c r="B560" s="16"/>
      <c r="C560" s="12"/>
      <c r="D560" s="12"/>
      <c r="E560" s="12"/>
      <c r="F560" s="12"/>
      <c r="H560" s="12"/>
    </row>
    <row r="561" spans="1:8" x14ac:dyDescent="0.3">
      <c r="A561" s="12"/>
      <c r="B561" s="16"/>
      <c r="C561" s="12"/>
      <c r="D561" s="12"/>
      <c r="E561" s="12"/>
      <c r="F561" s="12"/>
      <c r="H561" s="12"/>
    </row>
    <row r="562" spans="1:8" x14ac:dyDescent="0.3">
      <c r="B562" s="12"/>
    </row>
    <row r="563" spans="1:8" ht="15.6" x14ac:dyDescent="0.3">
      <c r="A563" s="11"/>
      <c r="B563" s="9"/>
    </row>
    <row r="566" spans="1:8" x14ac:dyDescent="0.3">
      <c r="B566" s="12"/>
    </row>
    <row r="567" spans="1:8" x14ac:dyDescent="0.3">
      <c r="B567" s="12"/>
    </row>
    <row r="568" spans="1:8" x14ac:dyDescent="0.3">
      <c r="B568" s="12"/>
    </row>
    <row r="578" spans="1:8" x14ac:dyDescent="0.3">
      <c r="B578" s="2"/>
    </row>
    <row r="582" spans="1:8" x14ac:dyDescent="0.3">
      <c r="B582" s="2"/>
    </row>
    <row r="584" spans="1:8" x14ac:dyDescent="0.3">
      <c r="B584" s="2"/>
    </row>
    <row r="586" spans="1:8" x14ac:dyDescent="0.3">
      <c r="B586" s="6"/>
    </row>
    <row r="588" spans="1:8" ht="15.6" x14ac:dyDescent="0.3">
      <c r="A588" s="11"/>
    </row>
    <row r="590" spans="1:8" x14ac:dyDescent="0.3">
      <c r="A590" s="12"/>
      <c r="B590" s="12"/>
      <c r="C590" s="12"/>
      <c r="D590" s="12"/>
      <c r="E590" s="12"/>
      <c r="F590" s="12"/>
      <c r="G590" s="12"/>
      <c r="H590" s="12"/>
    </row>
    <row r="591" spans="1:8" x14ac:dyDescent="0.3">
      <c r="A591" s="12"/>
      <c r="B591" s="16"/>
      <c r="C591" s="12"/>
      <c r="D591" s="12"/>
      <c r="E591" s="12"/>
      <c r="F591" s="12"/>
      <c r="G591" s="12"/>
      <c r="H591" s="12"/>
    </row>
    <row r="592" spans="1:8" x14ac:dyDescent="0.3">
      <c r="A592" s="12"/>
      <c r="B592" s="16"/>
      <c r="C592" s="12"/>
      <c r="D592" s="12"/>
      <c r="E592" s="12"/>
      <c r="F592" s="12"/>
      <c r="H592" s="12"/>
    </row>
    <row r="593" spans="1:8" x14ac:dyDescent="0.3">
      <c r="A593" s="12"/>
      <c r="B593" s="16"/>
      <c r="C593" s="12"/>
      <c r="D593" s="12"/>
      <c r="E593" s="12"/>
      <c r="F593" s="12"/>
      <c r="H593" s="12"/>
    </row>
    <row r="594" spans="1:8" x14ac:dyDescent="0.3">
      <c r="A594" s="12"/>
      <c r="B594" s="16"/>
      <c r="C594" s="12"/>
      <c r="D594" s="12"/>
      <c r="E594" s="12"/>
      <c r="F594" s="12"/>
      <c r="H594" s="12"/>
    </row>
    <row r="595" spans="1:8" x14ac:dyDescent="0.3">
      <c r="A595" s="12"/>
      <c r="B595" s="16"/>
      <c r="C595" s="12"/>
      <c r="D595" s="12"/>
      <c r="E595" s="12"/>
      <c r="F595" s="12"/>
      <c r="H595" s="12"/>
    </row>
    <row r="596" spans="1:8" x14ac:dyDescent="0.3">
      <c r="A596" s="12"/>
      <c r="B596" s="16"/>
      <c r="C596" s="12"/>
      <c r="D596" s="12"/>
      <c r="E596" s="12"/>
      <c r="F596" s="12"/>
      <c r="H596" s="12"/>
    </row>
    <row r="597" spans="1:8" x14ac:dyDescent="0.3">
      <c r="A597" s="12"/>
      <c r="B597" s="16"/>
      <c r="C597" s="12"/>
      <c r="D597" s="12"/>
      <c r="E597" s="12"/>
      <c r="F597" s="12"/>
      <c r="H597" s="12"/>
    </row>
    <row r="598" spans="1:8" x14ac:dyDescent="0.3">
      <c r="A598" s="12"/>
      <c r="B598" s="16"/>
      <c r="C598" s="12"/>
      <c r="D598" s="12"/>
      <c r="E598" s="12"/>
      <c r="F598" s="12"/>
      <c r="H598" s="12"/>
    </row>
    <row r="599" spans="1:8" x14ac:dyDescent="0.3">
      <c r="A599" s="12"/>
      <c r="B599" s="16"/>
      <c r="C599" s="12"/>
      <c r="D599" s="12"/>
      <c r="E599" s="12"/>
      <c r="F599" s="12"/>
      <c r="H599" s="12"/>
    </row>
    <row r="600" spans="1:8" x14ac:dyDescent="0.3">
      <c r="A600" s="12"/>
      <c r="B600" s="16"/>
      <c r="C600" s="12"/>
      <c r="D600" s="12"/>
      <c r="E600" s="12"/>
      <c r="F600" s="12"/>
      <c r="H600" s="12"/>
    </row>
    <row r="602" spans="1:8" ht="15.6" x14ac:dyDescent="0.3">
      <c r="A602" s="11"/>
      <c r="B602" s="9"/>
    </row>
    <row r="605" spans="1:8" x14ac:dyDescent="0.3">
      <c r="B605" s="12"/>
    </row>
    <row r="606" spans="1:8" x14ac:dyDescent="0.3">
      <c r="B606" s="12"/>
    </row>
    <row r="607" spans="1:8" x14ac:dyDescent="0.3">
      <c r="B607" s="12"/>
    </row>
    <row r="617" spans="2:2" x14ac:dyDescent="0.3">
      <c r="B617" s="2"/>
    </row>
    <row r="621" spans="2:2" x14ac:dyDescent="0.3">
      <c r="B621" s="2"/>
    </row>
    <row r="623" spans="2:2" x14ac:dyDescent="0.3">
      <c r="B623" s="2"/>
    </row>
    <row r="625" spans="1:8" x14ac:dyDescent="0.3">
      <c r="B625" s="6"/>
    </row>
    <row r="627" spans="1:8" ht="15.6" x14ac:dyDescent="0.3">
      <c r="A627" s="11"/>
    </row>
    <row r="629" spans="1:8" x14ac:dyDescent="0.3">
      <c r="A629" s="12"/>
      <c r="B629" s="12"/>
      <c r="C629" s="12"/>
      <c r="D629" s="12"/>
      <c r="E629" s="12"/>
      <c r="F629" s="12"/>
      <c r="G629" s="12"/>
      <c r="H629" s="12"/>
    </row>
    <row r="630" spans="1:8" x14ac:dyDescent="0.3">
      <c r="A630" s="12"/>
      <c r="B630" s="16"/>
      <c r="C630" s="12"/>
      <c r="D630" s="12"/>
      <c r="E630" s="12"/>
      <c r="F630" s="12"/>
      <c r="G630" s="12"/>
      <c r="H630" s="12"/>
    </row>
    <row r="631" spans="1:8" x14ac:dyDescent="0.3">
      <c r="A631" s="12"/>
      <c r="B631" s="16"/>
      <c r="C631" s="12"/>
      <c r="D631" s="12"/>
      <c r="E631" s="12"/>
      <c r="F631" s="12"/>
      <c r="H631" s="12"/>
    </row>
    <row r="632" spans="1:8" x14ac:dyDescent="0.3">
      <c r="A632" s="12"/>
      <c r="B632" s="16"/>
      <c r="C632" s="12"/>
      <c r="D632" s="12"/>
      <c r="E632" s="12"/>
      <c r="F632" s="12"/>
      <c r="H632" s="12"/>
    </row>
    <row r="633" spans="1:8" x14ac:dyDescent="0.3">
      <c r="A633" s="12"/>
      <c r="B633" s="16"/>
      <c r="C633" s="12"/>
      <c r="D633" s="12"/>
      <c r="E633" s="12"/>
      <c r="F633" s="12"/>
      <c r="H633" s="12"/>
    </row>
    <row r="634" spans="1:8" x14ac:dyDescent="0.3">
      <c r="A634" s="12"/>
      <c r="B634" s="16"/>
      <c r="C634" s="12"/>
      <c r="D634" s="12"/>
      <c r="E634" s="12"/>
      <c r="F634" s="12"/>
      <c r="H634" s="12"/>
    </row>
    <row r="635" spans="1:8" x14ac:dyDescent="0.3">
      <c r="A635" s="12"/>
      <c r="B635" s="16"/>
      <c r="C635" s="12"/>
      <c r="D635" s="12"/>
      <c r="E635" s="12"/>
      <c r="F635" s="12"/>
      <c r="H635" s="12"/>
    </row>
    <row r="636" spans="1:8" x14ac:dyDescent="0.3">
      <c r="A636" s="12"/>
      <c r="B636" s="16"/>
      <c r="C636" s="12"/>
      <c r="D636" s="12"/>
      <c r="E636" s="12"/>
      <c r="F636" s="12"/>
      <c r="H636" s="12"/>
    </row>
    <row r="637" spans="1:8" x14ac:dyDescent="0.3">
      <c r="A637" s="12"/>
      <c r="B637" s="16"/>
      <c r="C637" s="12"/>
      <c r="D637" s="12"/>
      <c r="E637" s="12"/>
      <c r="F637" s="12"/>
      <c r="H637" s="12"/>
    </row>
    <row r="638" spans="1:8" x14ac:dyDescent="0.3">
      <c r="A638" s="12"/>
      <c r="B638" s="16"/>
      <c r="C638" s="12"/>
      <c r="D638" s="12"/>
      <c r="E638" s="12"/>
      <c r="F638" s="12"/>
      <c r="H638" s="12"/>
    </row>
    <row r="639" spans="1:8" x14ac:dyDescent="0.3">
      <c r="A639" s="12"/>
      <c r="B639" s="16"/>
      <c r="C639" s="12"/>
      <c r="D639" s="12"/>
      <c r="E639" s="12"/>
      <c r="F639" s="12"/>
      <c r="H639" s="12"/>
    </row>
    <row r="640" spans="1:8" x14ac:dyDescent="0.3">
      <c r="B640" s="2"/>
    </row>
    <row r="641" spans="1:2" ht="15.6" x14ac:dyDescent="0.3">
      <c r="A641" s="11"/>
      <c r="B641" s="9"/>
    </row>
    <row r="644" spans="1:2" x14ac:dyDescent="0.3">
      <c r="B644" s="12"/>
    </row>
    <row r="645" spans="1:2" x14ac:dyDescent="0.3">
      <c r="B645" s="12"/>
    </row>
    <row r="646" spans="1:2" x14ac:dyDescent="0.3">
      <c r="B646" s="12"/>
    </row>
    <row r="647" spans="1:2" x14ac:dyDescent="0.3">
      <c r="B647" s="12"/>
    </row>
    <row r="656" spans="1:2" x14ac:dyDescent="0.3">
      <c r="B656" s="2"/>
    </row>
    <row r="660" spans="1:8" x14ac:dyDescent="0.3">
      <c r="B660" s="2"/>
    </row>
    <row r="662" spans="1:8" x14ac:dyDescent="0.3">
      <c r="B662" s="2"/>
    </row>
    <row r="664" spans="1:8" x14ac:dyDescent="0.3">
      <c r="B664" s="6"/>
    </row>
    <row r="666" spans="1:8" ht="15.6" x14ac:dyDescent="0.3">
      <c r="A666" s="11"/>
    </row>
    <row r="668" spans="1:8" x14ac:dyDescent="0.3">
      <c r="A668" s="12"/>
      <c r="B668" s="12"/>
      <c r="C668" s="12"/>
      <c r="D668" s="12"/>
      <c r="E668" s="12"/>
      <c r="F668" s="12"/>
      <c r="G668" s="12"/>
      <c r="H668" s="12"/>
    </row>
    <row r="669" spans="1:8" x14ac:dyDescent="0.3">
      <c r="A669" s="12"/>
      <c r="B669" s="15"/>
      <c r="C669" s="12"/>
      <c r="D669" s="12"/>
      <c r="E669" s="12"/>
      <c r="F669" s="12"/>
      <c r="G669" s="12"/>
      <c r="H669" s="12"/>
    </row>
    <row r="670" spans="1:8" x14ac:dyDescent="0.3">
      <c r="A670" s="12"/>
      <c r="B670" s="16"/>
      <c r="C670" s="12"/>
      <c r="D670" s="12"/>
      <c r="E670" s="12"/>
      <c r="F670" s="12"/>
      <c r="H670" s="12"/>
    </row>
    <row r="671" spans="1:8" x14ac:dyDescent="0.3">
      <c r="A671" s="12"/>
      <c r="B671" s="14"/>
      <c r="C671" s="12"/>
      <c r="D671" s="12"/>
      <c r="E671" s="12"/>
      <c r="F671" s="12"/>
      <c r="H671" s="12"/>
    </row>
    <row r="672" spans="1:8" x14ac:dyDescent="0.3">
      <c r="A672" s="12"/>
      <c r="B672" s="16"/>
      <c r="C672" s="12"/>
      <c r="D672" s="12"/>
      <c r="F672" s="12"/>
      <c r="G672" s="12"/>
      <c r="H672" s="12"/>
    </row>
    <row r="673" spans="1:8" x14ac:dyDescent="0.3">
      <c r="A673" s="12"/>
      <c r="B673" s="16"/>
      <c r="C673" s="12"/>
      <c r="D673" s="12"/>
      <c r="E673" s="12"/>
      <c r="F673" s="12"/>
      <c r="H673" s="12"/>
    </row>
    <row r="674" spans="1:8" x14ac:dyDescent="0.3">
      <c r="A674" s="12"/>
      <c r="B674" s="16"/>
      <c r="C674" s="12"/>
      <c r="D674" s="12"/>
      <c r="E674" s="12"/>
      <c r="F674" s="12"/>
      <c r="H674" s="12"/>
    </row>
    <row r="675" spans="1:8" x14ac:dyDescent="0.3">
      <c r="A675" s="12"/>
      <c r="B675" s="16"/>
      <c r="C675" s="12"/>
      <c r="D675" s="12"/>
      <c r="E675" s="12"/>
      <c r="F675" s="12"/>
      <c r="H675" s="12"/>
    </row>
    <row r="676" spans="1:8" x14ac:dyDescent="0.3">
      <c r="B676" s="6"/>
    </row>
    <row r="677" spans="1:8" ht="15.6" x14ac:dyDescent="0.3">
      <c r="A677" s="11"/>
      <c r="B677" s="9"/>
    </row>
    <row r="680" spans="1:8" x14ac:dyDescent="0.3">
      <c r="B680" s="12"/>
    </row>
    <row r="681" spans="1:8" x14ac:dyDescent="0.3">
      <c r="B681" s="12"/>
    </row>
    <row r="682" spans="1:8" x14ac:dyDescent="0.3">
      <c r="B682" s="12"/>
    </row>
    <row r="683" spans="1:8" x14ac:dyDescent="0.3">
      <c r="B683" s="12"/>
    </row>
    <row r="692" spans="1:8" x14ac:dyDescent="0.3">
      <c r="B692" s="2"/>
    </row>
    <row r="696" spans="1:8" x14ac:dyDescent="0.3">
      <c r="B696" s="2"/>
    </row>
    <row r="698" spans="1:8" x14ac:dyDescent="0.3">
      <c r="B698" s="2"/>
    </row>
    <row r="700" spans="1:8" x14ac:dyDescent="0.3">
      <c r="B700" s="6"/>
    </row>
    <row r="702" spans="1:8" ht="15.6" x14ac:dyDescent="0.3">
      <c r="A702" s="11"/>
    </row>
    <row r="704" spans="1:8" x14ac:dyDescent="0.3">
      <c r="A704" s="12"/>
      <c r="B704" s="12"/>
      <c r="C704" s="12"/>
      <c r="D704" s="12"/>
      <c r="E704" s="12"/>
      <c r="F704" s="12"/>
      <c r="G704" s="12"/>
      <c r="H704" s="12"/>
    </row>
    <row r="705" spans="1:8" x14ac:dyDescent="0.3">
      <c r="A705" s="12"/>
      <c r="B705" s="12"/>
      <c r="C705" s="12"/>
      <c r="D705" s="12"/>
      <c r="E705" s="12"/>
      <c r="F705" s="12"/>
      <c r="G705" s="12"/>
      <c r="H705" s="12"/>
    </row>
    <row r="706" spans="1:8" x14ac:dyDescent="0.3">
      <c r="A706" s="12"/>
      <c r="B706" s="16"/>
      <c r="C706" s="12"/>
      <c r="D706" s="12"/>
      <c r="E706" s="12"/>
      <c r="F706" s="12"/>
      <c r="H706" s="12"/>
    </row>
    <row r="707" spans="1:8" x14ac:dyDescent="0.3">
      <c r="A707" s="12"/>
      <c r="B707" s="14"/>
      <c r="C707" s="12"/>
      <c r="D707" s="12"/>
      <c r="E707" s="12"/>
      <c r="F707" s="12"/>
      <c r="H707" s="12"/>
    </row>
    <row r="708" spans="1:8" x14ac:dyDescent="0.3">
      <c r="A708" s="12"/>
      <c r="B708" s="16"/>
      <c r="C708" s="12"/>
      <c r="D708" s="12"/>
      <c r="F708" s="12"/>
      <c r="G708" s="12"/>
      <c r="H708" s="12"/>
    </row>
    <row r="709" spans="1:8" x14ac:dyDescent="0.3">
      <c r="A709" s="12"/>
      <c r="B709" s="16"/>
      <c r="C709" s="12"/>
      <c r="D709" s="12"/>
      <c r="E709" s="12"/>
      <c r="F709" s="12"/>
      <c r="H709" s="12"/>
    </row>
    <row r="710" spans="1:8" x14ac:dyDescent="0.3">
      <c r="A710" s="12"/>
      <c r="B710" s="16"/>
      <c r="C710" s="12"/>
      <c r="D710" s="12"/>
      <c r="E710" s="12"/>
      <c r="F710" s="12"/>
      <c r="H710" s="12"/>
    </row>
    <row r="711" spans="1:8" x14ac:dyDescent="0.3">
      <c r="A711" s="12"/>
      <c r="B711" s="16"/>
      <c r="C711" s="12"/>
      <c r="D711" s="12"/>
      <c r="E711" s="12"/>
      <c r="F711" s="12"/>
      <c r="H711" s="12"/>
    </row>
    <row r="713" spans="1:8" ht="15.6" x14ac:dyDescent="0.3">
      <c r="A713" s="11"/>
      <c r="B713" s="9"/>
    </row>
    <row r="716" spans="1:8" x14ac:dyDescent="0.3">
      <c r="B716" s="12"/>
    </row>
    <row r="717" spans="1:8" x14ac:dyDescent="0.3">
      <c r="B717" s="12"/>
    </row>
    <row r="718" spans="1:8" x14ac:dyDescent="0.3">
      <c r="B718" s="12"/>
    </row>
    <row r="719" spans="1:8" x14ac:dyDescent="0.3">
      <c r="B719" s="12"/>
    </row>
    <row r="728" spans="2:2" x14ac:dyDescent="0.3">
      <c r="B728" s="2"/>
    </row>
    <row r="732" spans="2:2" x14ac:dyDescent="0.3">
      <c r="B732" s="2"/>
    </row>
    <row r="734" spans="2:2" x14ac:dyDescent="0.3">
      <c r="B734" s="2"/>
    </row>
    <row r="736" spans="2:2" x14ac:dyDescent="0.3">
      <c r="B736" s="6"/>
    </row>
    <row r="738" spans="1:8" ht="15.6" x14ac:dyDescent="0.3">
      <c r="A738" s="11"/>
    </row>
    <row r="740" spans="1:8" x14ac:dyDescent="0.3">
      <c r="A740" s="12"/>
      <c r="B740" s="12"/>
      <c r="C740" s="12"/>
      <c r="D740" s="12"/>
      <c r="E740" s="12"/>
      <c r="F740" s="12"/>
      <c r="G740" s="12"/>
      <c r="H740" s="12"/>
    </row>
    <row r="741" spans="1:8" x14ac:dyDescent="0.3">
      <c r="A741" s="12"/>
      <c r="B741" s="12"/>
      <c r="C741" s="12"/>
      <c r="D741" s="12"/>
      <c r="E741" s="12"/>
      <c r="F741" s="12"/>
      <c r="G741" s="12"/>
      <c r="H741" s="12"/>
    </row>
    <row r="742" spans="1:8" x14ac:dyDescent="0.3">
      <c r="A742" s="12"/>
      <c r="B742" s="16"/>
      <c r="C742" s="12"/>
      <c r="D742" s="12"/>
      <c r="E742" s="12"/>
      <c r="F742" s="12"/>
      <c r="H742" s="12"/>
    </row>
    <row r="743" spans="1:8" x14ac:dyDescent="0.3">
      <c r="A743" s="12"/>
      <c r="B743" s="14"/>
      <c r="C743" s="12"/>
      <c r="D743" s="12"/>
      <c r="E743" s="12"/>
      <c r="F743" s="12"/>
      <c r="H743" s="12"/>
    </row>
    <row r="744" spans="1:8" x14ac:dyDescent="0.3">
      <c r="A744" s="12"/>
      <c r="B744" s="16"/>
      <c r="C744" s="12"/>
      <c r="D744" s="12"/>
      <c r="F744" s="12"/>
      <c r="G744" s="12"/>
      <c r="H744" s="12"/>
    </row>
    <row r="745" spans="1:8" x14ac:dyDescent="0.3">
      <c r="A745" s="12"/>
      <c r="B745" s="16"/>
      <c r="C745" s="12"/>
      <c r="D745" s="12"/>
      <c r="E745" s="12"/>
      <c r="F745" s="12"/>
      <c r="H745" s="12"/>
    </row>
    <row r="746" spans="1:8" x14ac:dyDescent="0.3">
      <c r="A746" s="12"/>
      <c r="B746" s="16"/>
      <c r="C746" s="12"/>
      <c r="D746" s="12"/>
      <c r="E746" s="12"/>
      <c r="F746" s="12"/>
      <c r="H746" s="12"/>
    </row>
    <row r="747" spans="1:8" x14ac:dyDescent="0.3">
      <c r="A747" s="12"/>
      <c r="B747" s="16"/>
      <c r="C747" s="12"/>
      <c r="D747" s="12"/>
      <c r="E747" s="12"/>
      <c r="F747" s="12"/>
      <c r="H747" s="12"/>
    </row>
    <row r="749" spans="1:8" ht="15.6" x14ac:dyDescent="0.3">
      <c r="A749" s="11"/>
      <c r="B749" s="9"/>
    </row>
    <row r="752" spans="1:8" x14ac:dyDescent="0.3">
      <c r="B752" s="12"/>
    </row>
    <row r="753" spans="2:2" x14ac:dyDescent="0.3">
      <c r="B753" s="12"/>
    </row>
    <row r="754" spans="2:2" x14ac:dyDescent="0.3">
      <c r="B754" s="12"/>
    </row>
    <row r="755" spans="2:2" x14ac:dyDescent="0.3">
      <c r="B755" s="12"/>
    </row>
    <row r="764" spans="2:2" x14ac:dyDescent="0.3">
      <c r="B764" s="2"/>
    </row>
    <row r="768" spans="2:2" x14ac:dyDescent="0.3">
      <c r="B768" s="2"/>
    </row>
    <row r="770" spans="1:8" x14ac:dyDescent="0.3">
      <c r="B770" s="2"/>
    </row>
    <row r="772" spans="1:8" x14ac:dyDescent="0.3">
      <c r="B772" s="6"/>
    </row>
    <row r="774" spans="1:8" ht="15.6" x14ac:dyDescent="0.3">
      <c r="A774" s="11"/>
    </row>
    <row r="776" spans="1:8" x14ac:dyDescent="0.3">
      <c r="A776" s="12"/>
      <c r="B776" s="12"/>
      <c r="C776" s="12"/>
      <c r="D776" s="12"/>
      <c r="E776" s="12"/>
      <c r="F776" s="12"/>
      <c r="G776" s="12"/>
      <c r="H776" s="12"/>
    </row>
    <row r="777" spans="1:8" x14ac:dyDescent="0.3">
      <c r="A777" s="12"/>
      <c r="B777" s="12"/>
      <c r="C777" s="12"/>
      <c r="D777" s="12"/>
      <c r="E777" s="12"/>
      <c r="F777" s="12"/>
      <c r="G777" s="12"/>
      <c r="H777" s="12"/>
    </row>
    <row r="778" spans="1:8" x14ac:dyDescent="0.3">
      <c r="A778" s="12"/>
      <c r="B778" s="16"/>
      <c r="C778" s="12"/>
      <c r="D778" s="12"/>
      <c r="E778" s="12"/>
      <c r="F778" s="12"/>
      <c r="H778" s="12"/>
    </row>
    <row r="779" spans="1:8" x14ac:dyDescent="0.3">
      <c r="A779" s="12"/>
      <c r="B779" s="14"/>
      <c r="C779" s="12"/>
      <c r="D779" s="12"/>
      <c r="E779" s="12"/>
      <c r="F779" s="12"/>
      <c r="H779" s="12"/>
    </row>
    <row r="780" spans="1:8" x14ac:dyDescent="0.3">
      <c r="A780" s="12"/>
      <c r="B780" s="16"/>
      <c r="C780" s="12"/>
      <c r="D780" s="12"/>
      <c r="F780" s="12"/>
      <c r="G780" s="12"/>
      <c r="H780" s="12"/>
    </row>
    <row r="781" spans="1:8" x14ac:dyDescent="0.3">
      <c r="A781" s="12"/>
      <c r="B781" s="16"/>
      <c r="C781" s="12"/>
      <c r="D781" s="12"/>
      <c r="E781" s="12"/>
      <c r="F781" s="12"/>
      <c r="H781" s="12"/>
    </row>
    <row r="782" spans="1:8" x14ac:dyDescent="0.3">
      <c r="A782" s="12"/>
      <c r="B782" s="16"/>
      <c r="C782" s="12"/>
      <c r="D782" s="12"/>
      <c r="E782" s="12"/>
      <c r="F782" s="12"/>
      <c r="H782" s="12"/>
    </row>
    <row r="783" spans="1:8" x14ac:dyDescent="0.3">
      <c r="A783" s="12"/>
      <c r="B783" s="16"/>
      <c r="C783" s="12"/>
      <c r="D783" s="12"/>
      <c r="E783" s="12"/>
      <c r="F783" s="12"/>
      <c r="H783" s="12"/>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4"/>
  <sheetViews>
    <sheetView topLeftCell="A184" workbookViewId="0">
      <selection activeCell="G214" sqref="G214"/>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electric, &gt;35kW, 2020</v>
      </c>
    </row>
    <row r="2" spans="1:2" x14ac:dyDescent="0.3">
      <c r="A2" t="s">
        <v>73</v>
      </c>
      <c r="B2" t="s">
        <v>37</v>
      </c>
    </row>
    <row r="3" spans="1:2" x14ac:dyDescent="0.3">
      <c r="A3" t="s">
        <v>87</v>
      </c>
      <c r="B3" t="s">
        <v>523</v>
      </c>
    </row>
    <row r="4" spans="1:2" x14ac:dyDescent="0.3">
      <c r="A4" t="s">
        <v>88</v>
      </c>
      <c r="B4" s="12"/>
    </row>
    <row r="5" spans="1:2" x14ac:dyDescent="0.3">
      <c r="A5" t="s">
        <v>89</v>
      </c>
      <c r="B5" s="12">
        <v>2020</v>
      </c>
    </row>
    <row r="6" spans="1:2" x14ac:dyDescent="0.3">
      <c r="A6" t="s">
        <v>131</v>
      </c>
      <c r="B6" s="12" t="str">
        <f>B3&amp;" - "&amp;B5&amp;" - "&amp;B2</f>
        <v>Motorbike, electric, &gt;35kW - 2020 - CH</v>
      </c>
    </row>
    <row r="7" spans="1:2" x14ac:dyDescent="0.3">
      <c r="A7" t="s">
        <v>74</v>
      </c>
      <c r="B7" t="str">
        <f>B3</f>
        <v>Motorbike, electric, &gt;35kW</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62100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1.242</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4690</v>
      </c>
    </row>
    <row r="16" spans="1:2" x14ac:dyDescent="0.3">
      <c r="A16" t="s">
        <v>137</v>
      </c>
      <c r="B16" s="2">
        <f>INDEX('vehicles specifications'!$B$3:$CK$86,MATCH(B6,'vehicles specifications'!$A$3:$A$86,0),MATCH("Curb mass [kg]",'vehicles specifications'!$B$2:$CK$2,0))</f>
        <v>246.64</v>
      </c>
    </row>
    <row r="17" spans="1:8" x14ac:dyDescent="0.3">
      <c r="A17" t="s">
        <v>138</v>
      </c>
      <c r="B17">
        <f>INDEX('vehicles specifications'!$B$3:$CK$86,MATCH(B6,'vehicles specifications'!$A$3:$A$86,0),MATCH("Power [kW]",'vehicles specifications'!$B$2:$CK$2,0))</f>
        <v>49</v>
      </c>
    </row>
    <row r="18" spans="1:8" x14ac:dyDescent="0.3">
      <c r="A18" t="s">
        <v>139</v>
      </c>
      <c r="B18">
        <f>INDEX('vehicles specifications'!$B$3:$CK$86,MATCH(B6,'vehicles specifications'!$A$3:$A$86,0),MATCH("Energy battery mass [kg]",'vehicles specifications'!$B$2:$CK$2,0))</f>
        <v>99</v>
      </c>
    </row>
    <row r="19" spans="1:8" x14ac:dyDescent="0.3">
      <c r="A19" t="s">
        <v>140</v>
      </c>
      <c r="B19">
        <f>INDEX('vehicles specifications'!$B$3:$CK$86,MATCH(B6,'vehicles specifications'!$A$3:$A$86,0),MATCH("Electric energy stored [kWh]",'vehicles specifications'!$B$2:$CK$2,0))</f>
        <v>16.5</v>
      </c>
    </row>
    <row r="20" spans="1:8" s="21" customFormat="1" x14ac:dyDescent="0.3">
      <c r="A20" s="21" t="s">
        <v>654</v>
      </c>
      <c r="B20" s="21">
        <f>INDEX('vehicles specifications'!$B$3:$CK$86,MATCH(B6,'vehicles specifications'!$A$3:$A$86,0),MATCH("Electric energy available [kWh]",'vehicles specifications'!$B$2:$CK$2,0))</f>
        <v>13.200000000000001</v>
      </c>
    </row>
    <row r="21" spans="1:8" x14ac:dyDescent="0.3">
      <c r="A21" t="s">
        <v>143</v>
      </c>
      <c r="B21" s="2">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172.96867841767528</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49 kW. Lifetime: 62100 km. Annual kilometers: 4690 km. Number of passengers: 1.1. Curb mass: 246.6 kg. Lightweighting of glider: 0%. Emission standard: None. Service visits throughout lifetime: 1.2. Range: 173 km. Battery capacity: 16.5 kWh. Available battery capacity: 13.2 kWh. Battery mass: 99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Motorbike, electric, &gt;35kW, 2020</v>
      </c>
      <c r="B32" s="12">
        <v>1</v>
      </c>
      <c r="C32" s="12" t="str">
        <f>B2</f>
        <v>CH</v>
      </c>
      <c r="D32" s="12" t="str">
        <f>B9</f>
        <v>unit</v>
      </c>
      <c r="E32" s="12"/>
      <c r="F32" s="12" t="s">
        <v>85</v>
      </c>
      <c r="G32" s="12" t="s">
        <v>86</v>
      </c>
      <c r="H32" s="12" t="str">
        <f>B3</f>
        <v>Motorbike, electric, &gt;35kW</v>
      </c>
    </row>
    <row r="33" spans="1:8" x14ac:dyDescent="0.3">
      <c r="A33" s="12" t="str">
        <f>INDEX('ei names mapping'!$B$4:$R$33,MATCH(B3,'ei names mapping'!$A$4:$A$33,0),MATCH(G33,'ei names mapping'!$B$3:$R$3,0))</f>
        <v>market for glider, for electric scooter</v>
      </c>
      <c r="B33" s="16">
        <f>INDEX('vehicles specifications'!$B$3:$CK$86,MATCH(B6,'vehicles specifications'!$A$3:$A$86,0),MATCH(G33,'vehicles specifications'!$B$2:$CK$2,0))*INDEX('ei names mapping'!$B$137:$BK$220,MATCH(B6,'ei names mapping'!$A$137:$A$220,0),MATCH(G33,'ei names mapping'!$B$136:$BK$136,0))</f>
        <v>111</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s="21" customFormat="1" x14ac:dyDescent="0.3">
      <c r="A34" s="12" t="str">
        <f>INDEX('ei names mapping'!$B$4:$R$33,MATCH(B3,'ei names mapping'!$A$4:$A$33,0),MATCH(G34,'ei names mapping'!$B$3:$R$3,0))</f>
        <v>glider lightweighting</v>
      </c>
      <c r="B34" s="16">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16">
        <f>INDEX('vehicles specifications'!$B$3:$CK$86,MATCH(B6,'vehicles specifications'!$A$3:$A$86,0),MATCH(G35,'vehicles specifications'!$B$2:$CK$2,0))*INDEX('ei names mapping'!$B$137:$BK$220,MATCH(B6,'ei names mapping'!$A$137:$A$220,0),MATCH(G35,'ei names mapping'!$B$136:$BK$136,0))</f>
        <v>13.74</v>
      </c>
      <c r="C35" s="12" t="str">
        <f>INDEX('ei names mapping'!$B$38:$R$67,MATCH(B3,'ei names mapping'!$A$4:$A$33,0),MATCH(G35,'ei names mapping'!$B$3:$R$3,0))</f>
        <v>GLO</v>
      </c>
      <c r="D35" s="12" t="str">
        <f>INDEX('ei names mapping'!$B$104:$R$133,MATCH(B3,'ei names mapping'!$A$104:$A$133,0),MATCH(G35,'ei names mapping'!$B$3:$R$3,0))</f>
        <v>kilogram</v>
      </c>
      <c r="E35" s="12"/>
      <c r="F35" s="12" t="s">
        <v>91</v>
      </c>
      <c r="G35"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16">
        <f>INDEX('vehicles specifications'!$B$3:$CK$86,MATCH(B6,'vehicles specifications'!$A$3:$A$86,0),MATCH(G36,'vehicles specifications'!$B$2:$CK$2,0))*INDEX('ei names mapping'!$B$137:$BK$220,MATCH(B6,'ei names mapping'!$A$137:$A$220,0),MATCH(G36,'ei names mapping'!$B$136:$BK$136,0))</f>
        <v>22.900000000000002</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16">
        <f>INDEX('vehicles specifications'!$B$3:$CK$86,MATCH(B6,'vehicles specifications'!$A$3:$A$86,0),MATCH(G37,'vehicles specifications'!$B$2:$CK$2,0))*INDEX('ei names mapping'!$B$137:$BK$220,MATCH(B6,'ei names mapping'!$A$137:$A$220,0),MATCH(G37,'ei names mapping'!$B$136:$BK$136,0))</f>
        <v>165</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16">
        <f>INDEX('vehicles specifications'!$B$3:$CK$86,MATCH(B6,'vehicles specifications'!$A$3:$A$86,0),MATCH(G38,'vehicles specifications'!$B$2:$CK$2,0))*INDEX('ei names mapping'!$B$137:$BK$220,MATCH(B6,'ei names mapping'!$A$137:$A$220,0),MATCH(G38,'ei names mapping'!$B$136:$BK$136,0))</f>
        <v>33</v>
      </c>
      <c r="C38" s="12" t="str">
        <f>INDEX('ei names mapping'!$B$38:$R$67,MATCH(B3,'ei names mapping'!$A$4:$A$33,0),MATCH(G38,'ei names mapping'!$B$3:$R$3,0))</f>
        <v>GLO</v>
      </c>
      <c r="D38" s="12" t="str">
        <f>INDEX('ei names mapping'!$B$104:$R$133,MATCH(B3,'ei names mapping'!$A$104:$A$133,0),MATCH(G38,'ei names mapping'!$B$3:$R$3,0))</f>
        <v>kilogram</v>
      </c>
      <c r="E38" s="12"/>
      <c r="F38" s="12" t="s">
        <v>91</v>
      </c>
      <c r="G38"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16">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manual dismantling of used electric scooter</v>
      </c>
      <c r="B40" s="16">
        <f>INDEX('vehicles specifications'!$B$3:$CK$86,MATCH(B6,'vehicles specifications'!$A$3:$A$86,0),MATCH(G40,'vehicles specifications'!$B$2:$CK$2,0))*INDEX('ei names mapping'!$B$137:$BK$220,MATCH(B6,'ei names mapping'!$A$137:$A$220,0),MATCH(G40,'ei names mapping'!$B$136:$BK$136,0))</f>
        <v>111</v>
      </c>
      <c r="C40" s="12" t="str">
        <f>INDEX('ei names mapping'!$B$38:$R$67,MATCH(B3,'ei names mapping'!$A$4:$A$33,0),MATCH(G40,'ei names mapping'!$B$3:$R$3,0))</f>
        <v>GLO</v>
      </c>
      <c r="D40" s="12" t="str">
        <f>INDEX('ei names mapping'!$B$104:$R$133,MATCH(B3,'ei names mapping'!$A$104:$A$133,0),MATCH(G40,'ei names mapping'!$B$3:$R$3,0))</f>
        <v>unit</v>
      </c>
      <c r="E40" s="12"/>
      <c r="F40" s="12" t="s">
        <v>91</v>
      </c>
      <c r="G40"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manual dismantling of used electric scooter</v>
      </c>
      <c r="B41" s="16">
        <f>INDEX('vehicles specifications'!$B$3:$CK$86,MATCH(B6,'vehicles specifications'!$A$3:$A$86,0),MATCH(G41,'vehicles specifications'!$B$2:$CK$2,0))*INDEX('ei names mapping'!$B$137:$BK$220,MATCH(B6,'ei names mapping'!$A$137:$A$220,0),MATCH(G41,'ei names mapping'!$B$136:$BK$136,0))</f>
        <v>36.64</v>
      </c>
      <c r="C41" s="12" t="str">
        <f>INDEX('ei names mapping'!$B$38:$R$67,MATCH(B3,'ei names mapping'!$A$4:$A$33,0),MATCH(G41,'ei names mapping'!$B$3:$R$3,0))</f>
        <v>GLO</v>
      </c>
      <c r="D41" s="12" t="str">
        <f>INDEX('ei names mapping'!$B$104:$R$133,MATCH(B3,'ei names mapping'!$A$104:$A$133,0),MATCH(G41,'ei names mapping'!$B$3:$R$3,0))</f>
        <v>unit</v>
      </c>
      <c r="E41" s="12"/>
      <c r="F41" s="12" t="s">
        <v>91</v>
      </c>
      <c r="G4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16">
        <f>INDEX('vehicles specifications'!$B$3:$CK$86,MATCH(B6,'vehicles specifications'!$A$3:$A$86,0),MATCH(G42,'vehicles specifications'!$B$2:$CK$2,0))*INDEX('ei names mapping'!$B$137:$BK$220,MATCH(B6,'ei names mapping'!$A$137:$A$220,0),MATCH(G42,'ei names mapping'!$B$136:$BK$136,0))</f>
        <v>-198</v>
      </c>
      <c r="C42" s="12" t="str">
        <f>INDEX('ei names mapping'!$B$38:$R$67,MATCH(B3,'ei names mapping'!$A$4:$A$33,0),MATCH(G42,'ei names mapping'!$B$3:$R$3,0))</f>
        <v>GLO</v>
      </c>
      <c r="D42" s="12" t="str">
        <f>INDEX('ei names mapping'!$B$104:$R$133,MATCH(B3,'ei names mapping'!$A$104:$A$133,0),MATCH(G42,'ei names mapping'!$B$3:$R$3,0))</f>
        <v>kilogram</v>
      </c>
      <c r="E42" s="12"/>
      <c r="F42" s="12" t="s">
        <v>91</v>
      </c>
      <c r="G42" t="s">
        <v>152</v>
      </c>
      <c r="H42" s="12" t="str">
        <f>INDEX('ei names mapping'!$B$71:$R$100,MATCH(B3,'ei names mapping'!$A$4:$A$33,0),MATCH(G42,'ei names mapping'!$B$3:$R$3,0))</f>
        <v>used Li-ion battery</v>
      </c>
    </row>
    <row r="43" spans="1:8" s="21" customFormat="1" x14ac:dyDescent="0.3">
      <c r="A43" s="22" t="s">
        <v>468</v>
      </c>
      <c r="B43" s="21">
        <f>(B16/1000)*B28</f>
        <v>246.64</v>
      </c>
      <c r="C43" s="21" t="s">
        <v>94</v>
      </c>
      <c r="D43" s="21" t="s">
        <v>243</v>
      </c>
      <c r="F43" s="21" t="s">
        <v>91</v>
      </c>
      <c r="H43" s="22" t="s">
        <v>469</v>
      </c>
    </row>
    <row r="44" spans="1:8" s="21" customFormat="1" x14ac:dyDescent="0.3">
      <c r="A44" s="22" t="s">
        <v>467</v>
      </c>
      <c r="B44" s="2">
        <f>(B16/1000)*B27</f>
        <v>3921.576</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Motorbike, electric, &gt;35kW, 2030</v>
      </c>
    </row>
    <row r="47" spans="1:8" x14ac:dyDescent="0.3">
      <c r="A47" t="s">
        <v>73</v>
      </c>
      <c r="B47" t="s">
        <v>37</v>
      </c>
    </row>
    <row r="48" spans="1:8" x14ac:dyDescent="0.3">
      <c r="A48" t="s">
        <v>87</v>
      </c>
      <c r="B48" t="s">
        <v>523</v>
      </c>
    </row>
    <row r="49" spans="1:2" x14ac:dyDescent="0.3">
      <c r="A49" t="s">
        <v>88</v>
      </c>
      <c r="B49" s="12"/>
    </row>
    <row r="50" spans="1:2" x14ac:dyDescent="0.3">
      <c r="A50" t="s">
        <v>89</v>
      </c>
      <c r="B50" s="12">
        <v>2030</v>
      </c>
    </row>
    <row r="51" spans="1:2" x14ac:dyDescent="0.3">
      <c r="A51" t="s">
        <v>131</v>
      </c>
      <c r="B51" s="12" t="str">
        <f>B48&amp;" - "&amp;B50&amp;" - "&amp;B47</f>
        <v>Motorbike, electric, &gt;35kW - 2030 - CH</v>
      </c>
    </row>
    <row r="52" spans="1:2" x14ac:dyDescent="0.3">
      <c r="A52" t="s">
        <v>74</v>
      </c>
      <c r="B52" t="str">
        <f>B48</f>
        <v>Motorbike, electric, &gt;35kW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specifications'!$B$3:$CK$86,MATCH(B51,'vehicles specifications'!$A$3:$A$86,0),MATCH("Lifetime [km]",'vehicles specifications'!$B$2:$CK$2,0))</f>
        <v>62100</v>
      </c>
    </row>
    <row r="57" spans="1:2" x14ac:dyDescent="0.3">
      <c r="A57" t="s">
        <v>133</v>
      </c>
      <c r="B57">
        <f>INDEX('vehicles specifications'!$B$3:$CK$86,MATCH(B51,'vehicles specifications'!$A$3:$A$86,0),MATCH("Passengers [unit]",'vehicles specifications'!$B$2:$CK$2,0))</f>
        <v>1.1000000000000001</v>
      </c>
    </row>
    <row r="58" spans="1:2" x14ac:dyDescent="0.3">
      <c r="A58" t="s">
        <v>134</v>
      </c>
      <c r="B58">
        <f>INDEX('vehicles specifications'!$B$3:$CK$86,MATCH(B51,'vehicles specifications'!$A$3:$A$86,0),MATCH("Servicing [unit]",'vehicles specifications'!$B$2:$CK$2,0))</f>
        <v>1.242</v>
      </c>
    </row>
    <row r="59" spans="1:2" x14ac:dyDescent="0.3">
      <c r="A59" t="s">
        <v>135</v>
      </c>
      <c r="B59">
        <f>INDEX('vehicles specifications'!$B$3:$CK$86,MATCH(B51,'vehicles specifications'!$A$3:$A$86,0),MATCH("Energy battery replacement [unit]",'vehicles specifications'!$B$2:$CK$2,0))</f>
        <v>0.5</v>
      </c>
    </row>
    <row r="60" spans="1:2" x14ac:dyDescent="0.3">
      <c r="A60" t="s">
        <v>136</v>
      </c>
      <c r="B60">
        <f>INDEX('vehicles specifications'!$B$3:$CK$86,MATCH(B51,'vehicles specifications'!$A$3:$A$86,0),MATCH("Annual kilometers [km]",'vehicles specifications'!$B$2:$CK$2,0))</f>
        <v>4690</v>
      </c>
    </row>
    <row r="61" spans="1:2" x14ac:dyDescent="0.3">
      <c r="A61" t="s">
        <v>137</v>
      </c>
      <c r="B61" s="2">
        <f>INDEX('vehicles specifications'!$B$3:$CK$86,MATCH(B51,'vehicles specifications'!$A$3:$A$86,0),MATCH("Curb mass [kg]",'vehicles specifications'!$B$2:$CK$2,0))</f>
        <v>246.71</v>
      </c>
    </row>
    <row r="62" spans="1:2" x14ac:dyDescent="0.3">
      <c r="A62" t="s">
        <v>138</v>
      </c>
      <c r="B62">
        <f>INDEX('vehicles specifications'!$B$3:$CK$86,MATCH(B51,'vehicles specifications'!$A$3:$A$86,0),MATCH("Power [kW]",'vehicles specifications'!$B$2:$CK$2,0))</f>
        <v>49</v>
      </c>
    </row>
    <row r="63" spans="1:2" x14ac:dyDescent="0.3">
      <c r="A63" t="s">
        <v>139</v>
      </c>
      <c r="B63">
        <f>INDEX('vehicles specifications'!$B$3:$CK$86,MATCH(B51,'vehicles specifications'!$A$3:$A$86,0),MATCH("Energy battery mass [kg]",'vehicles specifications'!$B$2:$CK$2,0))</f>
        <v>102.4</v>
      </c>
    </row>
    <row r="64" spans="1:2" x14ac:dyDescent="0.3">
      <c r="A64" t="s">
        <v>140</v>
      </c>
      <c r="B64" s="21">
        <f>INDEX('vehicles specifications'!$B$3:$CK$86,MATCH(B51,'vehicles specifications'!$A$3:$A$86,0),MATCH("Electric energy stored [kWh]",'vehicles specifications'!$B$2:$CK$2,0))</f>
        <v>25.6</v>
      </c>
    </row>
    <row r="65" spans="1:8" s="21" customFormat="1" x14ac:dyDescent="0.3">
      <c r="A65" s="21" t="s">
        <v>654</v>
      </c>
      <c r="B65" s="21">
        <f>INDEX('vehicles specifications'!$B$3:$CK$86,MATCH(B51,'vehicles specifications'!$A$3:$A$86,0),MATCH("Electric energy available [kWh]",'vehicles specifications'!$B$2:$CK$2,0))</f>
        <v>20.480000000000004</v>
      </c>
    </row>
    <row r="66" spans="1:8" x14ac:dyDescent="0.3">
      <c r="A66" t="s">
        <v>143</v>
      </c>
      <c r="B66" s="2">
        <f>INDEX('vehicles specifications'!$B$3:$CK$86,MATCH(B51,'vehicles specifications'!$A$3:$A$86,0),MATCH("Oxydation energy stored [kWh]",'vehicles specifications'!$B$2:$CK$2,0))</f>
        <v>0</v>
      </c>
    </row>
    <row r="67" spans="1:8" x14ac:dyDescent="0.3">
      <c r="A67" t="s">
        <v>145</v>
      </c>
      <c r="B67">
        <f>INDEX('vehicles specifications'!$B$3:$CK$86,MATCH(B51,'vehicles specifications'!$A$3:$A$86,0),MATCH("Fuel mass [kg]",'vehicles specifications'!$B$2:$CK$2,0))</f>
        <v>0</v>
      </c>
    </row>
    <row r="68" spans="1:8" x14ac:dyDescent="0.3">
      <c r="A68" t="s">
        <v>141</v>
      </c>
      <c r="B68" s="2">
        <f>INDEX('vehicles specifications'!$B$3:$CK$86,MATCH(B51,'vehicles specifications'!$A$3:$A$86,0),MATCH("Range [km]",'vehicles specifications'!$B$2:$CK$2,0))</f>
        <v>268.363525302575</v>
      </c>
    </row>
    <row r="69" spans="1:8" x14ac:dyDescent="0.3">
      <c r="A69" t="s">
        <v>142</v>
      </c>
      <c r="B69" t="str">
        <f>INDEX('vehicles specifications'!$B$3:$CK$86,MATCH(B51,'vehicles specifications'!$A$3:$A$86,0),MATCH("Emission standard",'vehicles specifications'!$B$2:$CK$2,0))</f>
        <v>None</v>
      </c>
    </row>
    <row r="70" spans="1:8" x14ac:dyDescent="0.3">
      <c r="A70" t="s">
        <v>144</v>
      </c>
      <c r="B70" s="6">
        <f>INDEX('vehicles specifications'!$B$3:$CK$86,MATCH(B51,'vehicles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49 kW. Lifetime: 62100 km. Annual kilometers: 4690 km. Number of passengers: 1.1. Curb mass: 246.7 kg. Lightweighting of glider: 3%. Emission standard: None. Service visits throughout lifetime: 1.2. Range: 268 km. Battery capacity: 25.6 kWh. Available battery capacity: 20.48 kWh. Battery mass: 102.4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Motorbike, electric, &gt;35kW, 2030</v>
      </c>
      <c r="B77" s="12">
        <v>1</v>
      </c>
      <c r="C77" s="12" t="str">
        <f>B47</f>
        <v>CH</v>
      </c>
      <c r="D77" s="12" t="str">
        <f>B54</f>
        <v>unit</v>
      </c>
      <c r="E77" s="12"/>
      <c r="F77" s="12" t="s">
        <v>85</v>
      </c>
      <c r="G77" s="12" t="s">
        <v>86</v>
      </c>
      <c r="H77" s="12" t="str">
        <f>B48</f>
        <v>Motorbike, electric, &gt;35kW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111</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s="21" customFormat="1"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3.33</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13.74</v>
      </c>
      <c r="C80" s="12" t="str">
        <f>INDEX('ei names mapping'!$B$38:$R$67,MATCH(B48,'ei names mapping'!$A$4:$A$33,0),MATCH(G80,'ei names mapping'!$B$3:$R$3,0))</f>
        <v>GLO</v>
      </c>
      <c r="D80" s="12" t="str">
        <f>INDEX('ei names mapping'!$B$104:$R$133,MATCH(B48,'ei names mapping'!$A$104:$A$133,0),MATCH(G80,'ei names mapping'!$B$3:$R$3,0))</f>
        <v>kilogram</v>
      </c>
      <c r="E80" s="12"/>
      <c r="F80" s="12" t="s">
        <v>91</v>
      </c>
      <c r="G80"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22.900000000000002</v>
      </c>
      <c r="C81" s="12" t="str">
        <f>INDEX('ei names mapping'!$B$38:$R$67,MATCH(B48,'ei names mapping'!$A$4:$A$33,0),MATCH(G81,'ei names mapping'!$B$3:$R$3,0))</f>
        <v>GLO</v>
      </c>
      <c r="D81" s="12" t="str">
        <f>INDEX('ei names mapping'!$B$104:$R$133,MATCH(B48,'ei names mapping'!$A$104:$A$133,0),MATCH(G81,'ei names mapping'!$B$3:$R$3,0))</f>
        <v>kilogram</v>
      </c>
      <c r="E81" s="12"/>
      <c r="F81" s="12" t="s">
        <v>91</v>
      </c>
      <c r="G8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128</v>
      </c>
      <c r="C82" s="12" t="str">
        <f>INDEX('ei names mapping'!$B$38:$R$67,MATCH(B48,'ei names mapping'!$A$4:$A$33,0),MATCH(G82,'ei names mapping'!$B$3:$R$3,0))</f>
        <v>GLO</v>
      </c>
      <c r="D82" s="12" t="str">
        <f>INDEX('ei names mapping'!$B$104:$R$133,MATCH(B48,'ei names mapping'!$A$104:$A$133,0),MATCH(G82,'ei names mapping'!$B$3:$R$3,0))</f>
        <v>kilogram</v>
      </c>
      <c r="E82" s="12"/>
      <c r="F82" s="12" t="s">
        <v>91</v>
      </c>
      <c r="G82"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25.600000000000005</v>
      </c>
      <c r="C83" s="12" t="str">
        <f>INDEX('ei names mapping'!$B$38:$R$67,MATCH(B48,'ei names mapping'!$A$4:$A$33,0),MATCH(G83,'ei names mapping'!$B$3:$R$3,0))</f>
        <v>GLO</v>
      </c>
      <c r="D83" s="12" t="str">
        <f>INDEX('ei names mapping'!$B$104:$R$133,MATCH(B48,'ei names mapping'!$A$104:$A$133,0),MATCH(G83,'ei names mapping'!$B$3:$R$3,0))</f>
        <v>kilogram</v>
      </c>
      <c r="E83" s="12"/>
      <c r="F83" s="12" t="s">
        <v>91</v>
      </c>
      <c r="G83"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manual dismantling of used electric scooter</v>
      </c>
      <c r="B85" s="16">
        <f>INDEX('vehicles specifications'!$B$3:$CK$86,MATCH(B51,'vehicles specifications'!$A$3:$A$86,0),MATCH(G85,'vehicles specifications'!$B$2:$CK$2,0))*INDEX('ei names mapping'!$B$137:$BK$220,MATCH(B51,'ei names mapping'!$A$137:$A$220,0),MATCH(G85,'ei names mapping'!$B$136:$BK$136,0))</f>
        <v>107.67</v>
      </c>
      <c r="C85" s="12" t="str">
        <f>INDEX('ei names mapping'!$B$38:$R$67,MATCH(B48,'ei names mapping'!$A$4:$A$33,0),MATCH(G85,'ei names mapping'!$B$3:$R$3,0))</f>
        <v>GLO</v>
      </c>
      <c r="D85" s="12" t="str">
        <f>INDEX('ei names mapping'!$B$104:$R$133,MATCH(B48,'ei names mapping'!$A$104:$A$133,0),MATCH(G85,'ei names mapping'!$B$3:$R$3,0))</f>
        <v>unit</v>
      </c>
      <c r="E85" s="12"/>
      <c r="F85" s="12" t="s">
        <v>91</v>
      </c>
      <c r="G85"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manual dismantling of used electric scooter</v>
      </c>
      <c r="B86" s="16">
        <f>INDEX('vehicles specifications'!$B$3:$CK$86,MATCH(B51,'vehicles specifications'!$A$3:$A$86,0),MATCH(G86,'vehicles specifications'!$B$2:$CK$2,0))*INDEX('ei names mapping'!$B$137:$BK$220,MATCH(B51,'ei names mapping'!$A$137:$A$220,0),MATCH(G86,'ei names mapping'!$B$136:$BK$136,0))</f>
        <v>36.64</v>
      </c>
      <c r="C86" s="12" t="str">
        <f>INDEX('ei names mapping'!$B$38:$R$67,MATCH(B48,'ei names mapping'!$A$4:$A$33,0),MATCH(G86,'ei names mapping'!$B$3:$R$3,0))</f>
        <v>GLO</v>
      </c>
      <c r="D86" s="12" t="str">
        <f>INDEX('ei names mapping'!$B$104:$R$133,MATCH(B48,'ei names mapping'!$A$104:$A$133,0),MATCH(G86,'ei names mapping'!$B$3:$R$3,0))</f>
        <v>unit</v>
      </c>
      <c r="E86" s="12"/>
      <c r="F86" s="12" t="s">
        <v>91</v>
      </c>
      <c r="G86"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-153.60000000000002</v>
      </c>
      <c r="C87" s="12" t="str">
        <f>INDEX('ei names mapping'!$B$38:$R$67,MATCH(B48,'ei names mapping'!$A$4:$A$33,0),MATCH(G87,'ei names mapping'!$B$3:$R$3,0))</f>
        <v>GLO</v>
      </c>
      <c r="D87" s="12" t="str">
        <f>INDEX('ei names mapping'!$B$104:$R$133,MATCH(B48,'ei names mapping'!$A$104:$A$133,0),MATCH(G87,'ei names mapping'!$B$3:$R$3,0))</f>
        <v>kilogram</v>
      </c>
      <c r="E87" s="12"/>
      <c r="F87" s="12" t="s">
        <v>91</v>
      </c>
      <c r="G87" t="s">
        <v>152</v>
      </c>
      <c r="H87" s="12" t="str">
        <f>INDEX('ei names mapping'!$B$71:$R$100,MATCH(B48,'ei names mapping'!$A$4:$A$33,0),MATCH(G87,'ei names mapping'!$B$3:$R$3,0))</f>
        <v>used Li-ion battery</v>
      </c>
    </row>
    <row r="88" spans="1:8" s="21" customFormat="1" x14ac:dyDescent="0.3">
      <c r="A88" s="22" t="s">
        <v>468</v>
      </c>
      <c r="B88" s="21">
        <f>(B61/1000)*B73</f>
        <v>246.71</v>
      </c>
      <c r="C88" s="21" t="s">
        <v>94</v>
      </c>
      <c r="D88" s="21" t="s">
        <v>243</v>
      </c>
      <c r="F88" s="21" t="s">
        <v>91</v>
      </c>
      <c r="H88" s="22" t="s">
        <v>469</v>
      </c>
    </row>
    <row r="89" spans="1:8" s="21" customFormat="1" x14ac:dyDescent="0.3">
      <c r="A89" s="22" t="s">
        <v>467</v>
      </c>
      <c r="B89" s="2">
        <f>(B61/1000)*B72</f>
        <v>3922.6890000000003</v>
      </c>
      <c r="C89" s="21" t="s">
        <v>98</v>
      </c>
      <c r="D89" s="21" t="s">
        <v>243</v>
      </c>
      <c r="F89" s="21" t="s">
        <v>91</v>
      </c>
      <c r="H89" s="22" t="s">
        <v>467</v>
      </c>
    </row>
    <row r="90" spans="1:8" x14ac:dyDescent="0.3">
      <c r="B90" s="12"/>
    </row>
    <row r="91" spans="1:8" ht="15.6" x14ac:dyDescent="0.3">
      <c r="A91" s="11" t="s">
        <v>72</v>
      </c>
      <c r="B91" s="9" t="str">
        <f>B93&amp;", "&amp;B95</f>
        <v>Motorbike, electric, &gt;35kW, 2040</v>
      </c>
    </row>
    <row r="92" spans="1:8" x14ac:dyDescent="0.3">
      <c r="A92" t="s">
        <v>73</v>
      </c>
      <c r="B92" t="s">
        <v>37</v>
      </c>
    </row>
    <row r="93" spans="1:8" x14ac:dyDescent="0.3">
      <c r="A93" t="s">
        <v>87</v>
      </c>
      <c r="B93" t="s">
        <v>523</v>
      </c>
    </row>
    <row r="94" spans="1:8" x14ac:dyDescent="0.3">
      <c r="A94" t="s">
        <v>88</v>
      </c>
      <c r="B94" s="12"/>
    </row>
    <row r="95" spans="1:8" x14ac:dyDescent="0.3">
      <c r="A95" t="s">
        <v>89</v>
      </c>
      <c r="B95" s="12">
        <v>2040</v>
      </c>
    </row>
    <row r="96" spans="1:8" x14ac:dyDescent="0.3">
      <c r="A96" t="s">
        <v>131</v>
      </c>
      <c r="B96" s="12" t="str">
        <f>B93&amp;" - "&amp;B95&amp;" - "&amp;B92</f>
        <v>Motorbike, electric, &gt;35kW - 2040 - CH</v>
      </c>
    </row>
    <row r="97" spans="1:2" x14ac:dyDescent="0.3">
      <c r="A97" t="s">
        <v>74</v>
      </c>
      <c r="B97" t="str">
        <f>B93</f>
        <v>Motorbike, electric, &gt;35kW</v>
      </c>
    </row>
    <row r="98" spans="1:2" x14ac:dyDescent="0.3">
      <c r="A98" t="s">
        <v>75</v>
      </c>
      <c r="B98" t="s">
        <v>76</v>
      </c>
    </row>
    <row r="99" spans="1:2" x14ac:dyDescent="0.3">
      <c r="A99" t="s">
        <v>77</v>
      </c>
      <c r="B99" t="s">
        <v>77</v>
      </c>
    </row>
    <row r="100" spans="1:2" x14ac:dyDescent="0.3">
      <c r="A100" t="s">
        <v>79</v>
      </c>
      <c r="B100" t="s">
        <v>90</v>
      </c>
    </row>
    <row r="101" spans="1:2" x14ac:dyDescent="0.3">
      <c r="A101" t="s">
        <v>132</v>
      </c>
      <c r="B101">
        <f>INDEX('vehicles specifications'!$B$3:$CK$86,MATCH(B96,'vehicles specifications'!$A$3:$A$86,0),MATCH("Lifetime [km]",'vehicles specifications'!$B$2:$CK$2,0))</f>
        <v>62100</v>
      </c>
    </row>
    <row r="102" spans="1:2" x14ac:dyDescent="0.3">
      <c r="A102" t="s">
        <v>133</v>
      </c>
      <c r="B102">
        <f>INDEX('vehicles specifications'!$B$3:$CK$86,MATCH(B96,'vehicles specifications'!$A$3:$A$86,0),MATCH("Passengers [unit]",'vehicles specifications'!$B$2:$CK$2,0))</f>
        <v>1.1000000000000001</v>
      </c>
    </row>
    <row r="103" spans="1:2" x14ac:dyDescent="0.3">
      <c r="A103" t="s">
        <v>134</v>
      </c>
      <c r="B103">
        <f>INDEX('vehicles specifications'!$B$3:$CK$86,MATCH(B96,'vehicles specifications'!$A$3:$A$86,0),MATCH("Servicing [unit]",'vehicles specifications'!$B$2:$CK$2,0))</f>
        <v>1.242</v>
      </c>
    </row>
    <row r="104" spans="1:2" x14ac:dyDescent="0.3">
      <c r="A104" t="s">
        <v>135</v>
      </c>
      <c r="B104">
        <f>INDEX('vehicles specifications'!$B$3:$CK$86,MATCH(B96,'vehicles specifications'!$A$3:$A$86,0),MATCH("Energy battery replacement [unit]",'vehicles specifications'!$B$2:$CK$2,0))</f>
        <v>0.25</v>
      </c>
    </row>
    <row r="105" spans="1:2" x14ac:dyDescent="0.3">
      <c r="A105" t="s">
        <v>136</v>
      </c>
      <c r="B105">
        <f>INDEX('vehicles specifications'!$B$3:$CK$86,MATCH(B96,'vehicles specifications'!$A$3:$A$86,0),MATCH("Annual kilometers [km]",'vehicles specifications'!$B$2:$CK$2,0))</f>
        <v>4690</v>
      </c>
    </row>
    <row r="106" spans="1:2" x14ac:dyDescent="0.3">
      <c r="A106" t="s">
        <v>137</v>
      </c>
      <c r="B106" s="2">
        <f>INDEX('vehicles specifications'!$B$3:$CK$86,MATCH(B96,'vehicles specifications'!$A$3:$A$86,0),MATCH("Curb mass [kg]",'vehicles specifications'!$B$2:$CK$2,0))</f>
        <v>247.08999999999997</v>
      </c>
    </row>
    <row r="107" spans="1:2" x14ac:dyDescent="0.3">
      <c r="A107" t="s">
        <v>138</v>
      </c>
      <c r="B107">
        <f>INDEX('vehicles specifications'!$B$3:$CK$86,MATCH(B96,'vehicles specifications'!$A$3:$A$86,0),MATCH("Power [kW]",'vehicles specifications'!$B$2:$CK$2,0))</f>
        <v>49</v>
      </c>
    </row>
    <row r="108" spans="1:2" x14ac:dyDescent="0.3">
      <c r="A108" t="s">
        <v>139</v>
      </c>
      <c r="B108">
        <f>INDEX('vehicles specifications'!$B$3:$CK$86,MATCH(B96,'vehicles specifications'!$A$3:$A$86,0),MATCH("Energy battery mass [kg]",'vehicles specifications'!$B$2:$CK$2,0))</f>
        <v>105</v>
      </c>
    </row>
    <row r="109" spans="1:2" x14ac:dyDescent="0.3">
      <c r="A109" t="s">
        <v>140</v>
      </c>
      <c r="B109" s="21">
        <f>INDEX('vehicles specifications'!$B$3:$CK$86,MATCH(B96,'vehicles specifications'!$A$3:$A$86,0),MATCH("Electric energy stored [kWh]",'vehicles specifications'!$B$2:$CK$2,0))</f>
        <v>35</v>
      </c>
    </row>
    <row r="110" spans="1:2" s="21" customFormat="1" x14ac:dyDescent="0.3">
      <c r="A110" s="21" t="s">
        <v>654</v>
      </c>
      <c r="B110" s="21">
        <f>INDEX('vehicles specifications'!$B$3:$CK$86,MATCH(B96,'vehicles specifications'!$A$3:$A$86,0),MATCH("Electric energy available [kWh]",'vehicles specifications'!$B$2:$CK$2,0))</f>
        <v>28</v>
      </c>
    </row>
    <row r="111" spans="1:2" x14ac:dyDescent="0.3">
      <c r="A111" t="s">
        <v>143</v>
      </c>
      <c r="B111" s="2">
        <f>INDEX('vehicles specifications'!$B$3:$CK$86,MATCH(B96,'vehicles specifications'!$A$3:$A$86,0),MATCH("Oxydation energy stored [kWh]",'vehicles specifications'!$B$2:$CK$2,0))</f>
        <v>0</v>
      </c>
    </row>
    <row r="112" spans="1:2" x14ac:dyDescent="0.3">
      <c r="A112" t="s">
        <v>145</v>
      </c>
      <c r="B112">
        <f>INDEX('vehicles specifications'!$B$3:$CK$86,MATCH(B96,'vehicles specifications'!$A$3:$A$86,0),MATCH("Fuel mass [kg]",'vehicles specifications'!$B$2:$CK$2,0))</f>
        <v>0</v>
      </c>
    </row>
    <row r="113" spans="1:8" x14ac:dyDescent="0.3">
      <c r="A113" t="s">
        <v>141</v>
      </c>
      <c r="B113" s="2">
        <f>INDEX('vehicles specifications'!$B$3:$CK$86,MATCH(B96,'vehicles specifications'!$A$3:$A$86,0),MATCH("Range [km]",'vehicles specifications'!$B$2:$CK$2,0))</f>
        <v>366.90325724961417</v>
      </c>
    </row>
    <row r="114" spans="1:8" x14ac:dyDescent="0.3">
      <c r="A114" t="s">
        <v>142</v>
      </c>
      <c r="B114" t="str">
        <f>INDEX('vehicles specifications'!$B$3:$CK$86,MATCH(B96,'vehicles specifications'!$A$3:$A$86,0),MATCH("Emission standard",'vehicles specifications'!$B$2:$CK$2,0))</f>
        <v>None</v>
      </c>
    </row>
    <row r="115" spans="1:8" x14ac:dyDescent="0.3">
      <c r="A115" t="s">
        <v>144</v>
      </c>
      <c r="B115" s="6">
        <f>INDEX('vehicles specifications'!$B$3:$CK$86,MATCH(B96,'vehicles specifications'!$A$3:$A$86,0),MATCH("Lightweighting rate [%]",'vehicles specifications'!$B$2:$CK$2,0))</f>
        <v>0.05</v>
      </c>
    </row>
    <row r="116" spans="1:8" s="21" customFormat="1" x14ac:dyDescent="0.3">
      <c r="A116" s="21" t="s">
        <v>513</v>
      </c>
      <c r="B116" s="6" t="s">
        <v>514</v>
      </c>
    </row>
    <row r="117" spans="1:8" s="21" customFormat="1" x14ac:dyDescent="0.3">
      <c r="A117" s="21" t="s">
        <v>515</v>
      </c>
      <c r="B117" s="2">
        <v>15900</v>
      </c>
    </row>
    <row r="118" spans="1:8" s="21" customFormat="1" x14ac:dyDescent="0.3">
      <c r="A118" s="21" t="s">
        <v>516</v>
      </c>
      <c r="B118" s="2">
        <v>1000</v>
      </c>
    </row>
    <row r="119" spans="1:8" s="21" customFormat="1" x14ac:dyDescent="0.3">
      <c r="A119" s="21"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scooter'!B100</f>
        <v>Power: 49 kW. Lifetime: 62100 km. Annual kilometers: 4690 km. Number of passengers: 1.1. Curb mass: 247.1 kg. Lightweighting of glider: 5%. Emission standard: None. Service visits throughout lifetime: 1.2. Range: 367 km. Battery capacity: 35 kWh. Available battery capacity: 28 kWh. Battery mass: 105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1</v>
      </c>
    </row>
    <row r="120" spans="1:8" ht="15.6" x14ac:dyDescent="0.3">
      <c r="A120" s="11" t="s">
        <v>80</v>
      </c>
    </row>
    <row r="121" spans="1:8" x14ac:dyDescent="0.3">
      <c r="A121" t="s">
        <v>81</v>
      </c>
      <c r="B121" t="s">
        <v>82</v>
      </c>
      <c r="C121" t="s">
        <v>73</v>
      </c>
      <c r="D121" t="s">
        <v>77</v>
      </c>
      <c r="E121" t="s">
        <v>83</v>
      </c>
      <c r="F121" t="s">
        <v>75</v>
      </c>
      <c r="G121" t="s">
        <v>84</v>
      </c>
      <c r="H121" t="s">
        <v>74</v>
      </c>
    </row>
    <row r="122" spans="1:8" x14ac:dyDescent="0.3">
      <c r="A122" s="12" t="str">
        <f>B91</f>
        <v>Motorbike, electric, &gt;35kW, 2040</v>
      </c>
      <c r="B122" s="12">
        <v>1</v>
      </c>
      <c r="C122" s="12" t="str">
        <f>B92</f>
        <v>CH</v>
      </c>
      <c r="D122" s="12" t="str">
        <f>B99</f>
        <v>unit</v>
      </c>
      <c r="E122" s="12"/>
      <c r="F122" s="12" t="s">
        <v>85</v>
      </c>
      <c r="G122" s="12" t="s">
        <v>86</v>
      </c>
      <c r="H122" s="12" t="str">
        <f>B93</f>
        <v>Motorbike, electric, &gt;35kW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111</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s="21" customFormat="1"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5.5500000000000007</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13.74</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22.900000000000002</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109.375</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21.875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manual dismantling of used electric scooter</v>
      </c>
      <c r="B130" s="16">
        <f>INDEX('vehicles specifications'!$B$3:$CK$86,MATCH(B96,'vehicles specifications'!$A$3:$A$86,0),MATCH(G130,'vehicles specifications'!$B$2:$CK$2,0))*INDEX('ei names mapping'!$B$137:$BK$220,MATCH(B96,'ei names mapping'!$A$137:$A$220,0),MATCH(G130,'ei names mapping'!$B$136:$BK$136,0))</f>
        <v>105.44999999999999</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manual dismantling of used electric scooter</v>
      </c>
      <c r="B131" s="16">
        <f>INDEX('vehicles specifications'!$B$3:$CK$86,MATCH(B96,'vehicles specifications'!$A$3:$A$86,0),MATCH(G131,'vehicles specifications'!$B$2:$CK$2,0))*INDEX('ei names mapping'!$B$137:$BK$220,MATCH(B96,'ei names mapping'!$A$137:$A$220,0),MATCH(G131,'ei names mapping'!$B$136:$BK$136,0))</f>
        <v>36.64</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-131.25</v>
      </c>
      <c r="C132" s="12" t="str">
        <f>INDEX('ei names mapping'!$B$38:$R$67,MATCH(B93,'ei names mapping'!$A$4:$A$33,0),MATCH(G132,'ei names mapping'!$B$3:$R$3,0))</f>
        <v>GLO</v>
      </c>
      <c r="D132" s="12" t="str">
        <f>INDEX('ei names mapping'!$B$104:$R$133,MATCH(B93,'ei names mapping'!$A$104:$A$133,0),MATCH(G132,'ei names mapping'!$B$3:$R$3,0))</f>
        <v>kilogram</v>
      </c>
      <c r="E132" s="12"/>
      <c r="F132" s="12" t="s">
        <v>91</v>
      </c>
      <c r="G132" t="s">
        <v>152</v>
      </c>
      <c r="H132" s="12" t="str">
        <f>INDEX('ei names mapping'!$B$71:$R$100,MATCH(B93,'ei names mapping'!$A$4:$A$33,0),MATCH(G132,'ei names mapping'!$B$3:$R$3,0))</f>
        <v>used Li-ion battery</v>
      </c>
    </row>
    <row r="133" spans="1:8" s="21" customFormat="1" x14ac:dyDescent="0.3">
      <c r="A133" s="22" t="s">
        <v>468</v>
      </c>
      <c r="B133" s="21">
        <f>(B106/1000)*B118</f>
        <v>247.08999999999997</v>
      </c>
      <c r="C133" s="21" t="s">
        <v>94</v>
      </c>
      <c r="D133" s="21" t="s">
        <v>243</v>
      </c>
      <c r="F133" s="21" t="s">
        <v>91</v>
      </c>
      <c r="H133" s="22" t="s">
        <v>469</v>
      </c>
    </row>
    <row r="134" spans="1:8" s="21" customFormat="1" x14ac:dyDescent="0.3">
      <c r="A134" s="22" t="s">
        <v>467</v>
      </c>
      <c r="B134" s="2">
        <f>(B106/1000)*B117</f>
        <v>3928.7309999999998</v>
      </c>
      <c r="C134" s="21" t="s">
        <v>98</v>
      </c>
      <c r="D134" s="21" t="s">
        <v>243</v>
      </c>
      <c r="F134" s="21" t="s">
        <v>91</v>
      </c>
      <c r="H134" s="22" t="s">
        <v>467</v>
      </c>
    </row>
    <row r="136" spans="1:8" ht="15.6" x14ac:dyDescent="0.3">
      <c r="A136" s="11" t="s">
        <v>72</v>
      </c>
      <c r="B136" s="9" t="str">
        <f>B138&amp;", "&amp;B140</f>
        <v>Motorbike, electric, &gt;35kW, 2050</v>
      </c>
    </row>
    <row r="137" spans="1:8" x14ac:dyDescent="0.3">
      <c r="A137" t="s">
        <v>73</v>
      </c>
      <c r="B137" t="s">
        <v>37</v>
      </c>
    </row>
    <row r="138" spans="1:8" x14ac:dyDescent="0.3">
      <c r="A138" t="s">
        <v>87</v>
      </c>
      <c r="B138" t="s">
        <v>523</v>
      </c>
    </row>
    <row r="139" spans="1:8" x14ac:dyDescent="0.3">
      <c r="A139" t="s">
        <v>88</v>
      </c>
      <c r="B139" s="12"/>
    </row>
    <row r="140" spans="1:8" x14ac:dyDescent="0.3">
      <c r="A140" t="s">
        <v>89</v>
      </c>
      <c r="B140" s="12">
        <v>2050</v>
      </c>
    </row>
    <row r="141" spans="1:8" x14ac:dyDescent="0.3">
      <c r="A141" t="s">
        <v>131</v>
      </c>
      <c r="B141" s="12" t="str">
        <f>B138&amp;" - "&amp;B140&amp;" - "&amp;B137</f>
        <v>Motorbike, electric, &gt;35kW - 2050 - CH</v>
      </c>
    </row>
    <row r="142" spans="1:8" x14ac:dyDescent="0.3">
      <c r="A142" t="s">
        <v>74</v>
      </c>
      <c r="B142" t="str">
        <f>B138</f>
        <v>Motorbike, electric, &gt;35kW</v>
      </c>
    </row>
    <row r="143" spans="1:8" x14ac:dyDescent="0.3">
      <c r="A143" t="s">
        <v>75</v>
      </c>
      <c r="B143" t="s">
        <v>76</v>
      </c>
    </row>
    <row r="144" spans="1:8" x14ac:dyDescent="0.3">
      <c r="A144" t="s">
        <v>77</v>
      </c>
      <c r="B144" t="s">
        <v>77</v>
      </c>
    </row>
    <row r="145" spans="1:2" x14ac:dyDescent="0.3">
      <c r="A145" t="s">
        <v>79</v>
      </c>
      <c r="B145" t="s">
        <v>90</v>
      </c>
    </row>
    <row r="146" spans="1:2" x14ac:dyDescent="0.3">
      <c r="A146" t="s">
        <v>132</v>
      </c>
      <c r="B146">
        <f>INDEX('vehicles specifications'!$B$3:$CK$86,MATCH(B141,'vehicles specifications'!$A$3:$A$86,0),MATCH("Lifetime [km]",'vehicles specifications'!$B$2:$CK$2,0))</f>
        <v>62100</v>
      </c>
    </row>
    <row r="147" spans="1:2" x14ac:dyDescent="0.3">
      <c r="A147" t="s">
        <v>133</v>
      </c>
      <c r="B147">
        <f>INDEX('vehicles specifications'!$B$3:$CK$86,MATCH(B141,'vehicles specifications'!$A$3:$A$86,0),MATCH("Passengers [unit]",'vehicles specifications'!$B$2:$CK$2,0))</f>
        <v>1.1000000000000001</v>
      </c>
    </row>
    <row r="148" spans="1:2" x14ac:dyDescent="0.3">
      <c r="A148" t="s">
        <v>134</v>
      </c>
      <c r="B148">
        <f>INDEX('vehicles specifications'!$B$3:$CK$86,MATCH(B141,'vehicles specifications'!$A$3:$A$86,0),MATCH("Servicing [unit]",'vehicles specifications'!$B$2:$CK$2,0))</f>
        <v>1.242</v>
      </c>
    </row>
    <row r="149" spans="1:2" x14ac:dyDescent="0.3">
      <c r="A149" t="s">
        <v>135</v>
      </c>
      <c r="B149">
        <f>INDEX('vehicles specifications'!$B$3:$CK$86,MATCH(B141,'vehicles specifications'!$A$3:$A$86,0),MATCH("Energy battery replacement [unit]",'vehicles specifications'!$B$2:$CK$2,0))</f>
        <v>0</v>
      </c>
    </row>
    <row r="150" spans="1:2" x14ac:dyDescent="0.3">
      <c r="A150" t="s">
        <v>136</v>
      </c>
      <c r="B150">
        <f>INDEX('vehicles specifications'!$B$3:$CK$86,MATCH(B141,'vehicles specifications'!$A$3:$A$86,0),MATCH("Annual kilometers [km]",'vehicles specifications'!$B$2:$CK$2,0))</f>
        <v>4690</v>
      </c>
    </row>
    <row r="151" spans="1:2" x14ac:dyDescent="0.3">
      <c r="A151" t="s">
        <v>137</v>
      </c>
      <c r="B151" s="2">
        <f>INDEX('vehicles specifications'!$B$3:$CK$86,MATCH(B141,'vehicles specifications'!$A$3:$A$86,0),MATCH("Curb mass [kg]",'vehicles specifications'!$B$2:$CK$2,0))</f>
        <v>246.66999999999996</v>
      </c>
    </row>
    <row r="152" spans="1:2" x14ac:dyDescent="0.3">
      <c r="A152" t="s">
        <v>138</v>
      </c>
      <c r="B152">
        <f>INDEX('vehicles specifications'!$B$3:$CK$86,MATCH(B141,'vehicles specifications'!$A$3:$A$86,0),MATCH("Power [kW]",'vehicles specifications'!$B$2:$CK$2,0))</f>
        <v>49</v>
      </c>
    </row>
    <row r="153" spans="1:2" x14ac:dyDescent="0.3">
      <c r="A153" t="s">
        <v>139</v>
      </c>
      <c r="B153">
        <f>INDEX('vehicles specifications'!$B$3:$CK$86,MATCH(B141,'vehicles specifications'!$A$3:$A$86,0),MATCH("Energy battery mass [kg]",'vehicles specifications'!$B$2:$CK$2,0))</f>
        <v>106.8</v>
      </c>
    </row>
    <row r="154" spans="1:2" x14ac:dyDescent="0.3">
      <c r="A154" t="s">
        <v>140</v>
      </c>
      <c r="B154" s="21">
        <f>INDEX('vehicles specifications'!$B$3:$CK$86,MATCH(B141,'vehicles specifications'!$A$3:$A$86,0),MATCH("Electric energy stored [kWh]",'vehicles specifications'!$B$2:$CK$2,0))</f>
        <v>44.5</v>
      </c>
    </row>
    <row r="155" spans="1:2" s="21" customFormat="1" x14ac:dyDescent="0.3">
      <c r="A155" s="21" t="s">
        <v>654</v>
      </c>
      <c r="B155" s="21">
        <f>INDEX('vehicles specifications'!$B$3:$CK$86,MATCH(B141,'vehicles specifications'!$A$3:$A$86,0),MATCH("Electric energy available [kWh]",'vehicles specifications'!$B$2:$CK$2,0))</f>
        <v>35.6</v>
      </c>
    </row>
    <row r="156" spans="1:2" x14ac:dyDescent="0.3">
      <c r="A156" t="s">
        <v>143</v>
      </c>
      <c r="B156" s="2">
        <f>INDEX('vehicles specifications'!$B$3:$CK$86,MATCH(B141,'vehicles specifications'!$A$3:$A$86,0),MATCH("Oxydation energy stored [kWh]",'vehicles specifications'!$B$2:$CK$2,0))</f>
        <v>0</v>
      </c>
    </row>
    <row r="157" spans="1:2" x14ac:dyDescent="0.3">
      <c r="A157" t="s">
        <v>145</v>
      </c>
      <c r="B157">
        <f>INDEX('vehicles specifications'!$B$3:$CK$86,MATCH(B141,'vehicles specifications'!$A$3:$A$86,0),MATCH("Fuel mass [kg]",'vehicles specifications'!$B$2:$CK$2,0))</f>
        <v>0</v>
      </c>
    </row>
    <row r="158" spans="1:2" x14ac:dyDescent="0.3">
      <c r="A158" t="s">
        <v>141</v>
      </c>
      <c r="B158" s="2">
        <f>INDEX('vehicles specifications'!$B$3:$CK$86,MATCH(B141,'vehicles specifications'!$A$3:$A$86,0),MATCH("Range [km]",'vehicles specifications'!$B$2:$CK$2,0))</f>
        <v>466.49128421736663</v>
      </c>
    </row>
    <row r="159" spans="1:2" x14ac:dyDescent="0.3">
      <c r="A159" t="s">
        <v>142</v>
      </c>
      <c r="B159" t="str">
        <f>INDEX('vehicles specifications'!$B$3:$CK$86,MATCH(B141,'vehicles specifications'!$A$3:$A$86,0),MATCH("Emission standard",'vehicles specifications'!$B$2:$CK$2,0))</f>
        <v>None</v>
      </c>
    </row>
    <row r="160" spans="1:2" x14ac:dyDescent="0.3">
      <c r="A160" t="s">
        <v>144</v>
      </c>
      <c r="B160" s="6">
        <f>INDEX('vehicles specifications'!$B$3:$CK$86,MATCH(B141,'vehicles specifications'!$A$3:$A$86,0),MATCH("Lightweighting rate [%]",'vehicles specifications'!$B$2:$CK$2,0))</f>
        <v>7.0000000000000007E-2</v>
      </c>
    </row>
    <row r="161" spans="1:8" s="21" customFormat="1" x14ac:dyDescent="0.3">
      <c r="A161" s="21" t="s">
        <v>513</v>
      </c>
      <c r="B161" s="6" t="s">
        <v>514</v>
      </c>
    </row>
    <row r="162" spans="1:8" s="21" customFormat="1" x14ac:dyDescent="0.3">
      <c r="A162" s="21" t="s">
        <v>515</v>
      </c>
      <c r="B162" s="2">
        <v>15900</v>
      </c>
    </row>
    <row r="163" spans="1:8" s="21" customFormat="1" x14ac:dyDescent="0.3">
      <c r="A163" s="21" t="s">
        <v>516</v>
      </c>
      <c r="B163" s="2">
        <v>1000</v>
      </c>
    </row>
    <row r="164" spans="1:8" s="21" customFormat="1" x14ac:dyDescent="0.3">
      <c r="A164" s="21"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scooter'!B145</f>
        <v>Power: 49 kW. Lifetime: 62100 km. Annual kilometers: 4690 km. Number of passengers: 1.1. Curb mass: 246.7 kg. Lightweighting of glider: 7%. Emission standard: None. Service visits throughout lifetime: 1.2. Range: 466 km. Battery capacity: 44.5 kWh. Available battery capacity: 35.6 kWh. Battery mass: 106.8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v>
      </c>
    </row>
    <row r="165" spans="1:8" ht="15.6" x14ac:dyDescent="0.3">
      <c r="A165" s="11" t="s">
        <v>80</v>
      </c>
    </row>
    <row r="166" spans="1:8" x14ac:dyDescent="0.3">
      <c r="A166" t="s">
        <v>81</v>
      </c>
      <c r="B166" t="s">
        <v>82</v>
      </c>
      <c r="C166" t="s">
        <v>73</v>
      </c>
      <c r="D166" t="s">
        <v>77</v>
      </c>
      <c r="E166" t="s">
        <v>83</v>
      </c>
      <c r="F166" t="s">
        <v>75</v>
      </c>
      <c r="G166" t="s">
        <v>84</v>
      </c>
      <c r="H166" t="s">
        <v>74</v>
      </c>
    </row>
    <row r="167" spans="1:8" x14ac:dyDescent="0.3">
      <c r="A167" s="12" t="str">
        <f>B136</f>
        <v>Motorbike, electric, &gt;35kW, 2050</v>
      </c>
      <c r="B167" s="12">
        <v>1</v>
      </c>
      <c r="C167" s="12" t="str">
        <f>B137</f>
        <v>CH</v>
      </c>
      <c r="D167" s="12" t="str">
        <f>B144</f>
        <v>unit</v>
      </c>
      <c r="E167" s="12"/>
      <c r="F167" s="12" t="s">
        <v>85</v>
      </c>
      <c r="G167" s="12" t="s">
        <v>86</v>
      </c>
      <c r="H167" s="12" t="str">
        <f>B138</f>
        <v>Motorbike, electric, &gt;35kW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111</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s="21" customFormat="1"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7.7700000000000005</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13.74</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22.900000000000002</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89</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17.8</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manual dismantling of used electric scooter</v>
      </c>
      <c r="B175" s="16">
        <f>INDEX('vehicles specifications'!$B$3:$CK$86,MATCH(B141,'vehicles specifications'!$A$3:$A$86,0),MATCH(G175,'vehicles specifications'!$B$2:$CK$2,0))*INDEX('ei names mapping'!$B$137:$BK$220,MATCH(B141,'ei names mapping'!$A$137:$A$220,0),MATCH(G175,'ei names mapping'!$B$136:$BK$136,0))</f>
        <v>103.22999999999999</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manual dismantling of used electric scooter</v>
      </c>
      <c r="B176" s="16">
        <f>INDEX('vehicles specifications'!$B$3:$CK$86,MATCH(B141,'vehicles specifications'!$A$3:$A$86,0),MATCH(G176,'vehicles specifications'!$B$2:$CK$2,0))*INDEX('ei names mapping'!$B$137:$BK$220,MATCH(B141,'ei names mapping'!$A$137:$A$220,0),MATCH(G176,'ei names mapping'!$B$136:$BK$136,0))</f>
        <v>36.64</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-106.8</v>
      </c>
      <c r="C177" s="12" t="str">
        <f>INDEX('ei names mapping'!$B$38:$R$67,MATCH(B138,'ei names mapping'!$A$4:$A$33,0),MATCH(G177,'ei names mapping'!$B$3:$R$3,0))</f>
        <v>GLO</v>
      </c>
      <c r="D177" s="12" t="str">
        <f>INDEX('ei names mapping'!$B$104:$R$133,MATCH(B138,'ei names mapping'!$A$104:$A$133,0),MATCH(G177,'ei names mapping'!$B$3:$R$3,0))</f>
        <v>kilogram</v>
      </c>
      <c r="E177" s="12"/>
      <c r="F177" s="12" t="s">
        <v>91</v>
      </c>
      <c r="G177" t="s">
        <v>152</v>
      </c>
      <c r="H177" s="12" t="str">
        <f>INDEX('ei names mapping'!$B$71:$R$100,MATCH(B138,'ei names mapping'!$A$4:$A$33,0),MATCH(G177,'ei names mapping'!$B$3:$R$3,0))</f>
        <v>used Li-ion battery</v>
      </c>
    </row>
    <row r="178" spans="1:8" s="21" customFormat="1" x14ac:dyDescent="0.3">
      <c r="A178" s="22" t="s">
        <v>468</v>
      </c>
      <c r="B178" s="21">
        <f>(B151/1000)*B163</f>
        <v>246.66999999999996</v>
      </c>
      <c r="C178" s="21" t="s">
        <v>94</v>
      </c>
      <c r="D178" s="21" t="s">
        <v>243</v>
      </c>
      <c r="F178" s="21" t="s">
        <v>91</v>
      </c>
      <c r="H178" s="22" t="s">
        <v>469</v>
      </c>
    </row>
    <row r="179" spans="1:8" s="21" customFormat="1" x14ac:dyDescent="0.3">
      <c r="A179" s="22" t="s">
        <v>467</v>
      </c>
      <c r="B179" s="2">
        <f>(B151/1000)*B162</f>
        <v>3922.0529999999994</v>
      </c>
      <c r="C179" s="21" t="s">
        <v>98</v>
      </c>
      <c r="D179" s="21" t="s">
        <v>243</v>
      </c>
      <c r="F179" s="21" t="s">
        <v>91</v>
      </c>
      <c r="H179" s="22" t="s">
        <v>467</v>
      </c>
    </row>
    <row r="180" spans="1:8" x14ac:dyDescent="0.3">
      <c r="B180" s="2"/>
    </row>
    <row r="181" spans="1:8" ht="15.6" x14ac:dyDescent="0.3">
      <c r="A181" s="11" t="s">
        <v>72</v>
      </c>
      <c r="B181" s="9" t="str">
        <f>"transport, "&amp;B183&amp;", "&amp;B185</f>
        <v>transport, Motorbike, electric, &gt;35kW, 2020</v>
      </c>
    </row>
    <row r="182" spans="1:8" x14ac:dyDescent="0.3">
      <c r="A182" t="s">
        <v>73</v>
      </c>
      <c r="B182" t="s">
        <v>37</v>
      </c>
    </row>
    <row r="183" spans="1:8" x14ac:dyDescent="0.3">
      <c r="A183" t="s">
        <v>87</v>
      </c>
      <c r="B183" t="s">
        <v>523</v>
      </c>
    </row>
    <row r="184" spans="1:8" x14ac:dyDescent="0.3">
      <c r="A184" t="s">
        <v>88</v>
      </c>
      <c r="B184" s="12"/>
    </row>
    <row r="185" spans="1:8" x14ac:dyDescent="0.3">
      <c r="A185" t="s">
        <v>89</v>
      </c>
      <c r="B185" s="12">
        <v>2020</v>
      </c>
    </row>
    <row r="186" spans="1:8" x14ac:dyDescent="0.3">
      <c r="A186" t="s">
        <v>131</v>
      </c>
      <c r="B186" s="12" t="str">
        <f>B183&amp;" - "&amp;B185&amp;" - "&amp;B182</f>
        <v>Motorbike, electric, &gt;35kW - 2020 - CH</v>
      </c>
    </row>
    <row r="187" spans="1:8" x14ac:dyDescent="0.3">
      <c r="A187" t="s">
        <v>74</v>
      </c>
      <c r="B187" s="12" t="str">
        <f>"transport, "&amp;B183</f>
        <v>transport, Motorbike, electric, &gt;35kW</v>
      </c>
    </row>
    <row r="188" spans="1:8" x14ac:dyDescent="0.3">
      <c r="A188" t="s">
        <v>75</v>
      </c>
      <c r="B188" t="s">
        <v>76</v>
      </c>
    </row>
    <row r="189" spans="1:8" x14ac:dyDescent="0.3">
      <c r="A189" t="s">
        <v>77</v>
      </c>
      <c r="B189" t="s">
        <v>172</v>
      </c>
    </row>
    <row r="190" spans="1:8" x14ac:dyDescent="0.3">
      <c r="A190" t="s">
        <v>79</v>
      </c>
      <c r="B190" t="s">
        <v>90</v>
      </c>
    </row>
    <row r="191" spans="1:8" x14ac:dyDescent="0.3">
      <c r="A191" t="s">
        <v>132</v>
      </c>
      <c r="B191">
        <f>INDEX('vehicles specifications'!$B$3:$CK$86,MATCH(B186,'vehicles specifications'!$A$3:$A$86,0),MATCH("Lifetime [km]",'vehicles specifications'!$B$2:$CK$2,0))</f>
        <v>62100</v>
      </c>
    </row>
    <row r="192" spans="1:8" x14ac:dyDescent="0.3">
      <c r="A192" t="s">
        <v>133</v>
      </c>
      <c r="B192">
        <f>INDEX('vehicles specifications'!$B$3:$CK$86,MATCH(B186,'vehicles specifications'!$A$3:$A$86,0),MATCH("Passengers [unit]",'vehicles specifications'!$B$2:$CK$2,0))</f>
        <v>1.1000000000000001</v>
      </c>
    </row>
    <row r="193" spans="1:8" x14ac:dyDescent="0.3">
      <c r="A193" t="s">
        <v>134</v>
      </c>
      <c r="B193">
        <f>INDEX('vehicles specifications'!$B$3:$CK$86,MATCH(B186,'vehicles specifications'!$A$3:$A$86,0),MATCH("Servicing [unit]",'vehicles specifications'!$B$2:$CK$2,0))</f>
        <v>1.242</v>
      </c>
    </row>
    <row r="194" spans="1:8" x14ac:dyDescent="0.3">
      <c r="A194" t="s">
        <v>135</v>
      </c>
      <c r="B194">
        <f>INDEX('vehicles specifications'!$B$3:$CK$86,MATCH(B186,'vehicles specifications'!$A$3:$A$86,0),MATCH("Energy battery replacement [unit]",'vehicles specifications'!$B$2:$CK$2,0))</f>
        <v>1</v>
      </c>
    </row>
    <row r="195" spans="1:8" x14ac:dyDescent="0.3">
      <c r="A195" t="s">
        <v>136</v>
      </c>
      <c r="B195">
        <f>INDEX('vehicles specifications'!$B$3:$CK$86,MATCH(B186,'vehicles specifications'!$A$3:$A$86,0),MATCH("Annual kilometers [km]",'vehicles specifications'!$B$2:$CK$2,0))</f>
        <v>4690</v>
      </c>
    </row>
    <row r="196" spans="1:8" x14ac:dyDescent="0.3">
      <c r="A196" t="s">
        <v>137</v>
      </c>
      <c r="B196" s="2">
        <f>INDEX('vehicles specifications'!$B$3:$CK$86,MATCH(B186,'vehicles specifications'!$A$3:$A$86,0),MATCH("Curb mass [kg]",'vehicles specifications'!$B$2:$CK$2,0))</f>
        <v>246.64</v>
      </c>
    </row>
    <row r="197" spans="1:8" x14ac:dyDescent="0.3">
      <c r="A197" t="s">
        <v>138</v>
      </c>
      <c r="B197">
        <f>INDEX('vehicles specifications'!$B$3:$CK$86,MATCH(B186,'vehicles specifications'!$A$3:$A$86,0),MATCH("Power [kW]",'vehicles specifications'!$B$2:$CK$2,0))</f>
        <v>49</v>
      </c>
    </row>
    <row r="198" spans="1:8" x14ac:dyDescent="0.3">
      <c r="A198" t="s">
        <v>139</v>
      </c>
      <c r="B198">
        <f>INDEX('vehicles specifications'!$B$3:$CK$86,MATCH(B186,'vehicles specifications'!$A$3:$A$86,0),MATCH("Energy battery mass [kg]",'vehicles specifications'!$B$2:$CK$2,0))</f>
        <v>99</v>
      </c>
    </row>
    <row r="199" spans="1:8" x14ac:dyDescent="0.3">
      <c r="A199" t="s">
        <v>140</v>
      </c>
      <c r="B199" s="21">
        <f>INDEX('vehicles specifications'!$B$3:$CK$86,MATCH(B186,'vehicles specifications'!$A$3:$A$86,0),MATCH("Electric energy stored [kWh]",'vehicles specifications'!$B$2:$CK$2,0))</f>
        <v>16.5</v>
      </c>
    </row>
    <row r="200" spans="1:8" s="21" customFormat="1" x14ac:dyDescent="0.3">
      <c r="A200" s="21" t="s">
        <v>654</v>
      </c>
      <c r="B200" s="21">
        <f>INDEX('vehicles specifications'!$B$3:$CK$86,MATCH(B186,'vehicles specifications'!$A$3:$A$86,0),MATCH("Electric energy available [kWh]",'vehicles specifications'!$B$2:$CK$2,0))</f>
        <v>13.200000000000001</v>
      </c>
    </row>
    <row r="201" spans="1:8" x14ac:dyDescent="0.3">
      <c r="A201" t="s">
        <v>143</v>
      </c>
      <c r="B201" s="2">
        <f>INDEX('vehicles specifications'!$B$3:$CK$86,MATCH(B186,'vehicles specifications'!$A$3:$A$86,0),MATCH("Oxydation energy stored [kWh]",'vehicles specifications'!$B$2:$CK$2,0))</f>
        <v>0</v>
      </c>
    </row>
    <row r="202" spans="1:8" x14ac:dyDescent="0.3">
      <c r="A202" t="s">
        <v>145</v>
      </c>
      <c r="B202">
        <f>INDEX('vehicles specifications'!$B$3:$CK$86,MATCH(B186,'vehicles specifications'!$A$3:$A$86,0),MATCH("Fuel mass [kg]",'vehicles specifications'!$B$2:$CK$2,0))</f>
        <v>0</v>
      </c>
    </row>
    <row r="203" spans="1:8" x14ac:dyDescent="0.3">
      <c r="A203" t="s">
        <v>141</v>
      </c>
      <c r="B203" s="2">
        <f>INDEX('vehicles specifications'!$B$3:$CK$86,MATCH(B186,'vehicles specifications'!$A$3:$A$86,0),MATCH("Range [km]",'vehicles specifications'!$B$2:$CK$2,0))</f>
        <v>172.96867841767528</v>
      </c>
    </row>
    <row r="204" spans="1:8" x14ac:dyDescent="0.3">
      <c r="A204" t="s">
        <v>142</v>
      </c>
      <c r="B204" t="str">
        <f>INDEX('vehicles specifications'!$B$3:$CK$86,MATCH(B186,'vehicles specifications'!$A$3:$A$86,0),MATCH("Emission standard",'vehicles specifications'!$B$2:$CK$2,0))</f>
        <v>None</v>
      </c>
    </row>
    <row r="205" spans="1:8" x14ac:dyDescent="0.3">
      <c r="A205" t="s">
        <v>144</v>
      </c>
      <c r="B205" s="6">
        <f>INDEX('vehicles specifications'!$B$3:$CK$86,MATCH(B186,'vehicles specifications'!$A$3:$A$86,0),MATCH("Lightweighting rate [%]",'vehicles specifications'!$B$2:$CK$2,0))</f>
        <v>0</v>
      </c>
    </row>
    <row r="206" spans="1:8" x14ac:dyDescent="0.3">
      <c r="A206"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"&amp;'lci-kick scooter'!B149</f>
        <v>Power: 49 kW. Lifetime: 62100 km. Annual kilometers: 4690 km. Number of passengers: 1.1. Curb mass: 246.6 kg. Lightweighting of glider: 0%. Emission standard: None. Service visits throughout lifetime: 1.2. Range: 173 km. Battery capacity: 16.5 kWh. Available battery capacity: 13.2 kWh. Battery mass: 99 kg. Battery replacement throughout lifetime: 1. Fuel tank capacity: 0 kWh. Fuel mass: 0 kg. Documentation: 2021 UVEK life-cycle inventories update of on-road vehicles, Sacchi R. (PSI), Bauer C. (PSI), 2021. 2.6</v>
      </c>
    </row>
    <row r="207" spans="1:8" ht="15.6" x14ac:dyDescent="0.3">
      <c r="A207" s="11" t="s">
        <v>80</v>
      </c>
    </row>
    <row r="208" spans="1:8" x14ac:dyDescent="0.3">
      <c r="A208" t="s">
        <v>81</v>
      </c>
      <c r="B208" t="s">
        <v>82</v>
      </c>
      <c r="C208" t="s">
        <v>73</v>
      </c>
      <c r="D208" t="s">
        <v>77</v>
      </c>
      <c r="E208" t="s">
        <v>83</v>
      </c>
      <c r="F208" t="s">
        <v>75</v>
      </c>
      <c r="G208" t="s">
        <v>84</v>
      </c>
      <c r="H208" t="s">
        <v>74</v>
      </c>
    </row>
    <row r="209" spans="1:8" x14ac:dyDescent="0.3">
      <c r="A209" s="12" t="str">
        <f>B181</f>
        <v>transport, Motorbike, electric, &gt;35kW, 2020</v>
      </c>
      <c r="B209" s="12">
        <v>1</v>
      </c>
      <c r="C209" s="12" t="str">
        <f>B182</f>
        <v>CH</v>
      </c>
      <c r="D209" s="12" t="s">
        <v>172</v>
      </c>
      <c r="E209" s="12"/>
      <c r="F209" s="12" t="s">
        <v>85</v>
      </c>
      <c r="G209" s="12" t="s">
        <v>86</v>
      </c>
      <c r="H209" s="12" t="str">
        <f>B187</f>
        <v>transport, Motorbike, electric, &gt;35kW</v>
      </c>
    </row>
    <row r="210" spans="1:8" x14ac:dyDescent="0.3">
      <c r="A210" s="12" t="str">
        <f>RIGHT(A209,LEN(A209)-11)</f>
        <v>Motorbike, electric, &gt;35kW, 2020</v>
      </c>
      <c r="B210" s="15">
        <f>1/B191</f>
        <v>1.6103059581320449E-5</v>
      </c>
      <c r="C210" s="12" t="str">
        <f>B182</f>
        <v>CH</v>
      </c>
      <c r="D210" s="12" t="s">
        <v>77</v>
      </c>
      <c r="E210" s="12"/>
      <c r="F210" s="12" t="s">
        <v>91</v>
      </c>
      <c r="G210" s="12"/>
      <c r="H210" s="12" t="str">
        <f>RIGHT(H209,LEN(H209)-11)</f>
        <v>Motorbike, electric, &gt;35kW</v>
      </c>
    </row>
    <row r="211" spans="1:8" x14ac:dyDescent="0.3">
      <c r="A211" s="12" t="str">
        <f>INDEX('ei names mapping'!$B$4:$R$33,MATCH(B183,'ei names mapping'!$A$4:$A$33,0),MATCH(G211,'ei names mapping'!$B$3:$R$3,0))</f>
        <v>road maintenance</v>
      </c>
      <c r="B211" s="16">
        <f>INDEX('vehicles specifications'!$B$3:$CK$86,MATCH(B186,'vehicles specifications'!$A$3:$A$86,0),MATCH(G211,'vehicles specifications'!$B$2:$CK$2,0))*INDEX('ei names mapping'!$B$137:$BK$220,MATCH(B186,'ei names mapping'!$A$137:$A$220,0),MATCH(G211,'ei names mapping'!$B$136:$BK$136,0))</f>
        <v>1.2899999999999999E-3</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t="s">
        <v>117</v>
      </c>
      <c r="H211" s="12" t="str">
        <f>INDEX('ei names mapping'!$B$71:$BK$100,MATCH(B183,'ei names mapping'!$A$4:$A$33,0),MATCH(G211,'ei names mapping'!$B$3:$BK$3,0))</f>
        <v>road maintenance</v>
      </c>
    </row>
    <row r="212" spans="1:8" x14ac:dyDescent="0.3">
      <c r="A212" s="12" t="str">
        <f>INDEX('ei names mapping'!$B$4:$R$33,MATCH(B183,'ei names mapping'!$A$4:$A$33,0),MATCH(G212,'ei names mapping'!$B$3:$R$3,0))</f>
        <v>market for electricity, low voltage</v>
      </c>
      <c r="B212" s="14">
        <f>INDEX('vehicles specifications'!$B$3:$CK$86,MATCH(B186,'vehicles specifications'!$A$3:$A$86,0),MATCH(G212,'vehicles specifications'!$B$2:$CK$2,0))*INDEX('ei names mapping'!$B$137:$BK$220,MATCH(B186,'ei names mapping'!$A$137:$A$220,0),MATCH(G212,'ei names mapping'!$B$136:$BK$136,0))</f>
        <v>8.3945834198593472E-2</v>
      </c>
      <c r="C212" s="12" t="str">
        <f>INDEX('ei names mapping'!$B$38:$R$67,MATCH($B$3,'ei names mapping'!$A$4:$A$33,0),MATCH(G212,'ei names mapping'!$B$3:$R$3,0))</f>
        <v>CH</v>
      </c>
      <c r="D212" s="12" t="str">
        <f>INDEX('ei names mapping'!$B$104:$R$133,MATCH($B$3,'ei names mapping'!$A$4:$A$33,0),MATCH(G212,'ei names mapping'!$B$3:$R$3,0))</f>
        <v>kilowatt hour</v>
      </c>
      <c r="E212" s="12"/>
      <c r="F212" s="12" t="s">
        <v>91</v>
      </c>
      <c r="G212" t="s">
        <v>28</v>
      </c>
      <c r="H212" s="12" t="str">
        <f>INDEX('ei names mapping'!$B$71:$R$100,MATCH(B183,'ei names mapping'!$A$4:$A$33,0),MATCH(G212,'ei names mapping'!$B$3:$R$3,0))</f>
        <v>electricity, low voltage</v>
      </c>
    </row>
    <row r="213" spans="1:8" x14ac:dyDescent="0.3">
      <c r="A213" s="12" t="str">
        <f>INDEX('ei names mapping'!$B$4:$R$33,MATCH(B183,'ei names mapping'!$A$4:$A$33,0),MATCH(G213,'ei names mapping'!$B$3:$R$3,0))</f>
        <v>market for maintenance, electric scooter, without battery</v>
      </c>
      <c r="B213" s="16">
        <f>INDEX('vehicles specifications'!$B$3:$CK$86,MATCH(B186,'vehicles specifications'!$A$3:$A$86,0),MATCH(G213,'vehicles specifications'!$B$2:$CK$2,0))*INDEX('ei names mapping'!$B$137:$BK$220,MATCH(B186,'ei names mapping'!$A$137:$A$220,0),MATCH(G213,'ei names mapping'!$B$136:$BK$136,0))</f>
        <v>1.9999999999999998E-5</v>
      </c>
      <c r="C213" s="12" t="str">
        <f>INDEX('ei names mapping'!$B$38:$BK$67,MATCH(B183,'ei names mapping'!$A$4:$A$33,0),MATCH(G213,'ei names mapping'!$B$3:$BK$3,0))</f>
        <v>GLO</v>
      </c>
      <c r="D213" s="12" t="str">
        <f>INDEX('ei names mapping'!$B$104:$BK$133,MATCH(B183,'ei names mapping'!$A$4:$A$33,0),MATCH(G213,'ei names mapping'!$B$3:$BK$3,0))</f>
        <v>unit</v>
      </c>
      <c r="F213" s="12" t="s">
        <v>91</v>
      </c>
      <c r="G213" s="12" t="s">
        <v>123</v>
      </c>
      <c r="H213" s="12" t="str">
        <f>INDEX('ei names mapping'!$B$71:$BK$100,MATCH(B183,'ei names mapping'!$A$4:$A$33,0),MATCH(G213,'ei names mapping'!$B$3:$BK$3,0))</f>
        <v>maintenance, electric scooter, without battery</v>
      </c>
    </row>
    <row r="214" spans="1:8" s="21" customFormat="1" x14ac:dyDescent="0.3">
      <c r="A214" s="12" t="str">
        <f>INDEX('ei names mapping'!$B$4:$R$33,MATCH(B183,'ei names mapping'!$A$4:$A$33,0),MATCH(G214,'ei names mapping'!$B$3:$R$3,0))</f>
        <v>road construction</v>
      </c>
      <c r="B214" s="16">
        <f>INDEX('vehicles specifications'!$B$3:$CK$86,MATCH(B186,'vehicles specifications'!$A$3:$A$86,0),MATCH(G214,'vehicles specifications'!$B$2:$CK$2,0))*INDEX('ei names mapping'!$B$137:$BK$220,MATCH(B186,'ei names mapping'!$A$137:$A$220,0),MATCH(G214,'ei names mapping'!$B$136:$BK$136,0))</f>
        <v>1.7701667999999999E-4</v>
      </c>
      <c r="C214" s="12" t="str">
        <f>INDEX('ei names mapping'!$B$38:$R$67,MATCH(B183,'ei names mapping'!$A$4:$A$33,0),MATCH(G214,'ei names mapping'!$B$3:$R$3,0))</f>
        <v>CH</v>
      </c>
      <c r="D214" s="12" t="str">
        <f>INDEX('ei names mapping'!$B$104:$R$133,MATCH(B183,'ei names mapping'!$A$104:$A$133,0),MATCH(G214,'ei names mapping'!$B$3:$R$3,0))</f>
        <v>meter-year</v>
      </c>
      <c r="E214" s="12"/>
      <c r="F214" s="12" t="s">
        <v>91</v>
      </c>
      <c r="G214" s="21" t="s">
        <v>108</v>
      </c>
      <c r="H214" s="12" t="str">
        <f>INDEX('ei names mapping'!$B$71:$R$100,MATCH(B183,'ei names mapping'!$A$4:$A$33,0),MATCH(G214,'ei names mapping'!$B$3:$R$3,0))</f>
        <v>road</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-7.3669999999999991E-6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-4.1749999999999998E-6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Motorbike, electric, &gt;35kW, 2030</v>
      </c>
    </row>
    <row r="220" spans="1:8" x14ac:dyDescent="0.3">
      <c r="A220" t="s">
        <v>73</v>
      </c>
      <c r="B220" t="s">
        <v>37</v>
      </c>
    </row>
    <row r="221" spans="1:8" x14ac:dyDescent="0.3">
      <c r="A221" t="s">
        <v>87</v>
      </c>
      <c r="B221" t="s">
        <v>523</v>
      </c>
    </row>
    <row r="222" spans="1:8" x14ac:dyDescent="0.3">
      <c r="A222" t="s">
        <v>88</v>
      </c>
      <c r="B222" s="12"/>
    </row>
    <row r="223" spans="1:8" x14ac:dyDescent="0.3">
      <c r="A223" t="s">
        <v>89</v>
      </c>
      <c r="B223" s="12">
        <v>2030</v>
      </c>
    </row>
    <row r="224" spans="1:8" x14ac:dyDescent="0.3">
      <c r="A224" t="s">
        <v>131</v>
      </c>
      <c r="B224" s="12" t="str">
        <f>B221&amp;" - "&amp;B223&amp;" - "&amp;B220</f>
        <v>Motorbike, electric, &gt;35kW - 2030 - CH</v>
      </c>
    </row>
    <row r="225" spans="1:2" x14ac:dyDescent="0.3">
      <c r="A225" t="s">
        <v>74</v>
      </c>
      <c r="B225" s="12" t="str">
        <f>"transport, "&amp;B221</f>
        <v>transport, Motorbike, electric, &gt;35kW</v>
      </c>
    </row>
    <row r="226" spans="1:2" x14ac:dyDescent="0.3">
      <c r="A226" t="s">
        <v>75</v>
      </c>
      <c r="B226" t="s">
        <v>76</v>
      </c>
    </row>
    <row r="227" spans="1:2" x14ac:dyDescent="0.3">
      <c r="A227" t="s">
        <v>77</v>
      </c>
      <c r="B227" t="s">
        <v>172</v>
      </c>
    </row>
    <row r="228" spans="1:2" x14ac:dyDescent="0.3">
      <c r="A228" t="s">
        <v>79</v>
      </c>
      <c r="B228" t="s">
        <v>90</v>
      </c>
    </row>
    <row r="229" spans="1:2" x14ac:dyDescent="0.3">
      <c r="A229" t="s">
        <v>132</v>
      </c>
      <c r="B229">
        <f>INDEX('vehicles specifications'!$B$3:$CK$86,MATCH(B224,'vehicles specifications'!$A$3:$A$86,0),MATCH("Lifetime [km]",'vehicles specifications'!$B$2:$CK$2,0))</f>
        <v>62100</v>
      </c>
    </row>
    <row r="230" spans="1:2" x14ac:dyDescent="0.3">
      <c r="A230" t="s">
        <v>133</v>
      </c>
      <c r="B230">
        <f>INDEX('vehicles specifications'!$B$3:$CK$86,MATCH(B224,'vehicles specifications'!$A$3:$A$86,0),MATCH("Passengers [unit]",'vehicles specifications'!$B$2:$CK$2,0))</f>
        <v>1.1000000000000001</v>
      </c>
    </row>
    <row r="231" spans="1:2" x14ac:dyDescent="0.3">
      <c r="A231" t="s">
        <v>134</v>
      </c>
      <c r="B231">
        <f>INDEX('vehicles specifications'!$B$3:$CK$86,MATCH(B224,'vehicles specifications'!$A$3:$A$86,0),MATCH("Servicing [unit]",'vehicles specifications'!$B$2:$CK$2,0))</f>
        <v>1.242</v>
      </c>
    </row>
    <row r="232" spans="1:2" x14ac:dyDescent="0.3">
      <c r="A232" t="s">
        <v>135</v>
      </c>
      <c r="B232">
        <f>INDEX('vehicles specifications'!$B$3:$CK$86,MATCH(B224,'vehicles specifications'!$A$3:$A$86,0),MATCH("Energy battery replacement [unit]",'vehicles specifications'!$B$2:$CK$2,0))</f>
        <v>0.5</v>
      </c>
    </row>
    <row r="233" spans="1:2" x14ac:dyDescent="0.3">
      <c r="A233" t="s">
        <v>136</v>
      </c>
      <c r="B233">
        <f>INDEX('vehicles specifications'!$B$3:$CK$86,MATCH(B224,'vehicles specifications'!$A$3:$A$86,0),MATCH("Annual kilometers [km]",'vehicles specifications'!$B$2:$CK$2,0))</f>
        <v>4690</v>
      </c>
    </row>
    <row r="234" spans="1:2" x14ac:dyDescent="0.3">
      <c r="A234" t="s">
        <v>137</v>
      </c>
      <c r="B234" s="2">
        <f>INDEX('vehicles specifications'!$B$3:$CK$86,MATCH(B224,'vehicles specifications'!$A$3:$A$86,0),MATCH("Curb mass [kg]",'vehicles specifications'!$B$2:$CK$2,0))</f>
        <v>246.71</v>
      </c>
    </row>
    <row r="235" spans="1:2" x14ac:dyDescent="0.3">
      <c r="A235" t="s">
        <v>138</v>
      </c>
      <c r="B235">
        <f>INDEX('vehicles specifications'!$B$3:$CK$86,MATCH(B224,'vehicles specifications'!$A$3:$A$86,0),MATCH("Power [kW]",'vehicles specifications'!$B$2:$CK$2,0))</f>
        <v>49</v>
      </c>
    </row>
    <row r="236" spans="1:2" x14ac:dyDescent="0.3">
      <c r="A236" t="s">
        <v>139</v>
      </c>
      <c r="B236">
        <f>INDEX('vehicles specifications'!$B$3:$CK$86,MATCH(B224,'vehicles specifications'!$A$3:$A$86,0),MATCH("Energy battery mass [kg]",'vehicles specifications'!$B$2:$CK$2,0))</f>
        <v>102.4</v>
      </c>
    </row>
    <row r="237" spans="1:2" x14ac:dyDescent="0.3">
      <c r="A237" t="s">
        <v>140</v>
      </c>
      <c r="B237" s="21">
        <f>INDEX('vehicles specifications'!$B$3:$CK$86,MATCH(B224,'vehicles specifications'!$A$3:$A$86,0),MATCH("Electric energy stored [kWh]",'vehicles specifications'!$B$2:$CK$2,0))</f>
        <v>25.6</v>
      </c>
    </row>
    <row r="238" spans="1:2" s="21" customFormat="1" x14ac:dyDescent="0.3">
      <c r="A238" s="21" t="s">
        <v>654</v>
      </c>
      <c r="B238" s="21">
        <f>INDEX('vehicles specifications'!$B$3:$CK$86,MATCH(B224,'vehicles specifications'!$A$3:$A$86,0),MATCH("Electric energy available [kWh]",'vehicles specifications'!$B$2:$CK$2,0))</f>
        <v>20.480000000000004</v>
      </c>
    </row>
    <row r="239" spans="1:2" x14ac:dyDescent="0.3">
      <c r="A239" t="s">
        <v>143</v>
      </c>
      <c r="B239" s="2">
        <f>INDEX('vehicles specifications'!$B$3:$CK$86,MATCH(B224,'vehicles specifications'!$A$3:$A$86,0),MATCH("Oxydation energy stored [kWh]",'vehicles specifications'!$B$2:$CK$2,0))</f>
        <v>0</v>
      </c>
    </row>
    <row r="240" spans="1:2" x14ac:dyDescent="0.3">
      <c r="A240" t="s">
        <v>145</v>
      </c>
      <c r="B240">
        <f>INDEX('vehicles specifications'!$B$3:$CK$86,MATCH(B224,'vehicles specifications'!$A$3:$A$86,0),MATCH("Fuel mass [kg]",'vehicles specifications'!$B$2:$CK$2,0))</f>
        <v>0</v>
      </c>
    </row>
    <row r="241" spans="1:8" x14ac:dyDescent="0.3">
      <c r="A241" t="s">
        <v>141</v>
      </c>
      <c r="B241" s="2">
        <f>INDEX('vehicles specifications'!$B$3:$CK$86,MATCH(B224,'vehicles specifications'!$A$3:$A$86,0),MATCH("Range [km]",'vehicles specifications'!$B$2:$CK$2,0))</f>
        <v>268.363525302575</v>
      </c>
    </row>
    <row r="242" spans="1:8" x14ac:dyDescent="0.3">
      <c r="A242" t="s">
        <v>142</v>
      </c>
      <c r="B242" t="str">
        <f>INDEX('vehicles specifications'!$B$3:$CK$86,MATCH(B224,'vehicles specifications'!$A$3:$A$86,0),MATCH("Emission standard",'vehicles specifications'!$B$2:$CK$2,0))</f>
        <v>None</v>
      </c>
    </row>
    <row r="243" spans="1:8" x14ac:dyDescent="0.3">
      <c r="A243" t="s">
        <v>144</v>
      </c>
      <c r="B243" s="6">
        <f>INDEX('vehicles specifications'!$B$3:$CK$86,MATCH(B224,'vehicles specifications'!$A$3:$A$86,0),MATCH("Lightweighting rate [%]",'vehicles specifications'!$B$2:$CK$2,0))</f>
        <v>0.03</v>
      </c>
    </row>
    <row r="244" spans="1:8" x14ac:dyDescent="0.3">
      <c r="A244"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"&amp;'lci-kick scooter'!B187</f>
        <v>Power: 49 kW. Lifetime: 62100 km. Annual kilometers: 4690 km. Number of passengers: 1.1. Curb mass: 246.7 kg. Lightweighting of glider: 3%. Emission standard: None. Service visits throughout lifetime: 1.2. Range: 268 km. Battery capacity: 25.6 kWh. Available battery capacity: 20.48 kWh. Battery mass: 102.4 kg. Battery replacement throughout lifetime: 0.5. Fuel tank capacity: 0 kWh. Fuel mass: 0 kg. Documentation: 2021 UVEK life-cycle inventories update of on-road vehicles, Sacchi R. (PSI), Bauer C. (PSI), 2021. 0.44625</v>
      </c>
    </row>
    <row r="245" spans="1:8" ht="15.6" x14ac:dyDescent="0.3">
      <c r="A245" s="11" t="s">
        <v>80</v>
      </c>
    </row>
    <row r="246" spans="1:8" x14ac:dyDescent="0.3">
      <c r="A246" t="s">
        <v>81</v>
      </c>
      <c r="B246" t="s">
        <v>82</v>
      </c>
      <c r="C246" t="s">
        <v>73</v>
      </c>
      <c r="D246" t="s">
        <v>77</v>
      </c>
      <c r="E246" t="s">
        <v>83</v>
      </c>
      <c r="F246" t="s">
        <v>75</v>
      </c>
      <c r="G246" t="s">
        <v>84</v>
      </c>
      <c r="H246" t="s">
        <v>74</v>
      </c>
    </row>
    <row r="247" spans="1:8" x14ac:dyDescent="0.3">
      <c r="A247" s="12" t="str">
        <f>B219</f>
        <v>transport, Motorbike, electric, &gt;35kW, 2030</v>
      </c>
      <c r="B247" s="12">
        <v>1</v>
      </c>
      <c r="C247" s="12" t="str">
        <f>B220</f>
        <v>CH</v>
      </c>
      <c r="D247" s="12" t="s">
        <v>172</v>
      </c>
      <c r="E247" s="12"/>
      <c r="F247" s="12" t="s">
        <v>85</v>
      </c>
      <c r="G247" s="12" t="s">
        <v>86</v>
      </c>
      <c r="H247" s="12" t="str">
        <f>B225</f>
        <v>transport, Motorbike, electric, &gt;35kW</v>
      </c>
    </row>
    <row r="248" spans="1:8" x14ac:dyDescent="0.3">
      <c r="A248" s="12" t="str">
        <f>RIGHT(A247,LEN(A247)-11)</f>
        <v>Motorbike, electric, &gt;35kW, 2030</v>
      </c>
      <c r="B248" s="12">
        <f>1/B229</f>
        <v>1.6103059581320449E-5</v>
      </c>
      <c r="C248" s="12" t="str">
        <f>B220</f>
        <v>CH</v>
      </c>
      <c r="D248" s="12" t="s">
        <v>77</v>
      </c>
      <c r="E248" s="12"/>
      <c r="F248" s="12" t="s">
        <v>91</v>
      </c>
      <c r="G248" s="12"/>
      <c r="H248" s="12" t="str">
        <f>RIGHT(H247,LEN(H247)-11)</f>
        <v>Motorbike, electric, &gt;35kW</v>
      </c>
    </row>
    <row r="249" spans="1:8" x14ac:dyDescent="0.3">
      <c r="A249" s="12" t="str">
        <f>INDEX('ei names mapping'!$B$4:$R$33,MATCH(B221,'ei names mapping'!$A$4:$A$33,0),MATCH(G249,'ei names mapping'!$B$3:$R$3,0))</f>
        <v>road maintenance</v>
      </c>
      <c r="B249" s="16">
        <f>INDEX('vehicles specifications'!$B$3:$CK$86,MATCH(B224,'vehicles specifications'!$A$3:$A$86,0),MATCH(G249,'vehicles specifications'!$B$2:$CK$2,0))*INDEX('ei names mapping'!$B$137:$BK$220,MATCH(B224,'ei names mapping'!$A$137:$A$220,0),MATCH(G249,'ei names mapping'!$B$136:$BK$136,0))</f>
        <v>1.2899999999999999E-3</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t="s">
        <v>117</v>
      </c>
      <c r="H249" s="12" t="str">
        <f>INDEX('ei names mapping'!$B$71:$BK$100,MATCH(B221,'ei names mapping'!$A$4:$A$33,0),MATCH(G249,'ei names mapping'!$B$3:$BK$3,0))</f>
        <v>road maintenance</v>
      </c>
    </row>
    <row r="250" spans="1:8" x14ac:dyDescent="0.3">
      <c r="A250" s="12" t="str">
        <f>INDEX('ei names mapping'!$B$4:$R$33,MATCH(B221,'ei names mapping'!$A$4:$A$33,0),MATCH(G250,'ei names mapping'!$B$3:$R$3,0))</f>
        <v>market for electricity, low voltage</v>
      </c>
      <c r="B250" s="14">
        <f>INDEX('vehicles specifications'!$B$3:$CK$86,MATCH(B224,'vehicles specifications'!$A$3:$A$86,0),MATCH(G250,'vehicles specifications'!$B$2:$CK$2,0))*INDEX('ei names mapping'!$B$137:$BK$220,MATCH(B224,'ei names mapping'!$A$137:$A$220,0),MATCH(G250,'ei names mapping'!$B$136:$BK$136,0))</f>
        <v>8.3945834198593472E-2</v>
      </c>
      <c r="C250" s="12" t="str">
        <f>INDEX('ei names mapping'!$B$38:$R$67,MATCH($B$3,'ei names mapping'!$A$4:$A$33,0),MATCH(G250,'ei names mapping'!$B$3:$R$3,0))</f>
        <v>CH</v>
      </c>
      <c r="D250" s="12" t="str">
        <f>INDEX('ei names mapping'!$B$104:$R$133,MATCH($B$3,'ei names mapping'!$A$4:$A$33,0),MATCH(G250,'ei names mapping'!$B$3:$R$3,0))</f>
        <v>kilowatt hour</v>
      </c>
      <c r="E250" s="12"/>
      <c r="F250" s="12" t="s">
        <v>91</v>
      </c>
      <c r="G250" t="s">
        <v>28</v>
      </c>
      <c r="H250" s="12" t="str">
        <f>INDEX('ei names mapping'!$B$71:$R$100,MATCH(B221,'ei names mapping'!$A$4:$A$33,0),MATCH(G250,'ei names mapping'!$B$3:$R$3,0))</f>
        <v>electricity, low voltage</v>
      </c>
    </row>
    <row r="251" spans="1:8" x14ac:dyDescent="0.3">
      <c r="A251" s="12" t="str">
        <f>INDEX('ei names mapping'!$B$4:$R$33,MATCH(B221,'ei names mapping'!$A$4:$A$33,0),MATCH(G251,'ei names mapping'!$B$3:$R$3,0))</f>
        <v>market for maintenance, electric scooter, without battery</v>
      </c>
      <c r="B251" s="16">
        <f>INDEX('vehicles specifications'!$B$3:$CK$86,MATCH(B224,'vehicles specifications'!$A$3:$A$86,0),MATCH(G251,'vehicles specifications'!$B$2:$CK$2,0))*INDEX('ei names mapping'!$B$137:$BK$220,MATCH(B224,'ei names mapping'!$A$137:$A$220,0),MATCH(G251,'ei names mapping'!$B$136:$BK$136,0))</f>
        <v>1.9999999999999998E-5</v>
      </c>
      <c r="C251" s="12" t="str">
        <f>INDEX('ei names mapping'!$B$38:$BK$67,MATCH(B221,'ei names mapping'!$A$4:$A$33,0),MATCH(G251,'ei names mapping'!$B$3:$BK$3,0))</f>
        <v>GLO</v>
      </c>
      <c r="D251" s="12" t="str">
        <f>INDEX('ei names mapping'!$B$104:$BK$133,MATCH(B221,'ei names mapping'!$A$4:$A$33,0),MATCH(G251,'ei names mapping'!$B$3:$BK$3,0))</f>
        <v>unit</v>
      </c>
      <c r="F251" s="12" t="s">
        <v>91</v>
      </c>
      <c r="G251" s="12" t="s">
        <v>123</v>
      </c>
      <c r="H251" s="12" t="str">
        <f>INDEX('ei names mapping'!$B$71:$BK$100,MATCH(B221,'ei names mapping'!$A$4:$A$33,0),MATCH(G251,'ei names mapping'!$B$3:$BK$3,0))</f>
        <v>maintenance, electric scooter, without battery</v>
      </c>
    </row>
    <row r="252" spans="1:8" s="21" customFormat="1" x14ac:dyDescent="0.3">
      <c r="A252" s="12" t="str">
        <f>INDEX('ei names mapping'!$B$4:$R$33,MATCH(B221,'ei names mapping'!$A$4:$A$33,0),MATCH(G252,'ei names mapping'!$B$3:$R$3,0))</f>
        <v>road construction</v>
      </c>
      <c r="B252" s="16">
        <f>INDEX('vehicles specifications'!$B$3:$CK$86,MATCH(B224,'vehicles specifications'!$A$3:$A$86,0),MATCH(G252,'vehicles specifications'!$B$2:$CK$2,0))*INDEX('ei names mapping'!$B$137:$BK$220,MATCH(B224,'ei names mapping'!$A$137:$A$220,0),MATCH(G252,'ei names mapping'!$B$136:$BK$136,0))</f>
        <v>1.7705427000000001E-4</v>
      </c>
      <c r="C252" s="12" t="str">
        <f>INDEX('ei names mapping'!$B$38:$R$67,MATCH(B221,'ei names mapping'!$A$4:$A$33,0),MATCH(G252,'ei names mapping'!$B$3:$R$3,0))</f>
        <v>CH</v>
      </c>
      <c r="D252" s="12" t="str">
        <f>INDEX('ei names mapping'!$B$104:$R$133,MATCH(B221,'ei names mapping'!$A$104:$A$133,0),MATCH(G252,'ei names mapping'!$B$3:$R$3,0))</f>
        <v>meter-year</v>
      </c>
      <c r="E252" s="12"/>
      <c r="F252" s="12" t="s">
        <v>91</v>
      </c>
      <c r="G252" s="21" t="s">
        <v>108</v>
      </c>
      <c r="H252" s="12" t="str">
        <f>INDEX('ei names mapping'!$B$71:$R$100,MATCH(B221,'ei names mapping'!$A$4:$A$33,0),MATCH(G252,'ei names mapping'!$B$3:$R$3,0))</f>
        <v>road</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-7.3669999999999991E-6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-4.1749999999999998E-6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Motorbike, electric, &gt;35kW, 2040</v>
      </c>
    </row>
    <row r="258" spans="1:2" x14ac:dyDescent="0.3">
      <c r="A258" t="s">
        <v>73</v>
      </c>
      <c r="B258" t="s">
        <v>37</v>
      </c>
    </row>
    <row r="259" spans="1:2" x14ac:dyDescent="0.3">
      <c r="A259" t="s">
        <v>87</v>
      </c>
      <c r="B259" t="s">
        <v>523</v>
      </c>
    </row>
    <row r="260" spans="1:2" x14ac:dyDescent="0.3">
      <c r="A260" t="s">
        <v>88</v>
      </c>
      <c r="B260" s="12"/>
    </row>
    <row r="261" spans="1:2" x14ac:dyDescent="0.3">
      <c r="A261" t="s">
        <v>89</v>
      </c>
      <c r="B261" s="12">
        <v>2040</v>
      </c>
    </row>
    <row r="262" spans="1:2" x14ac:dyDescent="0.3">
      <c r="A262" t="s">
        <v>131</v>
      </c>
      <c r="B262" s="12" t="str">
        <f>B259&amp;" - "&amp;B261&amp;" - "&amp;B258</f>
        <v>Motorbike, electric, &gt;35kW - 2040 - CH</v>
      </c>
    </row>
    <row r="263" spans="1:2" x14ac:dyDescent="0.3">
      <c r="A263" t="s">
        <v>74</v>
      </c>
      <c r="B263" s="12" t="str">
        <f>"transport, "&amp;B259</f>
        <v>transport, Motorbike, electric, &gt;35kW</v>
      </c>
    </row>
    <row r="264" spans="1:2" x14ac:dyDescent="0.3">
      <c r="A264" t="s">
        <v>75</v>
      </c>
      <c r="B264" t="s">
        <v>76</v>
      </c>
    </row>
    <row r="265" spans="1:2" x14ac:dyDescent="0.3">
      <c r="A265" t="s">
        <v>77</v>
      </c>
      <c r="B265" t="s">
        <v>172</v>
      </c>
    </row>
    <row r="266" spans="1:2" x14ac:dyDescent="0.3">
      <c r="A266" t="s">
        <v>79</v>
      </c>
      <c r="B266" t="s">
        <v>90</v>
      </c>
    </row>
    <row r="267" spans="1:2" x14ac:dyDescent="0.3">
      <c r="A267" t="s">
        <v>132</v>
      </c>
      <c r="B267">
        <f>INDEX('vehicles specifications'!$B$3:$CK$86,MATCH(B262,'vehicles specifications'!$A$3:$A$86,0),MATCH("Lifetime [km]",'vehicles specifications'!$B$2:$CK$2,0))</f>
        <v>62100</v>
      </c>
    </row>
    <row r="268" spans="1:2" x14ac:dyDescent="0.3">
      <c r="A268" t="s">
        <v>133</v>
      </c>
      <c r="B268">
        <f>INDEX('vehicles specifications'!$B$3:$CK$86,MATCH(B262,'vehicles specifications'!$A$3:$A$86,0),MATCH("Passengers [unit]",'vehicles specifications'!$B$2:$CK$2,0))</f>
        <v>1.1000000000000001</v>
      </c>
    </row>
    <row r="269" spans="1:2" x14ac:dyDescent="0.3">
      <c r="A269" t="s">
        <v>134</v>
      </c>
      <c r="B269">
        <f>INDEX('vehicles specifications'!$B$3:$CK$86,MATCH(B262,'vehicles specifications'!$A$3:$A$86,0),MATCH("Servicing [unit]",'vehicles specifications'!$B$2:$CK$2,0))</f>
        <v>1.242</v>
      </c>
    </row>
    <row r="270" spans="1:2" x14ac:dyDescent="0.3">
      <c r="A270" t="s">
        <v>135</v>
      </c>
      <c r="B270">
        <f>INDEX('vehicles specifications'!$B$3:$CK$86,MATCH(B262,'vehicles specifications'!$A$3:$A$86,0),MATCH("Energy battery replacement [unit]",'vehicles specifications'!$B$2:$CK$2,0))</f>
        <v>0.25</v>
      </c>
    </row>
    <row r="271" spans="1:2" x14ac:dyDescent="0.3">
      <c r="A271" t="s">
        <v>136</v>
      </c>
      <c r="B271">
        <f>INDEX('vehicles specifications'!$B$3:$CK$86,MATCH(B262,'vehicles specifications'!$A$3:$A$86,0),MATCH("Annual kilometers [km]",'vehicles specifications'!$B$2:$CK$2,0))</f>
        <v>4690</v>
      </c>
    </row>
    <row r="272" spans="1:2" x14ac:dyDescent="0.3">
      <c r="A272" t="s">
        <v>137</v>
      </c>
      <c r="B272" s="2">
        <f>INDEX('vehicles specifications'!$B$3:$CK$86,MATCH(B262,'vehicles specifications'!$A$3:$A$86,0),MATCH("Curb mass [kg]",'vehicles specifications'!$B$2:$CK$2,0))</f>
        <v>247.08999999999997</v>
      </c>
    </row>
    <row r="273" spans="1:8" x14ac:dyDescent="0.3">
      <c r="A273" t="s">
        <v>138</v>
      </c>
      <c r="B273">
        <f>INDEX('vehicles specifications'!$B$3:$CK$86,MATCH(B262,'vehicles specifications'!$A$3:$A$86,0),MATCH("Power [kW]",'vehicles specifications'!$B$2:$CK$2,0))</f>
        <v>49</v>
      </c>
    </row>
    <row r="274" spans="1:8" x14ac:dyDescent="0.3">
      <c r="A274" t="s">
        <v>139</v>
      </c>
      <c r="B274">
        <f>INDEX('vehicles specifications'!$B$3:$CK$86,MATCH(B262,'vehicles specifications'!$A$3:$A$86,0),MATCH("Energy battery mass [kg]",'vehicles specifications'!$B$2:$CK$2,0))</f>
        <v>105</v>
      </c>
    </row>
    <row r="275" spans="1:8" x14ac:dyDescent="0.3">
      <c r="A275" t="s">
        <v>140</v>
      </c>
      <c r="B275" s="21">
        <f>INDEX('vehicles specifications'!$B$3:$CK$86,MATCH(B262,'vehicles specifications'!$A$3:$A$86,0),MATCH("Electric energy stored [kWh]",'vehicles specifications'!$B$2:$CK$2,0))</f>
        <v>35</v>
      </c>
    </row>
    <row r="276" spans="1:8" s="21" customFormat="1" x14ac:dyDescent="0.3">
      <c r="A276" s="21" t="s">
        <v>654</v>
      </c>
      <c r="B276" s="21">
        <f>INDEX('vehicles specifications'!$B$3:$CK$86,MATCH(B262,'vehicles specifications'!$A$3:$A$86,0),MATCH("Electric energy available [kWh]",'vehicles specifications'!$B$2:$CK$2,0))</f>
        <v>28</v>
      </c>
    </row>
    <row r="277" spans="1:8" x14ac:dyDescent="0.3">
      <c r="A277" t="s">
        <v>143</v>
      </c>
      <c r="B277" s="2">
        <f>INDEX('vehicles specifications'!$B$3:$CK$86,MATCH(B262,'vehicles specifications'!$A$3:$A$86,0),MATCH("Oxydation energy stored [kWh]",'vehicles specifications'!$B$2:$CK$2,0))</f>
        <v>0</v>
      </c>
    </row>
    <row r="278" spans="1:8" x14ac:dyDescent="0.3">
      <c r="A278" t="s">
        <v>145</v>
      </c>
      <c r="B278">
        <f>INDEX('vehicles specifications'!$B$3:$CK$86,MATCH(B262,'vehicles specifications'!$A$3:$A$86,0),MATCH("Fuel mass [kg]",'vehicles specifications'!$B$2:$CK$2,0))</f>
        <v>0</v>
      </c>
    </row>
    <row r="279" spans="1:8" x14ac:dyDescent="0.3">
      <c r="A279" t="s">
        <v>141</v>
      </c>
      <c r="B279" s="2">
        <f>INDEX('vehicles specifications'!$B$3:$CK$86,MATCH(B262,'vehicles specifications'!$A$3:$A$86,0),MATCH("Range [km]",'vehicles specifications'!$B$2:$CK$2,0))</f>
        <v>366.90325724961417</v>
      </c>
    </row>
    <row r="280" spans="1:8" x14ac:dyDescent="0.3">
      <c r="A280" t="s">
        <v>142</v>
      </c>
      <c r="B280" t="str">
        <f>INDEX('vehicles specifications'!$B$3:$CK$86,MATCH(B262,'vehicles specifications'!$A$3:$A$86,0),MATCH("Emission standard",'vehicles specifications'!$B$2:$CK$2,0))</f>
        <v>None</v>
      </c>
    </row>
    <row r="281" spans="1:8" x14ac:dyDescent="0.3">
      <c r="A281" t="s">
        <v>144</v>
      </c>
      <c r="B281" s="6">
        <f>INDEX('vehicles specifications'!$B$3:$CK$86,MATCH(B262,'vehicles specifications'!$A$3:$A$86,0),MATCH("Lightweighting rate [%]",'vehicles specifications'!$B$2:$CK$2,0))</f>
        <v>0.05</v>
      </c>
    </row>
    <row r="282" spans="1:8" x14ac:dyDescent="0.3">
      <c r="A282"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"&amp;'lci-kick scooter'!B225</f>
        <v>Power: 49 kW. Lifetime: 62100 km. Annual kilometers: 4690 km. Number of passengers: 1.1. Curb mass: 247.1 kg. Lightweighting of glider: 5%. Emission standard: None. Service visits throughout lifetime: 1.2. Range: 367 km. Battery capacity: 35 kWh. Available battery capacity: 28 kWh. Battery mass: 105 kg. Battery replacement throughout lifetime: 0.3. Fuel tank capacity: 0 kWh. Fuel mass: 0 kg. Documentation: 2021 UVEK life-cycle inventories update of on-road vehicles, Sacchi R. (PSI), Bauer C. (PSI), 2021. 0</v>
      </c>
    </row>
    <row r="283" spans="1:8" ht="15.6" x14ac:dyDescent="0.3">
      <c r="A283" s="11" t="s">
        <v>80</v>
      </c>
    </row>
    <row r="284" spans="1:8" x14ac:dyDescent="0.3">
      <c r="A284" t="s">
        <v>81</v>
      </c>
      <c r="B284" t="s">
        <v>82</v>
      </c>
      <c r="C284" t="s">
        <v>73</v>
      </c>
      <c r="D284" t="s">
        <v>77</v>
      </c>
      <c r="E284" t="s">
        <v>83</v>
      </c>
      <c r="F284" t="s">
        <v>75</v>
      </c>
      <c r="G284" t="s">
        <v>84</v>
      </c>
      <c r="H284" t="s">
        <v>74</v>
      </c>
    </row>
    <row r="285" spans="1:8" x14ac:dyDescent="0.3">
      <c r="A285" s="12" t="str">
        <f>B257</f>
        <v>transport, Motorbike, electric, &gt;35kW, 2040</v>
      </c>
      <c r="B285" s="12">
        <v>1</v>
      </c>
      <c r="C285" s="12" t="str">
        <f>B258</f>
        <v>CH</v>
      </c>
      <c r="D285" s="12" t="s">
        <v>172</v>
      </c>
      <c r="E285" s="12"/>
      <c r="F285" s="12" t="s">
        <v>85</v>
      </c>
      <c r="G285" s="12" t="s">
        <v>86</v>
      </c>
      <c r="H285" s="12" t="str">
        <f>B263</f>
        <v>transport, Motorbike, electric, &gt;35kW</v>
      </c>
    </row>
    <row r="286" spans="1:8" x14ac:dyDescent="0.3">
      <c r="A286" s="12" t="str">
        <f>RIGHT(A285,LEN(A285)-11)</f>
        <v>Motorbike, electric, &gt;35kW, 2040</v>
      </c>
      <c r="B286" s="12">
        <f>1/B267</f>
        <v>1.6103059581320449E-5</v>
      </c>
      <c r="C286" s="12" t="str">
        <f>B258</f>
        <v>CH</v>
      </c>
      <c r="D286" s="12" t="s">
        <v>77</v>
      </c>
      <c r="E286" s="12"/>
      <c r="F286" s="12" t="s">
        <v>91</v>
      </c>
      <c r="G286" s="12"/>
      <c r="H286" s="12" t="str">
        <f>RIGHT(H285,LEN(H285)-11)</f>
        <v>Motorbike, electric, &gt;35kW</v>
      </c>
    </row>
    <row r="287" spans="1:8" x14ac:dyDescent="0.3">
      <c r="A287" s="12" t="str">
        <f>INDEX('ei names mapping'!$B$4:$R$33,MATCH(B259,'ei names mapping'!$A$4:$A$33,0),MATCH(G287,'ei names mapping'!$B$3:$R$3,0))</f>
        <v>road maintenance</v>
      </c>
      <c r="B287" s="16">
        <f>INDEX('vehicles specifications'!$B$3:$CK$86,MATCH(B262,'vehicles specifications'!$A$3:$A$86,0),MATCH(G287,'vehicles specifications'!$B$2:$CK$2,0))*INDEX('ei names mapping'!$B$137:$BK$220,MATCH(B262,'ei names mapping'!$A$137:$A$220,0),MATCH(G287,'ei names mapping'!$B$136:$BK$136,0))</f>
        <v>1.2899999999999999E-3</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t="s">
        <v>117</v>
      </c>
      <c r="H287" s="12" t="str">
        <f>INDEX('ei names mapping'!$B$71:$BK$100,MATCH(B259,'ei names mapping'!$A$4:$A$33,0),MATCH(G287,'ei names mapping'!$B$3:$BK$3,0))</f>
        <v>road maintenance</v>
      </c>
    </row>
    <row r="288" spans="1:8" x14ac:dyDescent="0.3">
      <c r="A288" s="12" t="str">
        <f>INDEX('ei names mapping'!$B$4:$R$33,MATCH(B259,'ei names mapping'!$A$4:$A$33,0),MATCH(G288,'ei names mapping'!$B$3:$R$3,0))</f>
        <v>market for electricity, low voltage</v>
      </c>
      <c r="B288" s="14">
        <f>INDEX('vehicles specifications'!$B$3:$CK$86,MATCH(B262,'vehicles specifications'!$A$3:$A$86,0),MATCH(G288,'vehicles specifications'!$B$2:$CK$2,0))*INDEX('ei names mapping'!$B$137:$BK$220,MATCH(B262,'ei names mapping'!$A$137:$A$220,0),MATCH(G288,'ei names mapping'!$B$136:$BK$136,0))</f>
        <v>8.3945834198593472E-2</v>
      </c>
      <c r="C288" s="12" t="str">
        <f>INDEX('ei names mapping'!$B$38:$R$67,MATCH($B$3,'ei names mapping'!$A$4:$A$33,0),MATCH(G288,'ei names mapping'!$B$3:$R$3,0))</f>
        <v>CH</v>
      </c>
      <c r="D288" s="12" t="str">
        <f>INDEX('ei names mapping'!$B$104:$R$133,MATCH($B$3,'ei names mapping'!$A$4:$A$33,0),MATCH(G288,'ei names mapping'!$B$3:$R$3,0))</f>
        <v>kilowatt hour</v>
      </c>
      <c r="E288" s="12"/>
      <c r="F288" s="12" t="s">
        <v>91</v>
      </c>
      <c r="G288" t="s">
        <v>28</v>
      </c>
      <c r="H288" s="12" t="str">
        <f>INDEX('ei names mapping'!$B$71:$R$100,MATCH(B259,'ei names mapping'!$A$4:$A$33,0),MATCH(G288,'ei names mapping'!$B$3:$R$3,0))</f>
        <v>electricity, low voltage</v>
      </c>
    </row>
    <row r="289" spans="1:8" x14ac:dyDescent="0.3">
      <c r="A289" s="12" t="str">
        <f>INDEX('ei names mapping'!$B$4:$R$33,MATCH(B259,'ei names mapping'!$A$4:$A$33,0),MATCH(G289,'ei names mapping'!$B$3:$R$3,0))</f>
        <v>market for maintenance, electric scooter, without battery</v>
      </c>
      <c r="B289" s="16">
        <f>INDEX('vehicles specifications'!$B$3:$CK$86,MATCH(B262,'vehicles specifications'!$A$3:$A$86,0),MATCH(G289,'vehicles specifications'!$B$2:$CK$2,0))*INDEX('ei names mapping'!$B$137:$BK$220,MATCH(B262,'ei names mapping'!$A$137:$A$220,0),MATCH(G289,'ei names mapping'!$B$136:$BK$136,0))</f>
        <v>1.9999999999999998E-5</v>
      </c>
      <c r="C289" s="12" t="str">
        <f>INDEX('ei names mapping'!$B$38:$BK$67,MATCH(B259,'ei names mapping'!$A$4:$A$33,0),MATCH(G289,'ei names mapping'!$B$3:$BK$3,0))</f>
        <v>GLO</v>
      </c>
      <c r="D289" s="12" t="str">
        <f>INDEX('ei names mapping'!$B$104:$BK$133,MATCH(B259,'ei names mapping'!$A$4:$A$33,0),MATCH(G289,'ei names mapping'!$B$3:$BK$3,0))</f>
        <v>unit</v>
      </c>
      <c r="F289" s="12" t="s">
        <v>91</v>
      </c>
      <c r="G289" s="12" t="s">
        <v>123</v>
      </c>
      <c r="H289" s="12" t="str">
        <f>INDEX('ei names mapping'!$B$71:$BK$100,MATCH(B259,'ei names mapping'!$A$4:$A$33,0),MATCH(G289,'ei names mapping'!$B$3:$BK$3,0))</f>
        <v>maintenance, electric scooter, without battery</v>
      </c>
    </row>
    <row r="290" spans="1:8" s="21" customFormat="1" x14ac:dyDescent="0.3">
      <c r="A290" s="12" t="str">
        <f>INDEX('ei names mapping'!$B$4:$R$33,MATCH(B259,'ei names mapping'!$A$4:$A$33,0),MATCH(G290,'ei names mapping'!$B$3:$R$3,0))</f>
        <v>road construction</v>
      </c>
      <c r="B290" s="16">
        <f>INDEX('vehicles specifications'!$B$3:$CK$86,MATCH(B262,'vehicles specifications'!$A$3:$A$86,0),MATCH(G290,'vehicles specifications'!$B$2:$CK$2,0))*INDEX('ei names mapping'!$B$137:$BK$220,MATCH(B262,'ei names mapping'!$A$137:$A$220,0),MATCH(G290,'ei names mapping'!$B$136:$BK$136,0))</f>
        <v>1.7725833E-4</v>
      </c>
      <c r="C290" s="12" t="str">
        <f>INDEX('ei names mapping'!$B$38:$R$67,MATCH(B259,'ei names mapping'!$A$4:$A$33,0),MATCH(G290,'ei names mapping'!$B$3:$R$3,0))</f>
        <v>CH</v>
      </c>
      <c r="D290" s="12" t="str">
        <f>INDEX('ei names mapping'!$B$104:$R$133,MATCH(B259,'ei names mapping'!$A$104:$A$133,0),MATCH(G290,'ei names mapping'!$B$3:$R$3,0))</f>
        <v>meter-year</v>
      </c>
      <c r="E290" s="12"/>
      <c r="F290" s="12" t="s">
        <v>91</v>
      </c>
      <c r="G290" s="21" t="s">
        <v>108</v>
      </c>
      <c r="H290" s="12" t="str">
        <f>INDEX('ei names mapping'!$B$71:$R$100,MATCH(B259,'ei names mapping'!$A$4:$A$33,0),MATCH(G290,'ei names mapping'!$B$3:$R$3,0))</f>
        <v>road</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-7.3669999999999991E-6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-4.1749999999999998E-6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Motorbike, electric, &gt;35kW, 2050</v>
      </c>
    </row>
    <row r="296" spans="1:8" x14ac:dyDescent="0.3">
      <c r="A296" t="s">
        <v>73</v>
      </c>
      <c r="B296" t="s">
        <v>37</v>
      </c>
    </row>
    <row r="297" spans="1:8" x14ac:dyDescent="0.3">
      <c r="A297" t="s">
        <v>87</v>
      </c>
      <c r="B297" t="s">
        <v>523</v>
      </c>
    </row>
    <row r="298" spans="1:8" x14ac:dyDescent="0.3">
      <c r="A298" t="s">
        <v>88</v>
      </c>
      <c r="B298" s="12"/>
    </row>
    <row r="299" spans="1:8" x14ac:dyDescent="0.3">
      <c r="A299" t="s">
        <v>89</v>
      </c>
      <c r="B299" s="12">
        <v>2050</v>
      </c>
    </row>
    <row r="300" spans="1:8" x14ac:dyDescent="0.3">
      <c r="A300" t="s">
        <v>131</v>
      </c>
      <c r="B300" s="12" t="str">
        <f>B297&amp;" - "&amp;B299&amp;" - "&amp;B296</f>
        <v>Motorbike, electric, &gt;35kW - 2050 - CH</v>
      </c>
    </row>
    <row r="301" spans="1:8" x14ac:dyDescent="0.3">
      <c r="A301" t="s">
        <v>74</v>
      </c>
      <c r="B301" s="12" t="str">
        <f>"transport, "&amp;B297</f>
        <v>transport, Motorbike, electric, &gt;35kW</v>
      </c>
    </row>
    <row r="302" spans="1:8" x14ac:dyDescent="0.3">
      <c r="A302" t="s">
        <v>75</v>
      </c>
      <c r="B302" t="s">
        <v>76</v>
      </c>
    </row>
    <row r="303" spans="1:8" x14ac:dyDescent="0.3">
      <c r="A303" t="s">
        <v>77</v>
      </c>
      <c r="B303" t="s">
        <v>172</v>
      </c>
    </row>
    <row r="304" spans="1:8" x14ac:dyDescent="0.3">
      <c r="A304" t="s">
        <v>79</v>
      </c>
      <c r="B304" t="s">
        <v>90</v>
      </c>
    </row>
    <row r="305" spans="1:2" x14ac:dyDescent="0.3">
      <c r="A305" t="s">
        <v>132</v>
      </c>
      <c r="B305">
        <f>INDEX('vehicles specifications'!$B$3:$CK$86,MATCH(B300,'vehicles specifications'!$A$3:$A$86,0),MATCH("Lifetime [km]",'vehicles specifications'!$B$2:$CK$2,0))</f>
        <v>62100</v>
      </c>
    </row>
    <row r="306" spans="1:2" x14ac:dyDescent="0.3">
      <c r="A306" t="s">
        <v>133</v>
      </c>
      <c r="B306">
        <f>INDEX('vehicles specifications'!$B$3:$CK$86,MATCH(B300,'vehicles specifications'!$A$3:$A$86,0),MATCH("Passengers [unit]",'vehicles specifications'!$B$2:$CK$2,0))</f>
        <v>1.1000000000000001</v>
      </c>
    </row>
    <row r="307" spans="1:2" x14ac:dyDescent="0.3">
      <c r="A307" t="s">
        <v>134</v>
      </c>
      <c r="B307">
        <f>INDEX('vehicles specifications'!$B$3:$CK$86,MATCH(B300,'vehicles specifications'!$A$3:$A$86,0),MATCH("Servicing [unit]",'vehicles specifications'!$B$2:$CK$2,0))</f>
        <v>1.242</v>
      </c>
    </row>
    <row r="308" spans="1:2" x14ac:dyDescent="0.3">
      <c r="A308" t="s">
        <v>135</v>
      </c>
      <c r="B308">
        <f>INDEX('vehicles specifications'!$B$3:$CK$86,MATCH(B300,'vehicles specifications'!$A$3:$A$86,0),MATCH("Energy battery replacement [unit]",'vehicles specifications'!$B$2:$CK$2,0))</f>
        <v>0</v>
      </c>
    </row>
    <row r="309" spans="1:2" x14ac:dyDescent="0.3">
      <c r="A309" t="s">
        <v>136</v>
      </c>
      <c r="B309">
        <f>INDEX('vehicles specifications'!$B$3:$CK$86,MATCH(B300,'vehicles specifications'!$A$3:$A$86,0),MATCH("Annual kilometers [km]",'vehicles specifications'!$B$2:$CK$2,0))</f>
        <v>4690</v>
      </c>
    </row>
    <row r="310" spans="1:2" x14ac:dyDescent="0.3">
      <c r="A310" t="s">
        <v>137</v>
      </c>
      <c r="B310" s="2">
        <f>INDEX('vehicles specifications'!$B$3:$CK$86,MATCH(B300,'vehicles specifications'!$A$3:$A$86,0),MATCH("Curb mass [kg]",'vehicles specifications'!$B$2:$CK$2,0))</f>
        <v>246.66999999999996</v>
      </c>
    </row>
    <row r="311" spans="1:2" x14ac:dyDescent="0.3">
      <c r="A311" t="s">
        <v>138</v>
      </c>
      <c r="B311">
        <f>INDEX('vehicles specifications'!$B$3:$CK$86,MATCH(B300,'vehicles specifications'!$A$3:$A$86,0),MATCH("Power [kW]",'vehicles specifications'!$B$2:$CK$2,0))</f>
        <v>49</v>
      </c>
    </row>
    <row r="312" spans="1:2" x14ac:dyDescent="0.3">
      <c r="A312" t="s">
        <v>139</v>
      </c>
      <c r="B312">
        <f>INDEX('vehicles specifications'!$B$3:$CK$86,MATCH(B300,'vehicles specifications'!$A$3:$A$86,0),MATCH("Energy battery mass [kg]",'vehicles specifications'!$B$2:$CK$2,0))</f>
        <v>106.8</v>
      </c>
    </row>
    <row r="313" spans="1:2" x14ac:dyDescent="0.3">
      <c r="A313" t="s">
        <v>140</v>
      </c>
      <c r="B313" s="21">
        <f>INDEX('vehicles specifications'!$B$3:$CK$86,MATCH(B300,'vehicles specifications'!$A$3:$A$86,0),MATCH("Electric energy stored [kWh]",'vehicles specifications'!$B$2:$CK$2,0))</f>
        <v>44.5</v>
      </c>
    </row>
    <row r="314" spans="1:2" s="21" customFormat="1" x14ac:dyDescent="0.3">
      <c r="A314" s="21" t="s">
        <v>654</v>
      </c>
      <c r="B314" s="21">
        <f>INDEX('vehicles specifications'!$B$3:$CK$86,MATCH(B300,'vehicles specifications'!$A$3:$A$86,0),MATCH("Electric energy available [kWh]",'vehicles specifications'!$B$2:$CK$2,0))</f>
        <v>35.6</v>
      </c>
    </row>
    <row r="315" spans="1:2" x14ac:dyDescent="0.3">
      <c r="A315" t="s">
        <v>143</v>
      </c>
      <c r="B315" s="2">
        <f>INDEX('vehicles specifications'!$B$3:$CK$86,MATCH(B300,'vehicles specifications'!$A$3:$A$86,0),MATCH("Oxydation energy stored [kWh]",'vehicles specifications'!$B$2:$CK$2,0))</f>
        <v>0</v>
      </c>
    </row>
    <row r="316" spans="1:2" x14ac:dyDescent="0.3">
      <c r="A316" t="s">
        <v>145</v>
      </c>
      <c r="B316">
        <f>INDEX('vehicles specifications'!$B$3:$CK$86,MATCH(B300,'vehicles specifications'!$A$3:$A$86,0),MATCH("Fuel mass [kg]",'vehicles specifications'!$B$2:$CK$2,0))</f>
        <v>0</v>
      </c>
    </row>
    <row r="317" spans="1:2" x14ac:dyDescent="0.3">
      <c r="A317" t="s">
        <v>141</v>
      </c>
      <c r="B317" s="2">
        <f>INDEX('vehicles specifications'!$B$3:$CK$86,MATCH(B300,'vehicles specifications'!$A$3:$A$86,0),MATCH("Range [km]",'vehicles specifications'!$B$2:$CK$2,0))</f>
        <v>466.49128421736663</v>
      </c>
    </row>
    <row r="318" spans="1:2" x14ac:dyDescent="0.3">
      <c r="A318" t="s">
        <v>142</v>
      </c>
      <c r="B318" t="str">
        <f>INDEX('vehicles specifications'!$B$3:$CK$86,MATCH(B300,'vehicles specifications'!$A$3:$A$86,0),MATCH("Emission standard",'vehicles specifications'!$B$2:$CK$2,0))</f>
        <v>None</v>
      </c>
    </row>
    <row r="319" spans="1:2" x14ac:dyDescent="0.3">
      <c r="A319" t="s">
        <v>144</v>
      </c>
      <c r="B319" s="6">
        <f>INDEX('vehicles specifications'!$B$3:$CK$86,MATCH(B300,'vehicles specifications'!$A$3:$A$86,0),MATCH("Lightweighting rate [%]",'vehicles specifications'!$B$2:$CK$2,0))</f>
        <v>7.0000000000000007E-2</v>
      </c>
    </row>
    <row r="320" spans="1:2" x14ac:dyDescent="0.3">
      <c r="A320"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"&amp;'lci-kick scooter'!B263</f>
        <v>Power: 49 kW. Lifetime: 62100 km. Annual kilometers: 4690 km. Number of passengers: 1.1. Curb mass: 246.7 kg. Lightweighting of glider: 7%. Emission standard: None. Service visits throughout lifetime: 1.2. Range: 466 km. Battery capacity: 44.5 kWh. Available battery capacity: 35.6 kWh. Battery mass: 106.8 kg. Battery replacement throughout lifetime: 0. Fuel tank capacity: 0 kWh. Fuel mass: 0 kg. Documentation: 2021 UVEK life-cycle inventories update of on-road vehicles, Sacchi R. (PSI), Bauer C. (PSI), 2021. 890</v>
      </c>
    </row>
    <row r="321" spans="1:8" ht="15.6" x14ac:dyDescent="0.3">
      <c r="A321" s="11" t="s">
        <v>80</v>
      </c>
    </row>
    <row r="322" spans="1:8" x14ac:dyDescent="0.3">
      <c r="A322" t="s">
        <v>81</v>
      </c>
      <c r="B322" t="s">
        <v>82</v>
      </c>
      <c r="C322" t="s">
        <v>73</v>
      </c>
      <c r="D322" t="s">
        <v>77</v>
      </c>
      <c r="E322" t="s">
        <v>83</v>
      </c>
      <c r="F322" t="s">
        <v>75</v>
      </c>
      <c r="G322" t="s">
        <v>84</v>
      </c>
      <c r="H322" t="s">
        <v>74</v>
      </c>
    </row>
    <row r="323" spans="1:8" x14ac:dyDescent="0.3">
      <c r="A323" s="12" t="str">
        <f>B295</f>
        <v>transport, Motorbike, electric, &gt;35kW, 2050</v>
      </c>
      <c r="B323" s="12">
        <v>1</v>
      </c>
      <c r="C323" s="12" t="str">
        <f>B296</f>
        <v>CH</v>
      </c>
      <c r="D323" s="12" t="s">
        <v>172</v>
      </c>
      <c r="E323" s="12"/>
      <c r="F323" s="12" t="s">
        <v>85</v>
      </c>
      <c r="G323" s="12" t="s">
        <v>86</v>
      </c>
      <c r="H323" s="12" t="str">
        <f>B301</f>
        <v>transport, Motorbike, electric, &gt;35kW</v>
      </c>
    </row>
    <row r="324" spans="1:8" x14ac:dyDescent="0.3">
      <c r="A324" s="12" t="str">
        <f>RIGHT(A323,LEN(A323)-11)</f>
        <v>Motorbike, electric, &gt;35kW, 2050</v>
      </c>
      <c r="B324" s="12">
        <f>1/B305</f>
        <v>1.6103059581320449E-5</v>
      </c>
      <c r="C324" s="12" t="str">
        <f>B296</f>
        <v>CH</v>
      </c>
      <c r="D324" s="12" t="s">
        <v>77</v>
      </c>
      <c r="E324" s="12"/>
      <c r="F324" s="12" t="s">
        <v>91</v>
      </c>
      <c r="G324" s="12"/>
      <c r="H324" s="12" t="str">
        <f>RIGHT(H323,LEN(H323)-11)</f>
        <v>Motorbike, electric, &gt;35kW</v>
      </c>
    </row>
    <row r="325" spans="1:8" x14ac:dyDescent="0.3">
      <c r="A325" s="12" t="str">
        <f>INDEX('ei names mapping'!$B$4:$R$33,MATCH(B297,'ei names mapping'!$A$4:$A$33,0),MATCH(G325,'ei names mapping'!$B$3:$R$3,0))</f>
        <v>road maintenance</v>
      </c>
      <c r="B325" s="16">
        <f>INDEX('vehicles specifications'!$B$3:$CK$86,MATCH(B300,'vehicles specifications'!$A$3:$A$86,0),MATCH(G325,'vehicles specifications'!$B$2:$CK$2,0))*INDEX('ei names mapping'!$B$137:$BK$220,MATCH(B300,'ei names mapping'!$A$137:$A$220,0),MATCH(G325,'ei names mapping'!$B$136:$BK$136,0))</f>
        <v>1.2899999999999999E-3</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t="s">
        <v>117</v>
      </c>
      <c r="H325" s="12" t="str">
        <f>INDEX('ei names mapping'!$B$71:$BK$100,MATCH(B297,'ei names mapping'!$A$4:$A$33,0),MATCH(G325,'ei names mapping'!$B$3:$BK$3,0))</f>
        <v>road maintenance</v>
      </c>
    </row>
    <row r="326" spans="1:8" x14ac:dyDescent="0.3">
      <c r="A326" s="12" t="str">
        <f>INDEX('ei names mapping'!$B$4:$R$33,MATCH(B297,'ei names mapping'!$A$4:$A$33,0),MATCH(G326,'ei names mapping'!$B$3:$R$3,0))</f>
        <v>market for electricity, low voltage</v>
      </c>
      <c r="B326" s="14">
        <f>INDEX('vehicles specifications'!$B$3:$CK$86,MATCH(B300,'vehicles specifications'!$A$3:$A$86,0),MATCH(G326,'vehicles specifications'!$B$2:$CK$2,0))*INDEX('ei names mapping'!$B$137:$BK$220,MATCH(B300,'ei names mapping'!$A$137:$A$220,0),MATCH(G326,'ei names mapping'!$B$136:$BK$136,0))</f>
        <v>8.3945834198593472E-2</v>
      </c>
      <c r="C326" s="12" t="str">
        <f>INDEX('ei names mapping'!$B$38:$R$67,MATCH($B$3,'ei names mapping'!$A$4:$A$33,0),MATCH(G326,'ei names mapping'!$B$3:$R$3,0))</f>
        <v>CH</v>
      </c>
      <c r="D326" s="12" t="str">
        <f>INDEX('ei names mapping'!$B$104:$R$133,MATCH($B$3,'ei names mapping'!$A$4:$A$33,0),MATCH(G326,'ei names mapping'!$B$3:$R$3,0))</f>
        <v>kilowatt hour</v>
      </c>
      <c r="E326" s="12"/>
      <c r="F326" s="12" t="s">
        <v>91</v>
      </c>
      <c r="G326" t="s">
        <v>28</v>
      </c>
      <c r="H326" s="12" t="str">
        <f>INDEX('ei names mapping'!$B$71:$R$100,MATCH(B297,'ei names mapping'!$A$4:$A$33,0),MATCH(G326,'ei names mapping'!$B$3:$R$3,0))</f>
        <v>electricity, low voltage</v>
      </c>
    </row>
    <row r="327" spans="1:8" x14ac:dyDescent="0.3">
      <c r="A327" s="12" t="str">
        <f>INDEX('ei names mapping'!$B$4:$R$33,MATCH(B297,'ei names mapping'!$A$4:$A$33,0),MATCH(G327,'ei names mapping'!$B$3:$R$3,0))</f>
        <v>market for maintenance, electric scooter, without battery</v>
      </c>
      <c r="B327" s="16">
        <f>INDEX('vehicles specifications'!$B$3:$CK$86,MATCH(B300,'vehicles specifications'!$A$3:$A$86,0),MATCH(G327,'vehicles specifications'!$B$2:$CK$2,0))*INDEX('ei names mapping'!$B$137:$BK$220,MATCH(B300,'ei names mapping'!$A$137:$A$220,0),MATCH(G327,'ei names mapping'!$B$136:$BK$136,0))</f>
        <v>1.9999999999999998E-5</v>
      </c>
      <c r="C327" s="12" t="str">
        <f>INDEX('ei names mapping'!$B$38:$BK$67,MATCH(B297,'ei names mapping'!$A$4:$A$33,0),MATCH(G327,'ei names mapping'!$B$3:$BK$3,0))</f>
        <v>GLO</v>
      </c>
      <c r="D327" s="12" t="str">
        <f>INDEX('ei names mapping'!$B$104:$BK$133,MATCH(B297,'ei names mapping'!$A$4:$A$33,0),MATCH(G327,'ei names mapping'!$B$3:$BK$3,0))</f>
        <v>unit</v>
      </c>
      <c r="F327" s="12" t="s">
        <v>91</v>
      </c>
      <c r="G327" s="12" t="s">
        <v>123</v>
      </c>
      <c r="H327" s="12" t="str">
        <f>INDEX('ei names mapping'!$B$71:$BK$100,MATCH(B297,'ei names mapping'!$A$4:$A$33,0),MATCH(G327,'ei names mapping'!$B$3:$BK$3,0))</f>
        <v>maintenance, electric scooter, without battery</v>
      </c>
    </row>
    <row r="328" spans="1:8" s="21" customFormat="1" x14ac:dyDescent="0.3">
      <c r="A328" s="12" t="str">
        <f>INDEX('ei names mapping'!$B$4:$R$33,MATCH(B297,'ei names mapping'!$A$4:$A$33,0),MATCH(G328,'ei names mapping'!$B$3:$R$3,0))</f>
        <v>road construction</v>
      </c>
      <c r="B328" s="16">
        <f>INDEX('vehicles specifications'!$B$3:$CK$86,MATCH(B300,'vehicles specifications'!$A$3:$A$86,0),MATCH(G328,'vehicles specifications'!$B$2:$CK$2,0))*INDEX('ei names mapping'!$B$137:$BK$220,MATCH(B300,'ei names mapping'!$A$137:$A$220,0),MATCH(G328,'ei names mapping'!$B$136:$BK$136,0))</f>
        <v>1.7703278999999997E-4</v>
      </c>
      <c r="C328" s="12" t="str">
        <f>INDEX('ei names mapping'!$B$38:$R$67,MATCH(B297,'ei names mapping'!$A$4:$A$33,0),MATCH(G328,'ei names mapping'!$B$3:$R$3,0))</f>
        <v>CH</v>
      </c>
      <c r="D328" s="12" t="str">
        <f>INDEX('ei names mapping'!$B$104:$R$133,MATCH(B297,'ei names mapping'!$A$104:$A$133,0),MATCH(G328,'ei names mapping'!$B$3:$R$3,0))</f>
        <v>meter-year</v>
      </c>
      <c r="E328" s="12"/>
      <c r="F328" s="12" t="s">
        <v>91</v>
      </c>
      <c r="G328" s="21" t="s">
        <v>108</v>
      </c>
      <c r="H328" s="12" t="str">
        <f>INDEX('ei names mapping'!$B$71:$R$100,MATCH(B297,'ei names mapping'!$A$4:$A$33,0),MATCH(G328,'ei names mapping'!$B$3:$R$3,0))</f>
        <v>road</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-7.3669999999999991E-6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-4.1749999999999998E-6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t="s">
        <v>31</v>
      </c>
      <c r="H331" s="12" t="str">
        <f>INDEX('ei names mapping'!$B$71:$BK$100,MATCH(B297,'ei names mapping'!$A$4:$A$33,0),MATCH(G331,'ei names mapping'!$B$3:$BK$3,0))</f>
        <v>brake wear emissions, passenger car</v>
      </c>
    </row>
    <row r="333" spans="1:8" x14ac:dyDescent="0.3">
      <c r="B333" s="2"/>
    </row>
    <row r="334" spans="1:8" ht="15.6" x14ac:dyDescent="0.3">
      <c r="A334" s="11" t="s">
        <v>72</v>
      </c>
      <c r="B334" s="9" t="str">
        <f>"transport, "&amp;B336&amp;", "&amp;B338&amp;", label-certified electricity"</f>
        <v>transport, Motorbike, electric, &gt;35kW, 2020, label-certified electricity</v>
      </c>
    </row>
    <row r="335" spans="1:8" x14ac:dyDescent="0.3">
      <c r="A335" t="s">
        <v>73</v>
      </c>
      <c r="B335" t="s">
        <v>37</v>
      </c>
    </row>
    <row r="336" spans="1:8" x14ac:dyDescent="0.3">
      <c r="A336" t="s">
        <v>87</v>
      </c>
      <c r="B336" t="s">
        <v>523</v>
      </c>
    </row>
    <row r="337" spans="1:2" x14ac:dyDescent="0.3">
      <c r="A337" t="s">
        <v>88</v>
      </c>
      <c r="B337" s="12"/>
    </row>
    <row r="338" spans="1:2" x14ac:dyDescent="0.3">
      <c r="A338" t="s">
        <v>89</v>
      </c>
      <c r="B338" s="12">
        <v>2020</v>
      </c>
    </row>
    <row r="339" spans="1:2" x14ac:dyDescent="0.3">
      <c r="A339" t="s">
        <v>131</v>
      </c>
      <c r="B339" s="12" t="str">
        <f>B336&amp;" - "&amp;B338&amp;" - "&amp;B335</f>
        <v>Motorbike, electric, &gt;35kW - 2020 - CH</v>
      </c>
    </row>
    <row r="340" spans="1:2" x14ac:dyDescent="0.3">
      <c r="A340" t="s">
        <v>74</v>
      </c>
      <c r="B340" s="12" t="str">
        <f>"transport, "&amp;B336</f>
        <v>transport, Motorbike, electric, &gt;35kW</v>
      </c>
    </row>
    <row r="341" spans="1:2" x14ac:dyDescent="0.3">
      <c r="A341" t="s">
        <v>75</v>
      </c>
      <c r="B341" t="s">
        <v>76</v>
      </c>
    </row>
    <row r="342" spans="1:2" x14ac:dyDescent="0.3">
      <c r="A342" t="s">
        <v>77</v>
      </c>
      <c r="B342" t="s">
        <v>172</v>
      </c>
    </row>
    <row r="343" spans="1:2" x14ac:dyDescent="0.3">
      <c r="A343" t="s">
        <v>79</v>
      </c>
      <c r="B343" t="s">
        <v>90</v>
      </c>
    </row>
    <row r="344" spans="1:2" x14ac:dyDescent="0.3">
      <c r="A344" t="s">
        <v>132</v>
      </c>
      <c r="B344">
        <f>INDEX('vehicles specifications'!$B$3:$CK$86,MATCH(B339,'vehicles specifications'!$A$3:$A$86,0),MATCH("Lifetime [km]",'vehicles specifications'!$B$2:$CK$2,0))</f>
        <v>62100</v>
      </c>
    </row>
    <row r="345" spans="1:2" x14ac:dyDescent="0.3">
      <c r="A345" t="s">
        <v>133</v>
      </c>
      <c r="B345">
        <f>INDEX('vehicles specifications'!$B$3:$CK$86,MATCH(B339,'vehicles specifications'!$A$3:$A$86,0),MATCH("Passengers [unit]",'vehicles specifications'!$B$2:$CK$2,0))</f>
        <v>1.1000000000000001</v>
      </c>
    </row>
    <row r="346" spans="1:2" x14ac:dyDescent="0.3">
      <c r="A346" t="s">
        <v>134</v>
      </c>
      <c r="B346">
        <f>INDEX('vehicles specifications'!$B$3:$CK$86,MATCH(B339,'vehicles specifications'!$A$3:$A$86,0),MATCH("Servicing [unit]",'vehicles specifications'!$B$2:$CK$2,0))</f>
        <v>1.242</v>
      </c>
    </row>
    <row r="347" spans="1:2" x14ac:dyDescent="0.3">
      <c r="A347" t="s">
        <v>135</v>
      </c>
      <c r="B347">
        <f>INDEX('vehicles specifications'!$B$3:$CK$86,MATCH(B339,'vehicles specifications'!$A$3:$A$86,0),MATCH("Energy battery replacement [unit]",'vehicles specifications'!$B$2:$CK$2,0))</f>
        <v>1</v>
      </c>
    </row>
    <row r="348" spans="1:2" x14ac:dyDescent="0.3">
      <c r="A348" t="s">
        <v>136</v>
      </c>
      <c r="B348">
        <f>INDEX('vehicles specifications'!$B$3:$CK$86,MATCH(B339,'vehicles specifications'!$A$3:$A$86,0),MATCH("Annual kilometers [km]",'vehicles specifications'!$B$2:$CK$2,0))</f>
        <v>4690</v>
      </c>
    </row>
    <row r="349" spans="1:2" x14ac:dyDescent="0.3">
      <c r="A349" t="s">
        <v>137</v>
      </c>
      <c r="B349" s="2">
        <f>INDEX('vehicles specifications'!$B$3:$CK$86,MATCH(B339,'vehicles specifications'!$A$3:$A$86,0),MATCH("Curb mass [kg]",'vehicles specifications'!$B$2:$CK$2,0))</f>
        <v>246.64</v>
      </c>
    </row>
    <row r="350" spans="1:2" x14ac:dyDescent="0.3">
      <c r="A350" t="s">
        <v>138</v>
      </c>
      <c r="B350">
        <f>INDEX('vehicles specifications'!$B$3:$CK$86,MATCH(B339,'vehicles specifications'!$A$3:$A$86,0),MATCH("Power [kW]",'vehicles specifications'!$B$2:$CK$2,0))</f>
        <v>49</v>
      </c>
    </row>
    <row r="351" spans="1:2" x14ac:dyDescent="0.3">
      <c r="A351" t="s">
        <v>139</v>
      </c>
      <c r="B351">
        <f>INDEX('vehicles specifications'!$B$3:$CK$86,MATCH(B339,'vehicles specifications'!$A$3:$A$86,0),MATCH("Energy battery mass [kg]",'vehicles specifications'!$B$2:$CK$2,0))</f>
        <v>99</v>
      </c>
    </row>
    <row r="352" spans="1:2" x14ac:dyDescent="0.3">
      <c r="A352" t="s">
        <v>140</v>
      </c>
      <c r="B352" s="21">
        <f>INDEX('vehicles specifications'!$B$3:$CK$86,MATCH(B339,'vehicles specifications'!$A$3:$A$86,0),MATCH("Electric energy stored [kWh]",'vehicles specifications'!$B$2:$CK$2,0))</f>
        <v>16.5</v>
      </c>
    </row>
    <row r="353" spans="1:8" s="21" customFormat="1" x14ac:dyDescent="0.3">
      <c r="A353" s="21" t="s">
        <v>654</v>
      </c>
      <c r="B353" s="21">
        <f>INDEX('vehicles specifications'!$B$3:$CK$86,MATCH(B339,'vehicles specifications'!$A$3:$A$86,0),MATCH("Electric energy available [kWh]",'vehicles specifications'!$B$2:$CK$2,0))</f>
        <v>13.200000000000001</v>
      </c>
    </row>
    <row r="354" spans="1:8" x14ac:dyDescent="0.3">
      <c r="A354" t="s">
        <v>143</v>
      </c>
      <c r="B354" s="2">
        <f>INDEX('vehicles specifications'!$B$3:$CK$86,MATCH(B339,'vehicles specifications'!$A$3:$A$86,0),MATCH("Oxydation energy stored [kWh]",'vehicles specifications'!$B$2:$CK$2,0))</f>
        <v>0</v>
      </c>
    </row>
    <row r="355" spans="1:8" x14ac:dyDescent="0.3">
      <c r="A355" t="s">
        <v>145</v>
      </c>
      <c r="B355">
        <f>INDEX('vehicles specifications'!$B$3:$CK$86,MATCH(B339,'vehicles specifications'!$A$3:$A$86,0),MATCH("Fuel mass [kg]",'vehicles specifications'!$B$2:$CK$2,0))</f>
        <v>0</v>
      </c>
    </row>
    <row r="356" spans="1:8" x14ac:dyDescent="0.3">
      <c r="A356" t="s">
        <v>141</v>
      </c>
      <c r="B356" s="2">
        <f>INDEX('vehicles specifications'!$B$3:$CK$86,MATCH(B339,'vehicles specifications'!$A$3:$A$86,0),MATCH("Range [km]",'vehicles specifications'!$B$2:$CK$2,0))</f>
        <v>172.96867841767528</v>
      </c>
    </row>
    <row r="357" spans="1:8" x14ac:dyDescent="0.3">
      <c r="A357" t="s">
        <v>142</v>
      </c>
      <c r="B357" t="str">
        <f>INDEX('vehicles specifications'!$B$3:$CK$86,MATCH(B339,'vehicles specifications'!$A$3:$A$86,0),MATCH("Emission standard",'vehicles specifications'!$B$2:$CK$2,0))</f>
        <v>None</v>
      </c>
    </row>
    <row r="358" spans="1:8" x14ac:dyDescent="0.3">
      <c r="A358" t="s">
        <v>144</v>
      </c>
      <c r="B358" s="6">
        <f>INDEX('vehicles specifications'!$B$3:$CK$86,MATCH(B339,'vehicles specifications'!$A$3:$A$86,0),MATCH("Lightweighting rate [%]",'vehicles specifications'!$B$2:$CK$2,0))</f>
        <v>0</v>
      </c>
    </row>
    <row r="359" spans="1:8" x14ac:dyDescent="0.3">
      <c r="A359" t="s">
        <v>84</v>
      </c>
      <c r="B359" s="21" t="str">
        <f>"Power: "&amp;B350&amp;" kW. Lifetime: "&amp;B344&amp;" km. Annual kilometers: "&amp;B348&amp;" km. Number of passengers: "&amp;B345&amp;". Curb mass: "&amp;ROUND(B349,1)&amp;" kg. Lightweighting of glider: "&amp;ROUND(B358*100,0)&amp;"%. Emission standard: "&amp;B357&amp;". Service visits throughout lifetime: "&amp;ROUND(B346,1)&amp;". Range: "&amp;ROUND(B356,0)&amp;" km. Battery capacity: "&amp;ROUND(B352,1)&amp;" kWh. Available battery capacity: "&amp;B353&amp;" kWh. Battery mass: "&amp;ROUND(B351,1)&amp; " kg. Battery replacement throughout lifetime: "&amp;ROUND(B347,1)&amp;". Fuel tank capacity: "&amp;ROUND(B354,1)&amp;" kWh. Fuel mass: "&amp;ROUND(B355,1)&amp;" kg. Documentation: "&amp;Readmefirst!$B$2&amp;", "&amp;Readmefirst!$B$3&amp;". "&amp;'lci-kick scooter'!B302</f>
        <v>Power: 49 kW. Lifetime: 62100 km. Annual kilometers: 4690 km. Number of passengers: 1.1. Curb mass: 246.6 kg. Lightweighting of glider: 0%. Emission standard: None. Service visits throughout lifetime: 1.2. Range: 173 km. Battery capacity: 16.5 kWh. Available battery capacity: 13.2 kWh. Battery mass: 99 kg. Battery replacement throughout lifetime: 1. Fuel tank capacity: 0 kWh. Fuel mass: 0 kg. Documentation: 2021 UVEK life-cycle inventories update of on-road vehicles, Sacchi R. (PSI), Bauer C. (PSI), 2021. 0.25</v>
      </c>
    </row>
    <row r="360" spans="1:8" ht="15.6" x14ac:dyDescent="0.3">
      <c r="A360" s="11" t="s">
        <v>80</v>
      </c>
    </row>
    <row r="361" spans="1:8" x14ac:dyDescent="0.3">
      <c r="A361" t="s">
        <v>81</v>
      </c>
      <c r="B361" t="s">
        <v>82</v>
      </c>
      <c r="C361" t="s">
        <v>73</v>
      </c>
      <c r="D361" t="s">
        <v>77</v>
      </c>
      <c r="E361" t="s">
        <v>83</v>
      </c>
      <c r="F361" t="s">
        <v>75</v>
      </c>
      <c r="G361" t="s">
        <v>84</v>
      </c>
      <c r="H361" t="s">
        <v>74</v>
      </c>
    </row>
    <row r="362" spans="1:8" x14ac:dyDescent="0.3">
      <c r="A362" s="12" t="str">
        <f>B334</f>
        <v>transport, Motorbike, electric, &gt;35kW, 2020, label-certified electricity</v>
      </c>
      <c r="B362" s="12">
        <v>1</v>
      </c>
      <c r="C362" s="12" t="str">
        <f>B335</f>
        <v>CH</v>
      </c>
      <c r="D362" s="12" t="s">
        <v>172</v>
      </c>
      <c r="E362" s="12"/>
      <c r="F362" s="12" t="s">
        <v>85</v>
      </c>
      <c r="G362" s="12" t="s">
        <v>86</v>
      </c>
      <c r="H362" s="12" t="str">
        <f>B340</f>
        <v>transport, Motorbike, electric, &gt;35kW</v>
      </c>
    </row>
    <row r="363" spans="1:8" x14ac:dyDescent="0.3">
      <c r="A363" s="12" t="str">
        <f>B336&amp;", "&amp;B338</f>
        <v>Motorbike, electric, &gt;35kW, 2020</v>
      </c>
      <c r="B363" s="15">
        <f>1/B344</f>
        <v>1.6103059581320449E-5</v>
      </c>
      <c r="C363" s="12" t="str">
        <f>B335</f>
        <v>CH</v>
      </c>
      <c r="D363" s="12" t="s">
        <v>77</v>
      </c>
      <c r="E363" s="12"/>
      <c r="F363" s="12" t="s">
        <v>91</v>
      </c>
      <c r="G363" s="12"/>
      <c r="H363" s="12" t="str">
        <f>RIGHT(H362,LEN(H362)-11)</f>
        <v>Motorbike, electric, &gt;35kW</v>
      </c>
    </row>
    <row r="364" spans="1:8" x14ac:dyDescent="0.3">
      <c r="A364" s="12" t="str">
        <f>INDEX('ei names mapping'!$B$4:$R$33,MATCH(B336,'ei names mapping'!$A$4:$A$33,0),MATCH(G364,'ei names mapping'!$B$3:$R$3,0))</f>
        <v>road maintenance</v>
      </c>
      <c r="B364" s="16">
        <f>INDEX('vehicles specifications'!$B$3:$CK$86,MATCH(B339,'vehicles specifications'!$A$3:$A$86,0),MATCH(G364,'vehicles specifications'!$B$2:$CK$2,0))*INDEX('ei names mapping'!$B$137:$BK$220,MATCH(B339,'ei names mapping'!$A$137:$A$220,0),MATCH(G364,'ei names mapping'!$B$136:$BK$136,0))</f>
        <v>1.2899999999999999E-3</v>
      </c>
      <c r="C364" s="12" t="str">
        <f>INDEX('ei names mapping'!$B$38:$R$67,MATCH(B336,'ei names mapping'!$A$4:$A$33,0),MATCH(G364,'ei names mapping'!$B$3:$R$3,0))</f>
        <v>CH</v>
      </c>
      <c r="D364" s="12" t="str">
        <f>INDEX('ei names mapping'!$B$104:$BK$133,MATCH(B336,'ei names mapping'!$A$4:$A$33,0),MATCH(G364,'ei names mapping'!$B$3:$BK$3,0))</f>
        <v>meter-year</v>
      </c>
      <c r="E364" s="12"/>
      <c r="F364" s="12" t="s">
        <v>91</v>
      </c>
      <c r="G364" t="s">
        <v>117</v>
      </c>
      <c r="H364" s="12" t="str">
        <f>INDEX('ei names mapping'!$B$71:$BK$100,MATCH(B336,'ei names mapping'!$A$4:$A$33,0),MATCH(G364,'ei names mapping'!$B$3:$BK$3,0))</f>
        <v>road maintenance</v>
      </c>
    </row>
    <row r="365" spans="1:8" x14ac:dyDescent="0.3">
      <c r="A365" s="12" t="s">
        <v>114</v>
      </c>
      <c r="B365" s="14">
        <f>INDEX('vehicles specifications'!$B$3:$CK$86,MATCH(B339,'vehicles specifications'!$A$3:$A$86,0),MATCH(G365,'vehicles specifications'!$B$2:$CK$2,0))*INDEX('ei names mapping'!$B$137:$BK$220,MATCH(B339,'ei names mapping'!$A$137:$A$220,0),MATCH(G365,'ei names mapping'!$B$136:$BK$136,0))</f>
        <v>8.3945834198593472E-2</v>
      </c>
      <c r="C365" s="12" t="str">
        <f>INDEX('ei names mapping'!$B$38:$R$67,MATCH($B$3,'ei names mapping'!$A$4:$A$33,0),MATCH(G365,'ei names mapping'!$B$3:$R$3,0))</f>
        <v>CH</v>
      </c>
      <c r="D365" s="12" t="str">
        <f>INDEX('ei names mapping'!$B$104:$R$133,MATCH($B$3,'ei names mapping'!$A$4:$A$33,0),MATCH(G365,'ei names mapping'!$B$3:$R$3,0))</f>
        <v>kilowatt hour</v>
      </c>
      <c r="E365" s="12"/>
      <c r="F365" s="12" t="s">
        <v>91</v>
      </c>
      <c r="G365" t="s">
        <v>28</v>
      </c>
      <c r="H365" s="12" t="s">
        <v>116</v>
      </c>
    </row>
    <row r="366" spans="1:8" x14ac:dyDescent="0.3">
      <c r="A366" s="12" t="str">
        <f>INDEX('ei names mapping'!$B$4:$R$33,MATCH(B336,'ei names mapping'!$A$4:$A$33,0),MATCH(G366,'ei names mapping'!$B$3:$R$3,0))</f>
        <v>market for maintenance, electric scooter, without battery</v>
      </c>
      <c r="B366" s="16">
        <f>INDEX('vehicles specifications'!$B$3:$CK$86,MATCH(B339,'vehicles specifications'!$A$3:$A$86,0),MATCH(G366,'vehicles specifications'!$B$2:$CK$2,0))*INDEX('ei names mapping'!$B$137:$BK$220,MATCH(B339,'ei names mapping'!$A$137:$A$220,0),MATCH(G366,'ei names mapping'!$B$136:$BK$136,0))</f>
        <v>1.9999999999999998E-5</v>
      </c>
      <c r="C366" s="12" t="str">
        <f>INDEX('ei names mapping'!$B$38:$BK$67,MATCH(B336,'ei names mapping'!$A$4:$A$33,0),MATCH(G366,'ei names mapping'!$B$3:$BK$3,0))</f>
        <v>GLO</v>
      </c>
      <c r="D366" s="12" t="str">
        <f>INDEX('ei names mapping'!$B$104:$BK$133,MATCH(B336,'ei names mapping'!$A$4:$A$33,0),MATCH(G366,'ei names mapping'!$B$3:$BK$3,0))</f>
        <v>unit</v>
      </c>
      <c r="F366" s="12" t="s">
        <v>91</v>
      </c>
      <c r="G366" s="12" t="s">
        <v>123</v>
      </c>
      <c r="H366" s="12" t="str">
        <f>INDEX('ei names mapping'!$B$71:$BK$100,MATCH(B336,'ei names mapping'!$A$4:$A$33,0),MATCH(G366,'ei names mapping'!$B$3:$BK$3,0))</f>
        <v>maintenance, electric scooter, without battery</v>
      </c>
    </row>
    <row r="367" spans="1:8" s="21" customFormat="1" x14ac:dyDescent="0.3">
      <c r="A367" s="12" t="str">
        <f>INDEX('ei names mapping'!$B$4:$R$33,MATCH(B336,'ei names mapping'!$A$4:$A$33,0),MATCH(G367,'ei names mapping'!$B$3:$R$3,0))</f>
        <v>road construction</v>
      </c>
      <c r="B367" s="16">
        <f>INDEX('vehicles specifications'!$B$3:$CK$86,MATCH(B339,'vehicles specifications'!$A$3:$A$86,0),MATCH(G367,'vehicles specifications'!$B$2:$CK$2,0))*INDEX('ei names mapping'!$B$137:$BK$220,MATCH(B339,'ei names mapping'!$A$137:$A$220,0),MATCH(G367,'ei names mapping'!$B$136:$BK$136,0))</f>
        <v>1.7701667999999999E-4</v>
      </c>
      <c r="C367" s="12" t="str">
        <f>INDEX('ei names mapping'!$B$38:$R$67,MATCH(B336,'ei names mapping'!$A$4:$A$33,0),MATCH(G367,'ei names mapping'!$B$3:$R$3,0))</f>
        <v>CH</v>
      </c>
      <c r="D367" s="12" t="str">
        <f>INDEX('ei names mapping'!$B$104:$R$133,MATCH(B336,'ei names mapping'!$A$104:$A$133,0),MATCH(G367,'ei names mapping'!$B$3:$R$3,0))</f>
        <v>meter-year</v>
      </c>
      <c r="E367" s="12"/>
      <c r="F367" s="12" t="s">
        <v>91</v>
      </c>
      <c r="G367" s="21" t="s">
        <v>108</v>
      </c>
      <c r="H367" s="12" t="str">
        <f>INDEX('ei names mapping'!$B$71:$R$100,MATCH(B336,'ei names mapping'!$A$4:$A$33,0),MATCH(G367,'ei names mapping'!$B$3:$R$3,0))</f>
        <v>road</v>
      </c>
    </row>
    <row r="368" spans="1:8" x14ac:dyDescent="0.3">
      <c r="A368" s="12" t="str">
        <f>INDEX('ei names mapping'!$B$4:$BK$33,MATCH(B336,'ei names mapping'!$A$4:$A$33,0),MATCH(G368,'ei names mapping'!$B$3:$BK$3,0))</f>
        <v>treatment of road wear emissions, passenger car</v>
      </c>
      <c r="B368" s="16">
        <f>INDEX('vehicles specifications'!$B$3:$CK$86,MATCH(B339,'vehicles specifications'!$A$3:$A$86,0),MATCH(G368,'vehicles specifications'!$B$2:$CK$2,0))*INDEX('ei names mapping'!$B$137:$BK$220,MATCH(B339,'ei names mapping'!$A$137:$A$220,0),MATCH(G368,'ei names mapping'!$B$136:$BK$136,0))</f>
        <v>-6.0000000000000002E-6</v>
      </c>
      <c r="C368" s="12" t="str">
        <f>INDEX('ei names mapping'!$B$38:$BK$67,MATCH(B336,'ei names mapping'!$A$4:$A$33,0),MATCH(G368,'ei names mapping'!$B$3:$BK$3,0))</f>
        <v>RER</v>
      </c>
      <c r="D368" s="12" t="str">
        <f>INDEX('ei names mapping'!$B$104:$BK$133,MATCH(B336,'ei names mapping'!$A$4:$A$33,0),MATCH(G368,'ei names mapping'!$B$3:$BK$3,0))</f>
        <v>kilogram</v>
      </c>
      <c r="E368" s="12"/>
      <c r="F368" s="12" t="s">
        <v>91</v>
      </c>
      <c r="G368" t="s">
        <v>29</v>
      </c>
      <c r="H368" s="12" t="str">
        <f>INDEX('ei names mapping'!$B$71:$BK$100,MATCH(B336,'ei names mapping'!$A$4:$A$33,0),MATCH(G368,'ei names mapping'!$B$3:$BK$3,0))</f>
        <v>road wear emissions, passenger car</v>
      </c>
    </row>
    <row r="369" spans="1:8" x14ac:dyDescent="0.3">
      <c r="A369" s="12" t="str">
        <f>INDEX('ei names mapping'!$B$4:$BK$33,MATCH(B336,'ei names mapping'!$A$4:$A$33,0),MATCH(G369,'ei names mapping'!$B$3:$BK$3,0))</f>
        <v>treatment of tyre wear emissions, passenger car</v>
      </c>
      <c r="B369" s="16">
        <f>INDEX('vehicles specifications'!$B$3:$CK$86,MATCH(B339,'vehicles specifications'!$A$3:$A$86,0),MATCH(G369,'vehicles specifications'!$B$2:$CK$2,0))*INDEX('ei names mapping'!$B$137:$BK$220,MATCH(B339,'ei names mapping'!$A$137:$A$220,0),MATCH(G369,'ei names mapping'!$B$136:$BK$136,0))</f>
        <v>-7.3669999999999991E-6</v>
      </c>
      <c r="C369" s="12" t="str">
        <f>INDEX('ei names mapping'!$B$38:$BK$67,MATCH(B336,'ei names mapping'!$A$4:$A$33,0),MATCH(G369,'ei names mapping'!$B$3:$BK$3,0))</f>
        <v>RER</v>
      </c>
      <c r="D369" s="12" t="str">
        <f>INDEX('ei names mapping'!$B$104:$BK$133,MATCH(B336,'ei names mapping'!$A$4:$A$33,0),MATCH(G369,'ei names mapping'!$B$3:$BK$3,0))</f>
        <v>kilogram</v>
      </c>
      <c r="E369" s="12"/>
      <c r="F369" s="12" t="s">
        <v>91</v>
      </c>
      <c r="G369" t="s">
        <v>30</v>
      </c>
      <c r="H369" s="12" t="str">
        <f>INDEX('ei names mapping'!$B$71:$BK$100,MATCH(B336,'ei names mapping'!$A$4:$A$33,0),MATCH(G369,'ei names mapping'!$B$3:$BK$3,0))</f>
        <v>tyre wear emissions, passenger car</v>
      </c>
    </row>
    <row r="370" spans="1:8" x14ac:dyDescent="0.3">
      <c r="A370" s="12" t="str">
        <f>INDEX('ei names mapping'!$B$4:$BK$33,MATCH(B336,'ei names mapping'!$A$4:$A$33,0),MATCH(G370,'ei names mapping'!$B$3:$BK$3,0))</f>
        <v>treatment of brake wear emissions, passenger car</v>
      </c>
      <c r="B370" s="16">
        <f>INDEX('vehicles specifications'!$B$3:$CK$86,MATCH(B339,'vehicles specifications'!$A$3:$A$86,0),MATCH(G370,'vehicles specifications'!$B$2:$CK$2,0))*INDEX('ei names mapping'!$B$137:$BK$220,MATCH(B339,'ei names mapping'!$A$137:$A$220,0),MATCH(G370,'ei names mapping'!$B$136:$BK$136,0))</f>
        <v>-4.1749999999999998E-6</v>
      </c>
      <c r="C370" s="12" t="str">
        <f>INDEX('ei names mapping'!$B$38:$BK$67,MATCH(B336,'ei names mapping'!$A$4:$A$33,0),MATCH(G370,'ei names mapping'!$B$3:$BK$3,0))</f>
        <v>RER</v>
      </c>
      <c r="D370" s="12" t="str">
        <f>INDEX('ei names mapping'!$B$104:$BK$133,MATCH(B336,'ei names mapping'!$A$4:$A$33,0),MATCH(G370,'ei names mapping'!$B$3:$BK$3,0))</f>
        <v>kilogram</v>
      </c>
      <c r="E370" s="12"/>
      <c r="F370" s="12" t="s">
        <v>91</v>
      </c>
      <c r="G370" t="s">
        <v>31</v>
      </c>
      <c r="H370" s="12" t="str">
        <f>INDEX('ei names mapping'!$B$71:$BK$100,MATCH(B336,'ei names mapping'!$A$4:$A$33,0),MATCH(G370,'ei names mapping'!$B$3:$BK$3,0))</f>
        <v>brake wear emissions, passenger car</v>
      </c>
    </row>
    <row r="371" spans="1:8" x14ac:dyDescent="0.3">
      <c r="B371" s="6"/>
    </row>
    <row r="372" spans="1:8" ht="15.6" x14ac:dyDescent="0.3">
      <c r="A372" s="11" t="s">
        <v>72</v>
      </c>
      <c r="B372" s="9" t="str">
        <f>"transport, "&amp;B374&amp;", "&amp;B376&amp;", label-certified electricity"</f>
        <v>transport, Motorbike, electric, &gt;35kW, 2030, label-certified electricity</v>
      </c>
    </row>
    <row r="373" spans="1:8" x14ac:dyDescent="0.3">
      <c r="A373" t="s">
        <v>73</v>
      </c>
      <c r="B373" t="s">
        <v>37</v>
      </c>
    </row>
    <row r="374" spans="1:8" x14ac:dyDescent="0.3">
      <c r="A374" t="s">
        <v>87</v>
      </c>
      <c r="B374" t="s">
        <v>523</v>
      </c>
    </row>
    <row r="375" spans="1:8" x14ac:dyDescent="0.3">
      <c r="A375" t="s">
        <v>88</v>
      </c>
      <c r="B375" s="12"/>
    </row>
    <row r="376" spans="1:8" x14ac:dyDescent="0.3">
      <c r="A376" t="s">
        <v>89</v>
      </c>
      <c r="B376" s="12">
        <v>2030</v>
      </c>
    </row>
    <row r="377" spans="1:8" x14ac:dyDescent="0.3">
      <c r="A377" t="s">
        <v>131</v>
      </c>
      <c r="B377" s="12" t="str">
        <f>B374&amp;" - "&amp;B376&amp;" - "&amp;B373</f>
        <v>Motorbike, electric, &gt;35kW - 2030 - CH</v>
      </c>
    </row>
    <row r="378" spans="1:8" x14ac:dyDescent="0.3">
      <c r="A378" t="s">
        <v>74</v>
      </c>
      <c r="B378" s="12" t="str">
        <f>"transport, "&amp;B374</f>
        <v>transport, Motorbike, electric, &gt;35kW</v>
      </c>
    </row>
    <row r="379" spans="1:8" x14ac:dyDescent="0.3">
      <c r="A379" t="s">
        <v>75</v>
      </c>
      <c r="B379" t="s">
        <v>76</v>
      </c>
    </row>
    <row r="380" spans="1:8" x14ac:dyDescent="0.3">
      <c r="A380" t="s">
        <v>77</v>
      </c>
      <c r="B380" t="s">
        <v>172</v>
      </c>
    </row>
    <row r="381" spans="1:8" x14ac:dyDescent="0.3">
      <c r="A381" t="s">
        <v>79</v>
      </c>
      <c r="B381" t="s">
        <v>90</v>
      </c>
    </row>
    <row r="382" spans="1:8" x14ac:dyDescent="0.3">
      <c r="A382" t="s">
        <v>132</v>
      </c>
      <c r="B382">
        <f>INDEX('vehicles specifications'!$B$3:$CK$86,MATCH(B377,'vehicles specifications'!$A$3:$A$86,0),MATCH("Lifetime [km]",'vehicles specifications'!$B$2:$CK$2,0))</f>
        <v>62100</v>
      </c>
    </row>
    <row r="383" spans="1:8" x14ac:dyDescent="0.3">
      <c r="A383" t="s">
        <v>133</v>
      </c>
      <c r="B383">
        <f>INDEX('vehicles specifications'!$B$3:$CK$86,MATCH(B377,'vehicles specifications'!$A$3:$A$86,0),MATCH("Passengers [unit]",'vehicles specifications'!$B$2:$CK$2,0))</f>
        <v>1.1000000000000001</v>
      </c>
    </row>
    <row r="384" spans="1:8" x14ac:dyDescent="0.3">
      <c r="A384" t="s">
        <v>134</v>
      </c>
      <c r="B384">
        <f>INDEX('vehicles specifications'!$B$3:$CK$86,MATCH(B377,'vehicles specifications'!$A$3:$A$86,0),MATCH("Servicing [unit]",'vehicles specifications'!$B$2:$CK$2,0))</f>
        <v>1.242</v>
      </c>
    </row>
    <row r="385" spans="1:8" x14ac:dyDescent="0.3">
      <c r="A385" t="s">
        <v>135</v>
      </c>
      <c r="B385">
        <f>INDEX('vehicles specifications'!$B$3:$CK$86,MATCH(B377,'vehicles specifications'!$A$3:$A$86,0),MATCH("Energy battery replacement [unit]",'vehicles specifications'!$B$2:$CK$2,0))</f>
        <v>0.5</v>
      </c>
    </row>
    <row r="386" spans="1:8" x14ac:dyDescent="0.3">
      <c r="A386" t="s">
        <v>136</v>
      </c>
      <c r="B386">
        <f>INDEX('vehicles specifications'!$B$3:$CK$86,MATCH(B377,'vehicles specifications'!$A$3:$A$86,0),MATCH("Annual kilometers [km]",'vehicles specifications'!$B$2:$CK$2,0))</f>
        <v>4690</v>
      </c>
    </row>
    <row r="387" spans="1:8" x14ac:dyDescent="0.3">
      <c r="A387" t="s">
        <v>137</v>
      </c>
      <c r="B387" s="2">
        <f>INDEX('vehicles specifications'!$B$3:$CK$86,MATCH(B377,'vehicles specifications'!$A$3:$A$86,0),MATCH("Curb mass [kg]",'vehicles specifications'!$B$2:$CK$2,0))</f>
        <v>246.71</v>
      </c>
    </row>
    <row r="388" spans="1:8" x14ac:dyDescent="0.3">
      <c r="A388" t="s">
        <v>138</v>
      </c>
      <c r="B388">
        <f>INDEX('vehicles specifications'!$B$3:$CK$86,MATCH(B377,'vehicles specifications'!$A$3:$A$86,0),MATCH("Power [kW]",'vehicles specifications'!$B$2:$CK$2,0))</f>
        <v>49</v>
      </c>
    </row>
    <row r="389" spans="1:8" x14ac:dyDescent="0.3">
      <c r="A389" t="s">
        <v>139</v>
      </c>
      <c r="B389">
        <f>INDEX('vehicles specifications'!$B$3:$CK$86,MATCH(B377,'vehicles specifications'!$A$3:$A$86,0),MATCH("Energy battery mass [kg]",'vehicles specifications'!$B$2:$CK$2,0))</f>
        <v>102.4</v>
      </c>
    </row>
    <row r="390" spans="1:8" x14ac:dyDescent="0.3">
      <c r="A390" t="s">
        <v>140</v>
      </c>
      <c r="B390" s="21">
        <f>INDEX('vehicles specifications'!$B$3:$CK$86,MATCH(B377,'vehicles specifications'!$A$3:$A$86,0),MATCH("Electric energy stored [kWh]",'vehicles specifications'!$B$2:$CK$2,0))</f>
        <v>25.6</v>
      </c>
    </row>
    <row r="391" spans="1:8" s="21" customFormat="1" x14ac:dyDescent="0.3">
      <c r="A391" s="21" t="s">
        <v>654</v>
      </c>
      <c r="B391" s="21">
        <f>INDEX('vehicles specifications'!$B$3:$CK$86,MATCH(B377,'vehicles specifications'!$A$3:$A$86,0),MATCH("Electric energy available [kWh]",'vehicles specifications'!$B$2:$CK$2,0))</f>
        <v>20.480000000000004</v>
      </c>
    </row>
    <row r="392" spans="1:8" x14ac:dyDescent="0.3">
      <c r="A392" t="s">
        <v>143</v>
      </c>
      <c r="B392" s="2">
        <f>INDEX('vehicles specifications'!$B$3:$CK$86,MATCH(B377,'vehicles specifications'!$A$3:$A$86,0),MATCH("Oxydation energy stored [kWh]",'vehicles specifications'!$B$2:$CK$2,0))</f>
        <v>0</v>
      </c>
    </row>
    <row r="393" spans="1:8" x14ac:dyDescent="0.3">
      <c r="A393" t="s">
        <v>145</v>
      </c>
      <c r="B393">
        <f>INDEX('vehicles specifications'!$B$3:$CK$86,MATCH(B377,'vehicles specifications'!$A$3:$A$86,0),MATCH("Fuel mass [kg]",'vehicles specifications'!$B$2:$CK$2,0))</f>
        <v>0</v>
      </c>
    </row>
    <row r="394" spans="1:8" x14ac:dyDescent="0.3">
      <c r="A394" t="s">
        <v>141</v>
      </c>
      <c r="B394" s="2">
        <f>INDEX('vehicles specifications'!$B$3:$CK$86,MATCH(B377,'vehicles specifications'!$A$3:$A$86,0),MATCH("Range [km]",'vehicles specifications'!$B$2:$CK$2,0))</f>
        <v>268.363525302575</v>
      </c>
    </row>
    <row r="395" spans="1:8" x14ac:dyDescent="0.3">
      <c r="A395" t="s">
        <v>142</v>
      </c>
      <c r="B395" t="str">
        <f>INDEX('vehicles specifications'!$B$3:$CK$86,MATCH(B377,'vehicles specifications'!$A$3:$A$86,0),MATCH("Emission standard",'vehicles specifications'!$B$2:$CK$2,0))</f>
        <v>None</v>
      </c>
    </row>
    <row r="396" spans="1:8" x14ac:dyDescent="0.3">
      <c r="A396" t="s">
        <v>144</v>
      </c>
      <c r="B396" s="6">
        <f>INDEX('vehicles specifications'!$B$3:$CK$86,MATCH(B377,'vehicles specifications'!$A$3:$A$86,0),MATCH("Lightweighting rate [%]",'vehicles specifications'!$B$2:$CK$2,0))</f>
        <v>0.03</v>
      </c>
    </row>
    <row r="397" spans="1:8" x14ac:dyDescent="0.3">
      <c r="A397" t="s">
        <v>84</v>
      </c>
      <c r="B397" s="21" t="str">
        <f>"Power: "&amp;B388&amp;" kW. Lifetime: "&amp;B382&amp;" km. Annual kilometers: "&amp;B386&amp;" km. Number of passengers: "&amp;B383&amp;". Curb mass: "&amp;ROUND(B387,1)&amp;" kg. Lightweighting of glider: "&amp;ROUND(B396*100,0)&amp;"%. Emission standard: "&amp;B395&amp;". Service visits throughout lifetime: "&amp;ROUND(B384,1)&amp;". Range: "&amp;ROUND(B394,0)&amp;" km. Battery capacity: "&amp;ROUND(B390,1)&amp;" kWh. Available battery capacity: "&amp;B391&amp;" kWh. Battery mass: "&amp;ROUND(B389,1)&amp; " kg. Battery replacement throughout lifetime: "&amp;ROUND(B385,1)&amp;". Fuel tank capacity: "&amp;ROUND(B392,1)&amp;" kWh. Fuel mass: "&amp;ROUND(B393,1)&amp;" kg. Documentation: "&amp;Readmefirst!$B$2&amp;", "&amp;Readmefirst!$B$3&amp;". "&amp;'lci-kick scooter'!B340</f>
        <v xml:space="preserve">Power: 49 kW. Lifetime: 62100 km. Annual kilometers: 4690 km. Number of passengers: 1.1. Curb mass: 246.7 kg. Lightweighting of glider: 3%. Emission standard: None. Service visits throughout lifetime: 1.2. Range: 268 km. Battery capacity: 25.6 kWh. Available battery capacity: 20.48 kWh. Battery mass: 102.4 kg. Battery replacement throughout lifetime: 0.5. Fuel tank capacity: 0 kWh. Fuel mass: 0 kg. Documentation: 2021 UVEK life-cycle inventories update of on-road vehicles, Sacchi R. (PSI), Bauer C. (PSI), 2021. </v>
      </c>
    </row>
    <row r="398" spans="1:8" ht="15.6" x14ac:dyDescent="0.3">
      <c r="A398" s="11" t="s">
        <v>80</v>
      </c>
    </row>
    <row r="399" spans="1:8" x14ac:dyDescent="0.3">
      <c r="A399" t="s">
        <v>81</v>
      </c>
      <c r="B399" t="s">
        <v>82</v>
      </c>
      <c r="C399" t="s">
        <v>73</v>
      </c>
      <c r="D399" t="s">
        <v>77</v>
      </c>
      <c r="E399" t="s">
        <v>83</v>
      </c>
      <c r="F399" t="s">
        <v>75</v>
      </c>
      <c r="G399" t="s">
        <v>84</v>
      </c>
      <c r="H399" t="s">
        <v>74</v>
      </c>
    </row>
    <row r="400" spans="1:8" x14ac:dyDescent="0.3">
      <c r="A400" s="12" t="str">
        <f>B372</f>
        <v>transport, Motorbike, electric, &gt;35kW, 2030, label-certified electricity</v>
      </c>
      <c r="B400" s="12">
        <v>1</v>
      </c>
      <c r="C400" s="12" t="str">
        <f>B373</f>
        <v>CH</v>
      </c>
      <c r="D400" s="12" t="s">
        <v>172</v>
      </c>
      <c r="E400" s="12"/>
      <c r="F400" s="12" t="s">
        <v>85</v>
      </c>
      <c r="G400" s="12" t="s">
        <v>86</v>
      </c>
      <c r="H400" s="12" t="str">
        <f>B378</f>
        <v>transport, Motorbike, electric, &gt;35kW</v>
      </c>
    </row>
    <row r="401" spans="1:8" x14ac:dyDescent="0.3">
      <c r="A401" s="12" t="str">
        <f>B374&amp;", "&amp;B376</f>
        <v>Motorbike, electric, &gt;35kW, 2030</v>
      </c>
      <c r="B401" s="12">
        <f>1/B382</f>
        <v>1.6103059581320449E-5</v>
      </c>
      <c r="C401" s="12" t="str">
        <f>B373</f>
        <v>CH</v>
      </c>
      <c r="D401" s="12" t="s">
        <v>77</v>
      </c>
      <c r="E401" s="12"/>
      <c r="F401" s="12" t="s">
        <v>91</v>
      </c>
      <c r="G401" s="12"/>
      <c r="H401" s="12" t="str">
        <f>RIGHT(H400,LEN(H400)-11)</f>
        <v>Motorbike, electric, &gt;35kW</v>
      </c>
    </row>
    <row r="402" spans="1:8" x14ac:dyDescent="0.3">
      <c r="A402" s="12" t="str">
        <f>INDEX('ei names mapping'!$B$4:$R$33,MATCH(B374,'ei names mapping'!$A$4:$A$33,0),MATCH(G402,'ei names mapping'!$B$3:$R$3,0))</f>
        <v>road maintenance</v>
      </c>
      <c r="B402" s="16">
        <f>INDEX('vehicles specifications'!$B$3:$CK$86,MATCH(B377,'vehicles specifications'!$A$3:$A$86,0),MATCH(G402,'vehicles specifications'!$B$2:$CK$2,0))*INDEX('ei names mapping'!$B$137:$BK$220,MATCH(B377,'ei names mapping'!$A$137:$A$220,0),MATCH(G402,'ei names mapping'!$B$136:$BK$136,0))</f>
        <v>1.2899999999999999E-3</v>
      </c>
      <c r="C402" s="12" t="str">
        <f>INDEX('ei names mapping'!$B$38:$R$67,MATCH(B374,'ei names mapping'!$A$4:$A$33,0),MATCH(G402,'ei names mapping'!$B$3:$R$3,0))</f>
        <v>CH</v>
      </c>
      <c r="D402" s="12" t="str">
        <f>INDEX('ei names mapping'!$B$104:$BK$133,MATCH(B374,'ei names mapping'!$A$4:$A$33,0),MATCH(G402,'ei names mapping'!$B$3:$BK$3,0))</f>
        <v>meter-year</v>
      </c>
      <c r="E402" s="12"/>
      <c r="F402" s="12" t="s">
        <v>91</v>
      </c>
      <c r="G402" t="s">
        <v>117</v>
      </c>
      <c r="H402" s="12" t="str">
        <f>INDEX('ei names mapping'!$B$71:$BK$100,MATCH(B374,'ei names mapping'!$A$4:$A$33,0),MATCH(G402,'ei names mapping'!$B$3:$BK$3,0))</f>
        <v>road maintenance</v>
      </c>
    </row>
    <row r="403" spans="1:8" x14ac:dyDescent="0.3">
      <c r="A403" s="12" t="s">
        <v>114</v>
      </c>
      <c r="B403" s="14">
        <f>INDEX('vehicles specifications'!$B$3:$CK$86,MATCH(B377,'vehicles specifications'!$A$3:$A$86,0),MATCH(G403,'vehicles specifications'!$B$2:$CK$2,0))*INDEX('ei names mapping'!$B$137:$BK$220,MATCH(B377,'ei names mapping'!$A$137:$A$220,0),MATCH(G403,'ei names mapping'!$B$136:$BK$136,0))</f>
        <v>8.3945834198593472E-2</v>
      </c>
      <c r="C403" s="12" t="str">
        <f>INDEX('ei names mapping'!$B$38:$R$67,MATCH($B$3,'ei names mapping'!$A$4:$A$33,0),MATCH(G403,'ei names mapping'!$B$3:$R$3,0))</f>
        <v>CH</v>
      </c>
      <c r="D403" s="12" t="str">
        <f>INDEX('ei names mapping'!$B$104:$R$133,MATCH($B$3,'ei names mapping'!$A$4:$A$33,0),MATCH(G403,'ei names mapping'!$B$3:$R$3,0))</f>
        <v>kilowatt hour</v>
      </c>
      <c r="E403" s="12"/>
      <c r="F403" s="12" t="s">
        <v>91</v>
      </c>
      <c r="G403" t="s">
        <v>28</v>
      </c>
      <c r="H403" s="12" t="s">
        <v>116</v>
      </c>
    </row>
    <row r="404" spans="1:8" x14ac:dyDescent="0.3">
      <c r="A404" s="12" t="str">
        <f>INDEX('ei names mapping'!$B$4:$R$33,MATCH(B374,'ei names mapping'!$A$4:$A$33,0),MATCH(G404,'ei names mapping'!$B$3:$R$3,0))</f>
        <v>market for maintenance, electric scooter, without battery</v>
      </c>
      <c r="B404" s="16">
        <f>INDEX('vehicles specifications'!$B$3:$CK$86,MATCH(B377,'vehicles specifications'!$A$3:$A$86,0),MATCH(G404,'vehicles specifications'!$B$2:$CK$2,0))*INDEX('ei names mapping'!$B$137:$BK$220,MATCH(B377,'ei names mapping'!$A$137:$A$220,0),MATCH(G404,'ei names mapping'!$B$136:$BK$136,0))</f>
        <v>1.9999999999999998E-5</v>
      </c>
      <c r="C404" s="12" t="str">
        <f>INDEX('ei names mapping'!$B$38:$BK$67,MATCH(B374,'ei names mapping'!$A$4:$A$33,0),MATCH(G404,'ei names mapping'!$B$3:$BK$3,0))</f>
        <v>GLO</v>
      </c>
      <c r="D404" s="12" t="str">
        <f>INDEX('ei names mapping'!$B$104:$BK$133,MATCH(B374,'ei names mapping'!$A$4:$A$33,0),MATCH(G404,'ei names mapping'!$B$3:$BK$3,0))</f>
        <v>unit</v>
      </c>
      <c r="F404" s="12" t="s">
        <v>91</v>
      </c>
      <c r="G404" s="12" t="s">
        <v>123</v>
      </c>
      <c r="H404" s="12" t="str">
        <f>INDEX('ei names mapping'!$B$71:$BK$100,MATCH(B374,'ei names mapping'!$A$4:$A$33,0),MATCH(G404,'ei names mapping'!$B$3:$BK$3,0))</f>
        <v>maintenance, electric scooter, without battery</v>
      </c>
    </row>
    <row r="405" spans="1:8" s="21" customFormat="1" x14ac:dyDescent="0.3">
      <c r="A405" s="12" t="str">
        <f>INDEX('ei names mapping'!$B$4:$R$33,MATCH(B374,'ei names mapping'!$A$4:$A$33,0),MATCH(G405,'ei names mapping'!$B$3:$R$3,0))</f>
        <v>road construction</v>
      </c>
      <c r="B405" s="16">
        <f>INDEX('vehicles specifications'!$B$3:$CK$86,MATCH(B377,'vehicles specifications'!$A$3:$A$86,0),MATCH(G405,'vehicles specifications'!$B$2:$CK$2,0))*INDEX('ei names mapping'!$B$137:$BK$220,MATCH(B377,'ei names mapping'!$A$137:$A$220,0),MATCH(G405,'ei names mapping'!$B$136:$BK$136,0))</f>
        <v>1.7705427000000001E-4</v>
      </c>
      <c r="C405" s="12" t="str">
        <f>INDEX('ei names mapping'!$B$38:$R$67,MATCH(B374,'ei names mapping'!$A$4:$A$33,0),MATCH(G405,'ei names mapping'!$B$3:$R$3,0))</f>
        <v>CH</v>
      </c>
      <c r="D405" s="12" t="str">
        <f>INDEX('ei names mapping'!$B$104:$R$133,MATCH(B374,'ei names mapping'!$A$104:$A$133,0),MATCH(G405,'ei names mapping'!$B$3:$R$3,0))</f>
        <v>meter-year</v>
      </c>
      <c r="E405" s="12"/>
      <c r="F405" s="12" t="s">
        <v>91</v>
      </c>
      <c r="G405" s="21" t="s">
        <v>108</v>
      </c>
      <c r="H405" s="12" t="str">
        <f>INDEX('ei names mapping'!$B$71:$R$100,MATCH(B374,'ei names mapping'!$A$4:$A$33,0),MATCH(G405,'ei names mapping'!$B$3:$R$3,0))</f>
        <v>road</v>
      </c>
    </row>
    <row r="406" spans="1:8" x14ac:dyDescent="0.3">
      <c r="A406" s="12" t="str">
        <f>INDEX('ei names mapping'!$B$4:$BK$33,MATCH(B374,'ei names mapping'!$A$4:$A$33,0),MATCH(G406,'ei names mapping'!$B$3:$BK$3,0))</f>
        <v>treatment of road wear emissions, passenger car</v>
      </c>
      <c r="B406" s="16">
        <f>INDEX('vehicles specifications'!$B$3:$CK$86,MATCH(B377,'vehicles specifications'!$A$3:$A$86,0),MATCH(G406,'vehicles specifications'!$B$2:$CK$2,0))*INDEX('ei names mapping'!$B$137:$BK$220,MATCH(B377,'ei names mapping'!$A$137:$A$220,0),MATCH(G406,'ei names mapping'!$B$136:$BK$136,0))</f>
        <v>-6.0000000000000002E-6</v>
      </c>
      <c r="C406" s="12" t="str">
        <f>INDEX('ei names mapping'!$B$38:$BK$67,MATCH(B374,'ei names mapping'!$A$4:$A$33,0),MATCH(G406,'ei names mapping'!$B$3:$BK$3,0))</f>
        <v>RER</v>
      </c>
      <c r="D406" s="12" t="str">
        <f>INDEX('ei names mapping'!$B$104:$BK$133,MATCH(B374,'ei names mapping'!$A$4:$A$33,0),MATCH(G406,'ei names mapping'!$B$3:$BK$3,0))</f>
        <v>kilogram</v>
      </c>
      <c r="E406" s="12"/>
      <c r="F406" s="12" t="s">
        <v>91</v>
      </c>
      <c r="G406" t="s">
        <v>29</v>
      </c>
      <c r="H406" s="12" t="str">
        <f>INDEX('ei names mapping'!$B$71:$BK$100,MATCH(B374,'ei names mapping'!$A$4:$A$33,0),MATCH(G406,'ei names mapping'!$B$3:$BK$3,0))</f>
        <v>road wear emissions, passenger car</v>
      </c>
    </row>
    <row r="407" spans="1:8" x14ac:dyDescent="0.3">
      <c r="A407" s="12" t="str">
        <f>INDEX('ei names mapping'!$B$4:$BK$33,MATCH(B374,'ei names mapping'!$A$4:$A$33,0),MATCH(G407,'ei names mapping'!$B$3:$BK$3,0))</f>
        <v>treatment of tyre wear emissions, passenger car</v>
      </c>
      <c r="B407" s="16">
        <f>INDEX('vehicles specifications'!$B$3:$CK$86,MATCH(B377,'vehicles specifications'!$A$3:$A$86,0),MATCH(G407,'vehicles specifications'!$B$2:$CK$2,0))*INDEX('ei names mapping'!$B$137:$BK$220,MATCH(B377,'ei names mapping'!$A$137:$A$220,0),MATCH(G407,'ei names mapping'!$B$136:$BK$136,0))</f>
        <v>-7.3669999999999991E-6</v>
      </c>
      <c r="C407" s="12" t="str">
        <f>INDEX('ei names mapping'!$B$38:$BK$67,MATCH(B374,'ei names mapping'!$A$4:$A$33,0),MATCH(G407,'ei names mapping'!$B$3:$BK$3,0))</f>
        <v>RER</v>
      </c>
      <c r="D407" s="12" t="str">
        <f>INDEX('ei names mapping'!$B$104:$BK$133,MATCH(B374,'ei names mapping'!$A$4:$A$33,0),MATCH(G407,'ei names mapping'!$B$3:$BK$3,0))</f>
        <v>kilogram</v>
      </c>
      <c r="E407" s="12"/>
      <c r="F407" s="12" t="s">
        <v>91</v>
      </c>
      <c r="G407" t="s">
        <v>30</v>
      </c>
      <c r="H407" s="12" t="str">
        <f>INDEX('ei names mapping'!$B$71:$BK$100,MATCH(B374,'ei names mapping'!$A$4:$A$33,0),MATCH(G407,'ei names mapping'!$B$3:$BK$3,0))</f>
        <v>tyre wear emissions, passenger car</v>
      </c>
    </row>
    <row r="408" spans="1:8" x14ac:dyDescent="0.3">
      <c r="A408" s="12" t="str">
        <f>INDEX('ei names mapping'!$B$4:$BK$33,MATCH(B374,'ei names mapping'!$A$4:$A$33,0),MATCH(G408,'ei names mapping'!$B$3:$BK$3,0))</f>
        <v>treatment of brake wear emissions, passenger car</v>
      </c>
      <c r="B408" s="16">
        <f>INDEX('vehicles specifications'!$B$3:$CK$86,MATCH(B377,'vehicles specifications'!$A$3:$A$86,0),MATCH(G408,'vehicles specifications'!$B$2:$CK$2,0))*INDEX('ei names mapping'!$B$137:$BK$220,MATCH(B377,'ei names mapping'!$A$137:$A$220,0),MATCH(G408,'ei names mapping'!$B$136:$BK$136,0))</f>
        <v>-4.1749999999999998E-6</v>
      </c>
      <c r="C408" s="12" t="str">
        <f>INDEX('ei names mapping'!$B$38:$BK$67,MATCH(B374,'ei names mapping'!$A$4:$A$33,0),MATCH(G408,'ei names mapping'!$B$3:$BK$3,0))</f>
        <v>RER</v>
      </c>
      <c r="D408" s="12" t="str">
        <f>INDEX('ei names mapping'!$B$104:$BK$133,MATCH(B374,'ei names mapping'!$A$4:$A$33,0),MATCH(G408,'ei names mapping'!$B$3:$BK$3,0))</f>
        <v>kilogram</v>
      </c>
      <c r="E408" s="12"/>
      <c r="F408" s="12" t="s">
        <v>91</v>
      </c>
      <c r="G408" t="s">
        <v>31</v>
      </c>
      <c r="H408" s="12" t="str">
        <f>INDEX('ei names mapping'!$B$71:$BK$100,MATCH(B374,'ei names mapping'!$A$4:$A$33,0),MATCH(G408,'ei names mapping'!$B$3:$BK$3,0))</f>
        <v>brake wear emissions, passenger car</v>
      </c>
    </row>
    <row r="410" spans="1:8" ht="15.6" x14ac:dyDescent="0.3">
      <c r="A410" s="11" t="s">
        <v>72</v>
      </c>
      <c r="B410" s="9" t="str">
        <f>"transport, "&amp;B412&amp;", "&amp;B414&amp;", label-certified electricity"</f>
        <v>transport, Motorbike, electric, &gt;35kW, 2040, label-certified electricity</v>
      </c>
    </row>
    <row r="411" spans="1:8" x14ac:dyDescent="0.3">
      <c r="A411" t="s">
        <v>73</v>
      </c>
      <c r="B411" t="s">
        <v>37</v>
      </c>
    </row>
    <row r="412" spans="1:8" x14ac:dyDescent="0.3">
      <c r="A412" t="s">
        <v>87</v>
      </c>
      <c r="B412" t="s">
        <v>523</v>
      </c>
    </row>
    <row r="413" spans="1:8" x14ac:dyDescent="0.3">
      <c r="A413" t="s">
        <v>88</v>
      </c>
      <c r="B413" s="12"/>
    </row>
    <row r="414" spans="1:8" x14ac:dyDescent="0.3">
      <c r="A414" t="s">
        <v>89</v>
      </c>
      <c r="B414" s="12">
        <v>2040</v>
      </c>
    </row>
    <row r="415" spans="1:8" x14ac:dyDescent="0.3">
      <c r="A415" t="s">
        <v>131</v>
      </c>
      <c r="B415" s="12" t="str">
        <f>B412&amp;" - "&amp;B414&amp;" - "&amp;B411</f>
        <v>Motorbike, electric, &gt;35kW - 2040 - CH</v>
      </c>
    </row>
    <row r="416" spans="1:8" x14ac:dyDescent="0.3">
      <c r="A416" t="s">
        <v>74</v>
      </c>
      <c r="B416" s="12" t="str">
        <f>"transport, "&amp;B412</f>
        <v>transport, Motorbike, electric, &gt;35kW</v>
      </c>
    </row>
    <row r="417" spans="1:2" x14ac:dyDescent="0.3">
      <c r="A417" t="s">
        <v>75</v>
      </c>
      <c r="B417" t="s">
        <v>76</v>
      </c>
    </row>
    <row r="418" spans="1:2" x14ac:dyDescent="0.3">
      <c r="A418" t="s">
        <v>77</v>
      </c>
      <c r="B418" t="s">
        <v>172</v>
      </c>
    </row>
    <row r="419" spans="1:2" x14ac:dyDescent="0.3">
      <c r="A419" t="s">
        <v>79</v>
      </c>
      <c r="B419" t="s">
        <v>90</v>
      </c>
    </row>
    <row r="420" spans="1:2" x14ac:dyDescent="0.3">
      <c r="A420" t="s">
        <v>132</v>
      </c>
      <c r="B420">
        <f>INDEX('vehicles specifications'!$B$3:$CK$86,MATCH(B415,'vehicles specifications'!$A$3:$A$86,0),MATCH("Lifetime [km]",'vehicles specifications'!$B$2:$CK$2,0))</f>
        <v>62100</v>
      </c>
    </row>
    <row r="421" spans="1:2" x14ac:dyDescent="0.3">
      <c r="A421" t="s">
        <v>133</v>
      </c>
      <c r="B421">
        <f>INDEX('vehicles specifications'!$B$3:$CK$86,MATCH(B415,'vehicles specifications'!$A$3:$A$86,0),MATCH("Passengers [unit]",'vehicles specifications'!$B$2:$CK$2,0))</f>
        <v>1.1000000000000001</v>
      </c>
    </row>
    <row r="422" spans="1:2" x14ac:dyDescent="0.3">
      <c r="A422" t="s">
        <v>134</v>
      </c>
      <c r="B422">
        <f>INDEX('vehicles specifications'!$B$3:$CK$86,MATCH(B415,'vehicles specifications'!$A$3:$A$86,0),MATCH("Servicing [unit]",'vehicles specifications'!$B$2:$CK$2,0))</f>
        <v>1.242</v>
      </c>
    </row>
    <row r="423" spans="1:2" x14ac:dyDescent="0.3">
      <c r="A423" t="s">
        <v>135</v>
      </c>
      <c r="B423">
        <f>INDEX('vehicles specifications'!$B$3:$CK$86,MATCH(B415,'vehicles specifications'!$A$3:$A$86,0),MATCH("Energy battery replacement [unit]",'vehicles specifications'!$B$2:$CK$2,0))</f>
        <v>0.25</v>
      </c>
    </row>
    <row r="424" spans="1:2" x14ac:dyDescent="0.3">
      <c r="A424" t="s">
        <v>136</v>
      </c>
      <c r="B424">
        <f>INDEX('vehicles specifications'!$B$3:$CK$86,MATCH(B415,'vehicles specifications'!$A$3:$A$86,0),MATCH("Annual kilometers [km]",'vehicles specifications'!$B$2:$CK$2,0))</f>
        <v>4690</v>
      </c>
    </row>
    <row r="425" spans="1:2" x14ac:dyDescent="0.3">
      <c r="A425" t="s">
        <v>137</v>
      </c>
      <c r="B425" s="2">
        <f>INDEX('vehicles specifications'!$B$3:$CK$86,MATCH(B415,'vehicles specifications'!$A$3:$A$86,0),MATCH("Curb mass [kg]",'vehicles specifications'!$B$2:$CK$2,0))</f>
        <v>247.08999999999997</v>
      </c>
    </row>
    <row r="426" spans="1:2" x14ac:dyDescent="0.3">
      <c r="A426" t="s">
        <v>138</v>
      </c>
      <c r="B426">
        <f>INDEX('vehicles specifications'!$B$3:$CK$86,MATCH(B415,'vehicles specifications'!$A$3:$A$86,0),MATCH("Power [kW]",'vehicles specifications'!$B$2:$CK$2,0))</f>
        <v>49</v>
      </c>
    </row>
    <row r="427" spans="1:2" x14ac:dyDescent="0.3">
      <c r="A427" t="s">
        <v>139</v>
      </c>
      <c r="B427">
        <f>INDEX('vehicles specifications'!$B$3:$CK$86,MATCH(B415,'vehicles specifications'!$A$3:$A$86,0),MATCH("Energy battery mass [kg]",'vehicles specifications'!$B$2:$CK$2,0))</f>
        <v>105</v>
      </c>
    </row>
    <row r="428" spans="1:2" x14ac:dyDescent="0.3">
      <c r="A428" t="s">
        <v>140</v>
      </c>
      <c r="B428" s="21">
        <f>INDEX('vehicles specifications'!$B$3:$CK$86,MATCH(B415,'vehicles specifications'!$A$3:$A$86,0),MATCH("Electric energy stored [kWh]",'vehicles specifications'!$B$2:$CK$2,0))</f>
        <v>35</v>
      </c>
    </row>
    <row r="429" spans="1:2" s="21" customFormat="1" x14ac:dyDescent="0.3">
      <c r="A429" s="21" t="s">
        <v>654</v>
      </c>
      <c r="B429" s="21">
        <f>INDEX('vehicles specifications'!$B$3:$CK$86,MATCH(B415,'vehicles specifications'!$A$3:$A$86,0),MATCH("Electric energy available [kWh]",'vehicles specifications'!$B$2:$CK$2,0))</f>
        <v>28</v>
      </c>
    </row>
    <row r="430" spans="1:2" x14ac:dyDescent="0.3">
      <c r="A430" t="s">
        <v>143</v>
      </c>
      <c r="B430" s="2">
        <f>INDEX('vehicles specifications'!$B$3:$CK$86,MATCH(B415,'vehicles specifications'!$A$3:$A$86,0),MATCH("Oxydation energy stored [kWh]",'vehicles specifications'!$B$2:$CK$2,0))</f>
        <v>0</v>
      </c>
    </row>
    <row r="431" spans="1:2" x14ac:dyDescent="0.3">
      <c r="A431" t="s">
        <v>145</v>
      </c>
      <c r="B431">
        <f>INDEX('vehicles specifications'!$B$3:$CK$86,MATCH(B415,'vehicles specifications'!$A$3:$A$86,0),MATCH("Fuel mass [kg]",'vehicles specifications'!$B$2:$CK$2,0))</f>
        <v>0</v>
      </c>
    </row>
    <row r="432" spans="1:2" x14ac:dyDescent="0.3">
      <c r="A432" t="s">
        <v>141</v>
      </c>
      <c r="B432" s="2">
        <f>INDEX('vehicles specifications'!$B$3:$CK$86,MATCH(B415,'vehicles specifications'!$A$3:$A$86,0),MATCH("Range [km]",'vehicles specifications'!$B$2:$CK$2,0))</f>
        <v>366.90325724961417</v>
      </c>
    </row>
    <row r="433" spans="1:8" x14ac:dyDescent="0.3">
      <c r="A433" t="s">
        <v>142</v>
      </c>
      <c r="B433" t="str">
        <f>INDEX('vehicles specifications'!$B$3:$CK$86,MATCH(B415,'vehicles specifications'!$A$3:$A$86,0),MATCH("Emission standard",'vehicles specifications'!$B$2:$CK$2,0))</f>
        <v>None</v>
      </c>
    </row>
    <row r="434" spans="1:8" x14ac:dyDescent="0.3">
      <c r="A434" t="s">
        <v>144</v>
      </c>
      <c r="B434" s="6">
        <f>INDEX('vehicles specifications'!$B$3:$CK$86,MATCH(B415,'vehicles specifications'!$A$3:$A$86,0),MATCH("Lightweighting rate [%]",'vehicles specifications'!$B$2:$CK$2,0))</f>
        <v>0.05</v>
      </c>
    </row>
    <row r="435" spans="1:8" x14ac:dyDescent="0.3">
      <c r="A435" t="s">
        <v>84</v>
      </c>
      <c r="B435" s="21" t="str">
        <f>"Power: "&amp;B426&amp;" kW. Lifetime: "&amp;B420&amp;" km. Annual kilometers: "&amp;B424&amp;" km. Number of passengers: "&amp;B421&amp;". Curb mass: "&amp;ROUND(B425,1)&amp;" kg. Lightweighting of glider: "&amp;ROUND(B434*100,0)&amp;"%. Emission standard: "&amp;B433&amp;". Service visits throughout lifetime: "&amp;ROUND(B422,1)&amp;". Range: "&amp;ROUND(B432,0)&amp;" km. Battery capacity: "&amp;ROUND(B428,1)&amp;" kWh. Available battery capacity: "&amp;B429&amp;" kWh. Battery mass: "&amp;ROUND(B427,1)&amp; " kg. Battery replacement throughout lifetime: "&amp;ROUND(B423,1)&amp;". Fuel tank capacity: "&amp;ROUND(B430,1)&amp;" kWh. Fuel mass: "&amp;ROUND(B431,1)&amp;" kg. Documentation: "&amp;Readmefirst!$B$2&amp;", "&amp;Readmefirst!$B$3&amp;". "&amp;'lci-kick scooter'!B378</f>
        <v xml:space="preserve">Power: 49 kW. Lifetime: 62100 km. Annual kilometers: 4690 km. Number of passengers: 1.1. Curb mass: 247.1 kg. Lightweighting of glider: 5%. Emission standard: None. Service visits throughout lifetime: 1.2. Range: 367 km. Battery capacity: 35 kWh. Available battery capacity: 28 kWh. Battery mass: 105 kg. Battery replacement throughout lifetime: 0.3. Fuel tank capacity: 0 kWh. Fuel mass: 0 kg. Documentation: 2021 UVEK life-cycle inventories update of on-road vehicles, Sacchi R. (PSI), Bauer C. (PSI), 2021. </v>
      </c>
    </row>
    <row r="436" spans="1:8" ht="15.6" x14ac:dyDescent="0.3">
      <c r="A436" s="11" t="s">
        <v>80</v>
      </c>
    </row>
    <row r="437" spans="1:8" x14ac:dyDescent="0.3">
      <c r="A437" t="s">
        <v>81</v>
      </c>
      <c r="B437" t="s">
        <v>82</v>
      </c>
      <c r="C437" t="s">
        <v>73</v>
      </c>
      <c r="D437" t="s">
        <v>77</v>
      </c>
      <c r="E437" t="s">
        <v>83</v>
      </c>
      <c r="F437" t="s">
        <v>75</v>
      </c>
      <c r="G437" t="s">
        <v>84</v>
      </c>
      <c r="H437" t="s">
        <v>74</v>
      </c>
    </row>
    <row r="438" spans="1:8" x14ac:dyDescent="0.3">
      <c r="A438" s="12" t="str">
        <f>B410</f>
        <v>transport, Motorbike, electric, &gt;35kW, 2040, label-certified electricity</v>
      </c>
      <c r="B438" s="12">
        <v>1</v>
      </c>
      <c r="C438" s="12" t="str">
        <f>B411</f>
        <v>CH</v>
      </c>
      <c r="D438" s="12" t="s">
        <v>172</v>
      </c>
      <c r="E438" s="12"/>
      <c r="F438" s="12" t="s">
        <v>85</v>
      </c>
      <c r="G438" s="12" t="s">
        <v>86</v>
      </c>
      <c r="H438" s="12" t="str">
        <f>B416</f>
        <v>transport, Motorbike, electric, &gt;35kW</v>
      </c>
    </row>
    <row r="439" spans="1:8" x14ac:dyDescent="0.3">
      <c r="A439" s="12" t="str">
        <f>B412&amp;", "&amp;B414</f>
        <v>Motorbike, electric, &gt;35kW, 2040</v>
      </c>
      <c r="B439" s="12">
        <f>1/B420</f>
        <v>1.6103059581320449E-5</v>
      </c>
      <c r="C439" s="12" t="str">
        <f>B411</f>
        <v>CH</v>
      </c>
      <c r="D439" s="12" t="s">
        <v>77</v>
      </c>
      <c r="E439" s="12"/>
      <c r="F439" s="12" t="s">
        <v>91</v>
      </c>
      <c r="G439" s="12"/>
      <c r="H439" s="12" t="str">
        <f>RIGHT(H438,LEN(H438)-11)</f>
        <v>Motorbike, electric, &gt;35kW</v>
      </c>
    </row>
    <row r="440" spans="1:8" x14ac:dyDescent="0.3">
      <c r="A440" s="12" t="str">
        <f>INDEX('ei names mapping'!$B$4:$R$33,MATCH(B412,'ei names mapping'!$A$4:$A$33,0),MATCH(G440,'ei names mapping'!$B$3:$R$3,0))</f>
        <v>road maintenance</v>
      </c>
      <c r="B440" s="16">
        <f>INDEX('vehicles specifications'!$B$3:$CK$86,MATCH(B415,'vehicles specifications'!$A$3:$A$86,0),MATCH(G440,'vehicles specifications'!$B$2:$CK$2,0))*INDEX('ei names mapping'!$B$137:$BK$220,MATCH(B415,'ei names mapping'!$A$137:$A$220,0),MATCH(G440,'ei names mapping'!$B$136:$BK$136,0))</f>
        <v>1.2899999999999999E-3</v>
      </c>
      <c r="C440" s="12" t="str">
        <f>INDEX('ei names mapping'!$B$38:$R$67,MATCH(B412,'ei names mapping'!$A$4:$A$33,0),MATCH(G440,'ei names mapping'!$B$3:$R$3,0))</f>
        <v>CH</v>
      </c>
      <c r="D440" s="12" t="str">
        <f>INDEX('ei names mapping'!$B$104:$BK$133,MATCH(B412,'ei names mapping'!$A$4:$A$33,0),MATCH(G440,'ei names mapping'!$B$3:$BK$3,0))</f>
        <v>meter-year</v>
      </c>
      <c r="E440" s="12"/>
      <c r="F440" s="12" t="s">
        <v>91</v>
      </c>
      <c r="G440" t="s">
        <v>117</v>
      </c>
      <c r="H440" s="12" t="str">
        <f>INDEX('ei names mapping'!$B$71:$BK$100,MATCH(B412,'ei names mapping'!$A$4:$A$33,0),MATCH(G440,'ei names mapping'!$B$3:$BK$3,0))</f>
        <v>road maintenance</v>
      </c>
    </row>
    <row r="441" spans="1:8" x14ac:dyDescent="0.3">
      <c r="A441" s="12" t="s">
        <v>114</v>
      </c>
      <c r="B441" s="14">
        <f>INDEX('vehicles specifications'!$B$3:$CK$86,MATCH(B415,'vehicles specifications'!$A$3:$A$86,0),MATCH(G441,'vehicles specifications'!$B$2:$CK$2,0))*INDEX('ei names mapping'!$B$137:$BK$220,MATCH(B415,'ei names mapping'!$A$137:$A$220,0),MATCH(G441,'ei names mapping'!$B$136:$BK$136,0))</f>
        <v>8.3945834198593472E-2</v>
      </c>
      <c r="C441" s="12" t="str">
        <f>INDEX('ei names mapping'!$B$38:$R$67,MATCH($B$3,'ei names mapping'!$A$4:$A$33,0),MATCH(G441,'ei names mapping'!$B$3:$R$3,0))</f>
        <v>CH</v>
      </c>
      <c r="D441" s="12" t="str">
        <f>INDEX('ei names mapping'!$B$104:$R$133,MATCH($B$3,'ei names mapping'!$A$4:$A$33,0),MATCH(G441,'ei names mapping'!$B$3:$R$3,0))</f>
        <v>kilowatt hour</v>
      </c>
      <c r="E441" s="12"/>
      <c r="F441" s="12" t="s">
        <v>91</v>
      </c>
      <c r="G441" t="s">
        <v>28</v>
      </c>
      <c r="H441" s="12" t="s">
        <v>116</v>
      </c>
    </row>
    <row r="442" spans="1:8" x14ac:dyDescent="0.3">
      <c r="A442" s="12" t="str">
        <f>INDEX('ei names mapping'!$B$4:$R$33,MATCH(B412,'ei names mapping'!$A$4:$A$33,0),MATCH(G442,'ei names mapping'!$B$3:$R$3,0))</f>
        <v>market for maintenance, electric scooter, without battery</v>
      </c>
      <c r="B442" s="16">
        <f>INDEX('vehicles specifications'!$B$3:$CK$86,MATCH(B415,'vehicles specifications'!$A$3:$A$86,0),MATCH(G442,'vehicles specifications'!$B$2:$CK$2,0))*INDEX('ei names mapping'!$B$137:$BK$220,MATCH(B415,'ei names mapping'!$A$137:$A$220,0),MATCH(G442,'ei names mapping'!$B$136:$BK$136,0))</f>
        <v>1.9999999999999998E-5</v>
      </c>
      <c r="C442" s="12" t="str">
        <f>INDEX('ei names mapping'!$B$38:$BK$67,MATCH(B412,'ei names mapping'!$A$4:$A$33,0),MATCH(G442,'ei names mapping'!$B$3:$BK$3,0))</f>
        <v>GLO</v>
      </c>
      <c r="D442" s="12" t="str">
        <f>INDEX('ei names mapping'!$B$104:$BK$133,MATCH(B412,'ei names mapping'!$A$4:$A$33,0),MATCH(G442,'ei names mapping'!$B$3:$BK$3,0))</f>
        <v>unit</v>
      </c>
      <c r="F442" s="12" t="s">
        <v>91</v>
      </c>
      <c r="G442" s="12" t="s">
        <v>123</v>
      </c>
      <c r="H442" s="12" t="str">
        <f>INDEX('ei names mapping'!$B$71:$BK$100,MATCH(B412,'ei names mapping'!$A$4:$A$33,0),MATCH(G442,'ei names mapping'!$B$3:$BK$3,0))</f>
        <v>maintenance, electric scooter, without battery</v>
      </c>
    </row>
    <row r="443" spans="1:8" s="21" customFormat="1" x14ac:dyDescent="0.3">
      <c r="A443" s="12" t="str">
        <f>INDEX('ei names mapping'!$B$4:$R$33,MATCH(B412,'ei names mapping'!$A$4:$A$33,0),MATCH(G443,'ei names mapping'!$B$3:$R$3,0))</f>
        <v>road construction</v>
      </c>
      <c r="B443" s="16">
        <f>INDEX('vehicles specifications'!$B$3:$CK$86,MATCH(B415,'vehicles specifications'!$A$3:$A$86,0),MATCH(G443,'vehicles specifications'!$B$2:$CK$2,0))*INDEX('ei names mapping'!$B$137:$BK$220,MATCH(B415,'ei names mapping'!$A$137:$A$220,0),MATCH(G443,'ei names mapping'!$B$136:$BK$136,0))</f>
        <v>1.7725833E-4</v>
      </c>
      <c r="C443" s="12" t="str">
        <f>INDEX('ei names mapping'!$B$38:$R$67,MATCH(B412,'ei names mapping'!$A$4:$A$33,0),MATCH(G443,'ei names mapping'!$B$3:$R$3,0))</f>
        <v>CH</v>
      </c>
      <c r="D443" s="12" t="str">
        <f>INDEX('ei names mapping'!$B$104:$R$133,MATCH(B412,'ei names mapping'!$A$104:$A$133,0),MATCH(G443,'ei names mapping'!$B$3:$R$3,0))</f>
        <v>meter-year</v>
      </c>
      <c r="E443" s="12"/>
      <c r="F443" s="12" t="s">
        <v>91</v>
      </c>
      <c r="G443" s="21" t="s">
        <v>108</v>
      </c>
      <c r="H443" s="12" t="str">
        <f>INDEX('ei names mapping'!$B$71:$R$100,MATCH(B412,'ei names mapping'!$A$4:$A$33,0),MATCH(G443,'ei names mapping'!$B$3:$R$3,0))</f>
        <v>road</v>
      </c>
    </row>
    <row r="444" spans="1:8" x14ac:dyDescent="0.3">
      <c r="A444" s="12" t="str">
        <f>INDEX('ei names mapping'!$B$4:$BK$33,MATCH(B412,'ei names mapping'!$A$4:$A$33,0),MATCH(G444,'ei names mapping'!$B$3:$BK$3,0))</f>
        <v>treatment of road wear emissions, passenger car</v>
      </c>
      <c r="B444" s="16">
        <f>INDEX('vehicles specifications'!$B$3:$CK$86,MATCH(B415,'vehicles specifications'!$A$3:$A$86,0),MATCH(G444,'vehicles specifications'!$B$2:$CK$2,0))*INDEX('ei names mapping'!$B$137:$BK$220,MATCH(B415,'ei names mapping'!$A$137:$A$220,0),MATCH(G444,'ei names mapping'!$B$136:$BK$136,0))</f>
        <v>-6.0000000000000002E-6</v>
      </c>
      <c r="C444" s="12" t="str">
        <f>INDEX('ei names mapping'!$B$38:$BK$67,MATCH(B412,'ei names mapping'!$A$4:$A$33,0),MATCH(G444,'ei names mapping'!$B$3:$BK$3,0))</f>
        <v>RER</v>
      </c>
      <c r="D444" s="12" t="str">
        <f>INDEX('ei names mapping'!$B$104:$BK$133,MATCH(B412,'ei names mapping'!$A$4:$A$33,0),MATCH(G444,'ei names mapping'!$B$3:$BK$3,0))</f>
        <v>kilogram</v>
      </c>
      <c r="E444" s="12"/>
      <c r="F444" s="12" t="s">
        <v>91</v>
      </c>
      <c r="G444" t="s">
        <v>29</v>
      </c>
      <c r="H444" s="12" t="str">
        <f>INDEX('ei names mapping'!$B$71:$BK$100,MATCH(B412,'ei names mapping'!$A$4:$A$33,0),MATCH(G444,'ei names mapping'!$B$3:$BK$3,0))</f>
        <v>road wear emissions, passenger car</v>
      </c>
    </row>
    <row r="445" spans="1:8" x14ac:dyDescent="0.3">
      <c r="A445" s="12" t="str">
        <f>INDEX('ei names mapping'!$B$4:$BK$33,MATCH(B412,'ei names mapping'!$A$4:$A$33,0),MATCH(G445,'ei names mapping'!$B$3:$BK$3,0))</f>
        <v>treatment of tyre wear emissions, passenger car</v>
      </c>
      <c r="B445" s="16">
        <f>INDEX('vehicles specifications'!$B$3:$CK$86,MATCH(B415,'vehicles specifications'!$A$3:$A$86,0),MATCH(G445,'vehicles specifications'!$B$2:$CK$2,0))*INDEX('ei names mapping'!$B$137:$BK$220,MATCH(B415,'ei names mapping'!$A$137:$A$220,0),MATCH(G445,'ei names mapping'!$B$136:$BK$136,0))</f>
        <v>-7.3669999999999991E-6</v>
      </c>
      <c r="C445" s="12" t="str">
        <f>INDEX('ei names mapping'!$B$38:$BK$67,MATCH(B412,'ei names mapping'!$A$4:$A$33,0),MATCH(G445,'ei names mapping'!$B$3:$BK$3,0))</f>
        <v>RER</v>
      </c>
      <c r="D445" s="12" t="str">
        <f>INDEX('ei names mapping'!$B$104:$BK$133,MATCH(B412,'ei names mapping'!$A$4:$A$33,0),MATCH(G445,'ei names mapping'!$B$3:$BK$3,0))</f>
        <v>kilogram</v>
      </c>
      <c r="E445" s="12"/>
      <c r="F445" s="12" t="s">
        <v>91</v>
      </c>
      <c r="G445" t="s">
        <v>30</v>
      </c>
      <c r="H445" s="12" t="str">
        <f>INDEX('ei names mapping'!$B$71:$BK$100,MATCH(B412,'ei names mapping'!$A$4:$A$33,0),MATCH(G445,'ei names mapping'!$B$3:$BK$3,0))</f>
        <v>tyre wear emissions, passenger car</v>
      </c>
    </row>
    <row r="446" spans="1:8" x14ac:dyDescent="0.3">
      <c r="A446" s="12" t="str">
        <f>INDEX('ei names mapping'!$B$4:$BK$33,MATCH(B412,'ei names mapping'!$A$4:$A$33,0),MATCH(G446,'ei names mapping'!$B$3:$BK$3,0))</f>
        <v>treatment of brake wear emissions, passenger car</v>
      </c>
      <c r="B446" s="16">
        <f>INDEX('vehicles specifications'!$B$3:$CK$86,MATCH(B415,'vehicles specifications'!$A$3:$A$86,0),MATCH(G446,'vehicles specifications'!$B$2:$CK$2,0))*INDEX('ei names mapping'!$B$137:$BK$220,MATCH(B415,'ei names mapping'!$A$137:$A$220,0),MATCH(G446,'ei names mapping'!$B$136:$BK$136,0))</f>
        <v>-4.1749999999999998E-6</v>
      </c>
      <c r="C446" s="12" t="str">
        <f>INDEX('ei names mapping'!$B$38:$BK$67,MATCH(B412,'ei names mapping'!$A$4:$A$33,0),MATCH(G446,'ei names mapping'!$B$3:$BK$3,0))</f>
        <v>RER</v>
      </c>
      <c r="D446" s="12" t="str">
        <f>INDEX('ei names mapping'!$B$104:$BK$133,MATCH(B412,'ei names mapping'!$A$4:$A$33,0),MATCH(G446,'ei names mapping'!$B$3:$BK$3,0))</f>
        <v>kilogram</v>
      </c>
      <c r="E446" s="12"/>
      <c r="F446" s="12" t="s">
        <v>91</v>
      </c>
      <c r="G446" t="s">
        <v>31</v>
      </c>
      <c r="H446" s="12" t="str">
        <f>INDEX('ei names mapping'!$B$71:$BK$100,MATCH(B412,'ei names mapping'!$A$4:$A$33,0),MATCH(G446,'ei names mapping'!$B$3:$BK$3,0))</f>
        <v>brake wear emissions, passenger car</v>
      </c>
    </row>
    <row r="448" spans="1:8" ht="15.6" x14ac:dyDescent="0.3">
      <c r="A448" s="11" t="s">
        <v>72</v>
      </c>
      <c r="B448" s="9" t="str">
        <f>"transport, "&amp;B450&amp;", "&amp;B452&amp;", label-certified electricity"</f>
        <v>transport, Motorbike, electric, &gt;35kW, 2050, label-certified electricity</v>
      </c>
    </row>
    <row r="449" spans="1:2" x14ac:dyDescent="0.3">
      <c r="A449" t="s">
        <v>73</v>
      </c>
      <c r="B449" t="s">
        <v>37</v>
      </c>
    </row>
    <row r="450" spans="1:2" x14ac:dyDescent="0.3">
      <c r="A450" t="s">
        <v>87</v>
      </c>
      <c r="B450" t="s">
        <v>523</v>
      </c>
    </row>
    <row r="451" spans="1:2" x14ac:dyDescent="0.3">
      <c r="A451" t="s">
        <v>88</v>
      </c>
      <c r="B451" s="12"/>
    </row>
    <row r="452" spans="1:2" x14ac:dyDescent="0.3">
      <c r="A452" t="s">
        <v>89</v>
      </c>
      <c r="B452" s="12">
        <v>2050</v>
      </c>
    </row>
    <row r="453" spans="1:2" x14ac:dyDescent="0.3">
      <c r="A453" t="s">
        <v>131</v>
      </c>
      <c r="B453" s="12" t="str">
        <f>B450&amp;" - "&amp;B452&amp;" - "&amp;B449</f>
        <v>Motorbike, electric, &gt;35kW - 2050 - CH</v>
      </c>
    </row>
    <row r="454" spans="1:2" x14ac:dyDescent="0.3">
      <c r="A454" t="s">
        <v>74</v>
      </c>
      <c r="B454" s="12" t="str">
        <f>"transport, "&amp;B450</f>
        <v>transport, Motorbike, electric, &gt;35kW</v>
      </c>
    </row>
    <row r="455" spans="1:2" x14ac:dyDescent="0.3">
      <c r="A455" t="s">
        <v>75</v>
      </c>
      <c r="B455" t="s">
        <v>76</v>
      </c>
    </row>
    <row r="456" spans="1:2" x14ac:dyDescent="0.3">
      <c r="A456" t="s">
        <v>77</v>
      </c>
      <c r="B456" t="s">
        <v>172</v>
      </c>
    </row>
    <row r="457" spans="1:2" x14ac:dyDescent="0.3">
      <c r="A457" t="s">
        <v>79</v>
      </c>
      <c r="B457" t="s">
        <v>90</v>
      </c>
    </row>
    <row r="458" spans="1:2" x14ac:dyDescent="0.3">
      <c r="A458" t="s">
        <v>132</v>
      </c>
      <c r="B458">
        <f>INDEX('vehicles specifications'!$B$3:$CK$86,MATCH(B453,'vehicles specifications'!$A$3:$A$86,0),MATCH("Lifetime [km]",'vehicles specifications'!$B$2:$CK$2,0))</f>
        <v>62100</v>
      </c>
    </row>
    <row r="459" spans="1:2" x14ac:dyDescent="0.3">
      <c r="A459" t="s">
        <v>133</v>
      </c>
      <c r="B459">
        <f>INDEX('vehicles specifications'!$B$3:$CK$86,MATCH(B453,'vehicles specifications'!$A$3:$A$86,0),MATCH("Passengers [unit]",'vehicles specifications'!$B$2:$CK$2,0))</f>
        <v>1.1000000000000001</v>
      </c>
    </row>
    <row r="460" spans="1:2" x14ac:dyDescent="0.3">
      <c r="A460" t="s">
        <v>134</v>
      </c>
      <c r="B460">
        <f>INDEX('vehicles specifications'!$B$3:$CK$86,MATCH(B453,'vehicles specifications'!$A$3:$A$86,0),MATCH("Servicing [unit]",'vehicles specifications'!$B$2:$CK$2,0))</f>
        <v>1.242</v>
      </c>
    </row>
    <row r="461" spans="1:2" x14ac:dyDescent="0.3">
      <c r="A461" t="s">
        <v>135</v>
      </c>
      <c r="B461">
        <f>INDEX('vehicles specifications'!$B$3:$CK$86,MATCH(B453,'vehicles specifications'!$A$3:$A$86,0),MATCH("Energy battery replacement [unit]",'vehicles specifications'!$B$2:$CK$2,0))</f>
        <v>0</v>
      </c>
    </row>
    <row r="462" spans="1:2" x14ac:dyDescent="0.3">
      <c r="A462" t="s">
        <v>136</v>
      </c>
      <c r="B462">
        <f>INDEX('vehicles specifications'!$B$3:$CK$86,MATCH(B453,'vehicles specifications'!$A$3:$A$86,0),MATCH("Annual kilometers [km]",'vehicles specifications'!$B$2:$CK$2,0))</f>
        <v>4690</v>
      </c>
    </row>
    <row r="463" spans="1:2" x14ac:dyDescent="0.3">
      <c r="A463" t="s">
        <v>137</v>
      </c>
      <c r="B463" s="2">
        <f>INDEX('vehicles specifications'!$B$3:$CK$86,MATCH(B453,'vehicles specifications'!$A$3:$A$86,0),MATCH("Curb mass [kg]",'vehicles specifications'!$B$2:$CK$2,0))</f>
        <v>246.66999999999996</v>
      </c>
    </row>
    <row r="464" spans="1:2" x14ac:dyDescent="0.3">
      <c r="A464" t="s">
        <v>138</v>
      </c>
      <c r="B464">
        <f>INDEX('vehicles specifications'!$B$3:$CK$86,MATCH(B453,'vehicles specifications'!$A$3:$A$86,0),MATCH("Power [kW]",'vehicles specifications'!$B$2:$CK$2,0))</f>
        <v>49</v>
      </c>
    </row>
    <row r="465" spans="1:8" x14ac:dyDescent="0.3">
      <c r="A465" t="s">
        <v>139</v>
      </c>
      <c r="B465">
        <f>INDEX('vehicles specifications'!$B$3:$CK$86,MATCH(B453,'vehicles specifications'!$A$3:$A$86,0),MATCH("Energy battery mass [kg]",'vehicles specifications'!$B$2:$CK$2,0))</f>
        <v>106.8</v>
      </c>
    </row>
    <row r="466" spans="1:8" x14ac:dyDescent="0.3">
      <c r="A466" t="s">
        <v>140</v>
      </c>
      <c r="B466" s="21">
        <f>INDEX('vehicles specifications'!$B$3:$CK$86,MATCH(B453,'vehicles specifications'!$A$3:$A$86,0),MATCH("Electric energy stored [kWh]",'vehicles specifications'!$B$2:$CK$2,0))</f>
        <v>44.5</v>
      </c>
    </row>
    <row r="467" spans="1:8" s="21" customFormat="1" x14ac:dyDescent="0.3">
      <c r="A467" s="21" t="s">
        <v>654</v>
      </c>
      <c r="B467" s="21">
        <f>INDEX('vehicles specifications'!$B$3:$CK$86,MATCH(B453,'vehicles specifications'!$A$3:$A$86,0),MATCH("Electric energy available [kWh]",'vehicles specifications'!$B$2:$CK$2,0))</f>
        <v>35.6</v>
      </c>
    </row>
    <row r="468" spans="1:8" x14ac:dyDescent="0.3">
      <c r="A468" t="s">
        <v>143</v>
      </c>
      <c r="B468" s="2">
        <f>INDEX('vehicles specifications'!$B$3:$CK$86,MATCH(B453,'vehicles specifications'!$A$3:$A$86,0),MATCH("Oxydation energy stored [kWh]",'vehicles specifications'!$B$2:$CK$2,0))</f>
        <v>0</v>
      </c>
    </row>
    <row r="469" spans="1:8" x14ac:dyDescent="0.3">
      <c r="A469" t="s">
        <v>145</v>
      </c>
      <c r="B469">
        <f>INDEX('vehicles specifications'!$B$3:$CK$86,MATCH(B453,'vehicles specifications'!$A$3:$A$86,0),MATCH("Fuel mass [kg]",'vehicles specifications'!$B$2:$CK$2,0))</f>
        <v>0</v>
      </c>
    </row>
    <row r="470" spans="1:8" x14ac:dyDescent="0.3">
      <c r="A470" t="s">
        <v>141</v>
      </c>
      <c r="B470" s="2">
        <f>INDEX('vehicles specifications'!$B$3:$CK$86,MATCH(B453,'vehicles specifications'!$A$3:$A$86,0),MATCH("Range [km]",'vehicles specifications'!$B$2:$CK$2,0))</f>
        <v>466.49128421736663</v>
      </c>
    </row>
    <row r="471" spans="1:8" x14ac:dyDescent="0.3">
      <c r="A471" t="s">
        <v>142</v>
      </c>
      <c r="B471" t="str">
        <f>INDEX('vehicles specifications'!$B$3:$CK$86,MATCH(B453,'vehicles specifications'!$A$3:$A$86,0),MATCH("Emission standard",'vehicles specifications'!$B$2:$CK$2,0))</f>
        <v>None</v>
      </c>
    </row>
    <row r="472" spans="1:8" x14ac:dyDescent="0.3">
      <c r="A472" t="s">
        <v>144</v>
      </c>
      <c r="B472" s="6">
        <f>INDEX('vehicles specifications'!$B$3:$CK$86,MATCH(B453,'vehicles specifications'!$A$3:$A$86,0),MATCH("Lightweighting rate [%]",'vehicles specifications'!$B$2:$CK$2,0))</f>
        <v>7.0000000000000007E-2</v>
      </c>
    </row>
    <row r="473" spans="1:8" x14ac:dyDescent="0.3">
      <c r="A473" t="s">
        <v>84</v>
      </c>
      <c r="B473" s="21" t="str">
        <f>"Power: "&amp;B464&amp;" kW. Lifetime: "&amp;B458&amp;" km. Annual kilometers: "&amp;B462&amp;" km. Number of passengers: "&amp;B459&amp;". Curb mass: "&amp;ROUND(B463,1)&amp;" kg. Lightweighting of glider: "&amp;ROUND(B472*100,0)&amp;"%. Emission standard: "&amp;B471&amp;". Service visits throughout lifetime: "&amp;ROUND(B460,1)&amp;". Range: "&amp;ROUND(B470,0)&amp;" km. Battery capacity: "&amp;ROUND(B466,1)&amp;" kWh. Available battery capacity: "&amp;B467&amp;" kWh. Battery mass: "&amp;ROUND(B465,1)&amp; " kg. Battery replacement throughout lifetime: "&amp;ROUND(B461,1)&amp;". Fuel tank capacity: "&amp;ROUND(B468,1)&amp;" kWh. Fuel mass: "&amp;ROUND(B469,1)&amp;" kg. Documentation: "&amp;Readmefirst!$B$2&amp;", "&amp;Readmefirst!$B$3&amp;". "&amp;'lci-kick scooter'!B416</f>
        <v xml:space="preserve">Power: 49 kW. Lifetime: 62100 km. Annual kilometers: 4690 km. Number of passengers: 1.1. Curb mass: 246.7 kg. Lightweighting of glider: 7%. Emission standard: None. Service visits throughout lifetime: 1.2. Range: 466 km. Battery capacity: 44.5 kWh. Available battery capacity: 35.6 kWh. Battery mass: 106.8 kg. Battery replacement throughout lifetime: 0. Fuel tank capacity: 0 kWh. Fuel mass: 0 kg. Documentation: 2021 UVEK life-cycle inventories update of on-road vehicles, Sacchi R. (PSI), Bauer C. (PSI), 2021. </v>
      </c>
    </row>
    <row r="474" spans="1:8" ht="15.6" x14ac:dyDescent="0.3">
      <c r="A474" s="11" t="s">
        <v>80</v>
      </c>
    </row>
    <row r="475" spans="1:8" x14ac:dyDescent="0.3">
      <c r="A475" t="s">
        <v>81</v>
      </c>
      <c r="B475" t="s">
        <v>82</v>
      </c>
      <c r="C475" t="s">
        <v>73</v>
      </c>
      <c r="D475" t="s">
        <v>77</v>
      </c>
      <c r="E475" t="s">
        <v>83</v>
      </c>
      <c r="F475" t="s">
        <v>75</v>
      </c>
      <c r="G475" t="s">
        <v>84</v>
      </c>
      <c r="H475" t="s">
        <v>74</v>
      </c>
    </row>
    <row r="476" spans="1:8" x14ac:dyDescent="0.3">
      <c r="A476" s="12" t="str">
        <f>B448</f>
        <v>transport, Motorbike, electric, &gt;35kW, 2050, label-certified electricity</v>
      </c>
      <c r="B476" s="12">
        <v>1</v>
      </c>
      <c r="C476" s="12" t="str">
        <f>B449</f>
        <v>CH</v>
      </c>
      <c r="D476" s="12" t="s">
        <v>172</v>
      </c>
      <c r="E476" s="12"/>
      <c r="F476" s="12" t="s">
        <v>85</v>
      </c>
      <c r="G476" s="12" t="s">
        <v>86</v>
      </c>
      <c r="H476" s="12" t="str">
        <f>B454</f>
        <v>transport, Motorbike, electric, &gt;35kW</v>
      </c>
    </row>
    <row r="477" spans="1:8" x14ac:dyDescent="0.3">
      <c r="A477" s="12" t="str">
        <f>B450&amp;", "&amp;B452</f>
        <v>Motorbike, electric, &gt;35kW, 2050</v>
      </c>
      <c r="B477" s="12">
        <f>1/B458</f>
        <v>1.6103059581320449E-5</v>
      </c>
      <c r="C477" s="12" t="str">
        <f>B449</f>
        <v>CH</v>
      </c>
      <c r="D477" s="12" t="s">
        <v>77</v>
      </c>
      <c r="E477" s="12"/>
      <c r="F477" s="12" t="s">
        <v>91</v>
      </c>
      <c r="G477" s="12"/>
      <c r="H477" s="12" t="str">
        <f>RIGHT(H476,LEN(H476)-11)</f>
        <v>Motorbike, electric, &gt;35kW</v>
      </c>
    </row>
    <row r="478" spans="1:8" x14ac:dyDescent="0.3">
      <c r="A478" s="12" t="str">
        <f>INDEX('ei names mapping'!$B$4:$R$33,MATCH(B450,'ei names mapping'!$A$4:$A$33,0),MATCH(G478,'ei names mapping'!$B$3:$R$3,0))</f>
        <v>road maintenance</v>
      </c>
      <c r="B478" s="16">
        <f>INDEX('vehicles specifications'!$B$3:$CK$86,MATCH(B453,'vehicles specifications'!$A$3:$A$86,0),MATCH(G478,'vehicles specifications'!$B$2:$CK$2,0))*INDEX('ei names mapping'!$B$137:$BK$220,MATCH(B453,'ei names mapping'!$A$137:$A$220,0),MATCH(G478,'ei names mapping'!$B$136:$BK$136,0))</f>
        <v>1.2899999999999999E-3</v>
      </c>
      <c r="C478" s="12" t="str">
        <f>INDEX('ei names mapping'!$B$38:$R$67,MATCH(B450,'ei names mapping'!$A$4:$A$33,0),MATCH(G478,'ei names mapping'!$B$3:$R$3,0))</f>
        <v>CH</v>
      </c>
      <c r="D478" s="12" t="str">
        <f>INDEX('ei names mapping'!$B$104:$BK$133,MATCH(B450,'ei names mapping'!$A$4:$A$33,0),MATCH(G478,'ei names mapping'!$B$3:$BK$3,0))</f>
        <v>meter-year</v>
      </c>
      <c r="E478" s="12"/>
      <c r="F478" s="12" t="s">
        <v>91</v>
      </c>
      <c r="G478" t="s">
        <v>117</v>
      </c>
      <c r="H478" s="12" t="str">
        <f>INDEX('ei names mapping'!$B$71:$BK$100,MATCH(B450,'ei names mapping'!$A$4:$A$33,0),MATCH(G478,'ei names mapping'!$B$3:$BK$3,0))</f>
        <v>road maintenance</v>
      </c>
    </row>
    <row r="479" spans="1:8" x14ac:dyDescent="0.3">
      <c r="A479" s="12" t="s">
        <v>114</v>
      </c>
      <c r="B479" s="14">
        <f>INDEX('vehicles specifications'!$B$3:$CK$86,MATCH(B453,'vehicles specifications'!$A$3:$A$86,0),MATCH(G479,'vehicles specifications'!$B$2:$CK$2,0))*INDEX('ei names mapping'!$B$137:$BK$220,MATCH(B453,'ei names mapping'!$A$137:$A$220,0),MATCH(G479,'ei names mapping'!$B$136:$BK$136,0))</f>
        <v>8.3945834198593472E-2</v>
      </c>
      <c r="C479" s="12" t="str">
        <f>INDEX('ei names mapping'!$B$38:$R$67,MATCH($B$3,'ei names mapping'!$A$4:$A$33,0),MATCH(G479,'ei names mapping'!$B$3:$R$3,0))</f>
        <v>CH</v>
      </c>
      <c r="D479" s="12" t="str">
        <f>INDEX('ei names mapping'!$B$104:$R$133,MATCH($B$3,'ei names mapping'!$A$4:$A$33,0),MATCH(G479,'ei names mapping'!$B$3:$R$3,0))</f>
        <v>kilowatt hour</v>
      </c>
      <c r="E479" s="12"/>
      <c r="F479" s="12" t="s">
        <v>91</v>
      </c>
      <c r="G479" t="s">
        <v>28</v>
      </c>
      <c r="H479" s="12" t="s">
        <v>116</v>
      </c>
    </row>
    <row r="480" spans="1:8" x14ac:dyDescent="0.3">
      <c r="A480" s="12" t="str">
        <f>INDEX('ei names mapping'!$B$4:$R$33,MATCH(B450,'ei names mapping'!$A$4:$A$33,0),MATCH(G480,'ei names mapping'!$B$3:$R$3,0))</f>
        <v>market for maintenance, electric scooter, without battery</v>
      </c>
      <c r="B480" s="16">
        <f>INDEX('vehicles specifications'!$B$3:$CK$86,MATCH(B453,'vehicles specifications'!$A$3:$A$86,0),MATCH(G480,'vehicles specifications'!$B$2:$CK$2,0))*INDEX('ei names mapping'!$B$137:$BK$220,MATCH(B453,'ei names mapping'!$A$137:$A$220,0),MATCH(G480,'ei names mapping'!$B$136:$BK$136,0))</f>
        <v>1.9999999999999998E-5</v>
      </c>
      <c r="C480" s="12" t="str">
        <f>INDEX('ei names mapping'!$B$38:$BK$67,MATCH(B450,'ei names mapping'!$A$4:$A$33,0),MATCH(G480,'ei names mapping'!$B$3:$BK$3,0))</f>
        <v>GLO</v>
      </c>
      <c r="D480" s="12" t="str">
        <f>INDEX('ei names mapping'!$B$104:$BK$133,MATCH(B450,'ei names mapping'!$A$4:$A$33,0),MATCH(G480,'ei names mapping'!$B$3:$BK$3,0))</f>
        <v>unit</v>
      </c>
      <c r="F480" s="12" t="s">
        <v>91</v>
      </c>
      <c r="G480" s="12" t="s">
        <v>123</v>
      </c>
      <c r="H480" s="12" t="str">
        <f>INDEX('ei names mapping'!$B$71:$BK$100,MATCH(B450,'ei names mapping'!$A$4:$A$33,0),MATCH(G480,'ei names mapping'!$B$3:$BK$3,0))</f>
        <v>maintenance, electric scooter, without battery</v>
      </c>
    </row>
    <row r="481" spans="1:8" s="21" customFormat="1" x14ac:dyDescent="0.3">
      <c r="A481" s="12" t="str">
        <f>INDEX('ei names mapping'!$B$4:$R$33,MATCH(B450,'ei names mapping'!$A$4:$A$33,0),MATCH(G481,'ei names mapping'!$B$3:$R$3,0))</f>
        <v>road construction</v>
      </c>
      <c r="B481" s="16">
        <f>INDEX('vehicles specifications'!$B$3:$CK$86,MATCH(B453,'vehicles specifications'!$A$3:$A$86,0),MATCH(G481,'vehicles specifications'!$B$2:$CK$2,0))*INDEX('ei names mapping'!$B$137:$BK$220,MATCH(B453,'ei names mapping'!$A$137:$A$220,0),MATCH(G481,'ei names mapping'!$B$136:$BK$136,0))</f>
        <v>1.7703278999999997E-4</v>
      </c>
      <c r="C481" s="12" t="str">
        <f>INDEX('ei names mapping'!$B$38:$R$67,MATCH(B450,'ei names mapping'!$A$4:$A$33,0),MATCH(G481,'ei names mapping'!$B$3:$R$3,0))</f>
        <v>CH</v>
      </c>
      <c r="D481" s="12" t="str">
        <f>INDEX('ei names mapping'!$B$104:$R$133,MATCH(B450,'ei names mapping'!$A$104:$A$133,0),MATCH(G481,'ei names mapping'!$B$3:$R$3,0))</f>
        <v>meter-year</v>
      </c>
      <c r="E481" s="12"/>
      <c r="F481" s="12" t="s">
        <v>91</v>
      </c>
      <c r="G481" s="21" t="s">
        <v>108</v>
      </c>
      <c r="H481" s="12" t="str">
        <f>INDEX('ei names mapping'!$B$71:$R$100,MATCH(B450,'ei names mapping'!$A$4:$A$33,0),MATCH(G481,'ei names mapping'!$B$3:$R$3,0))</f>
        <v>road</v>
      </c>
    </row>
    <row r="482" spans="1:8" x14ac:dyDescent="0.3">
      <c r="A482" s="12" t="str">
        <f>INDEX('ei names mapping'!$B$4:$BK$33,MATCH(B450,'ei names mapping'!$A$4:$A$33,0),MATCH(G482,'ei names mapping'!$B$3:$BK$3,0))</f>
        <v>treatment of road wear emissions, passenger car</v>
      </c>
      <c r="B482" s="16">
        <f>INDEX('vehicles specifications'!$B$3:$CK$86,MATCH(B453,'vehicles specifications'!$A$3:$A$86,0),MATCH(G482,'vehicles specifications'!$B$2:$CK$2,0))*INDEX('ei names mapping'!$B$137:$BK$220,MATCH(B453,'ei names mapping'!$A$137:$A$220,0),MATCH(G482,'ei names mapping'!$B$136:$BK$136,0))</f>
        <v>-6.0000000000000002E-6</v>
      </c>
      <c r="C482" s="12" t="str">
        <f>INDEX('ei names mapping'!$B$38:$BK$67,MATCH(B450,'ei names mapping'!$A$4:$A$33,0),MATCH(G482,'ei names mapping'!$B$3:$BK$3,0))</f>
        <v>RER</v>
      </c>
      <c r="D482" s="12" t="str">
        <f>INDEX('ei names mapping'!$B$104:$BK$133,MATCH(B450,'ei names mapping'!$A$4:$A$33,0),MATCH(G482,'ei names mapping'!$B$3:$BK$3,0))</f>
        <v>kilogram</v>
      </c>
      <c r="E482" s="12"/>
      <c r="F482" s="12" t="s">
        <v>91</v>
      </c>
      <c r="G482" t="s">
        <v>29</v>
      </c>
      <c r="H482" s="12" t="str">
        <f>INDEX('ei names mapping'!$B$71:$BK$100,MATCH(B450,'ei names mapping'!$A$4:$A$33,0),MATCH(G482,'ei names mapping'!$B$3:$BK$3,0))</f>
        <v>road wear emissions, passenger car</v>
      </c>
    </row>
    <row r="483" spans="1:8" x14ac:dyDescent="0.3">
      <c r="A483" s="12" t="str">
        <f>INDEX('ei names mapping'!$B$4:$BK$33,MATCH(B450,'ei names mapping'!$A$4:$A$33,0),MATCH(G483,'ei names mapping'!$B$3:$BK$3,0))</f>
        <v>treatment of tyre wear emissions, passenger car</v>
      </c>
      <c r="B483" s="16">
        <f>INDEX('vehicles specifications'!$B$3:$CK$86,MATCH(B453,'vehicles specifications'!$A$3:$A$86,0),MATCH(G483,'vehicles specifications'!$B$2:$CK$2,0))*INDEX('ei names mapping'!$B$137:$BK$220,MATCH(B453,'ei names mapping'!$A$137:$A$220,0),MATCH(G483,'ei names mapping'!$B$136:$BK$136,0))</f>
        <v>-7.3669999999999991E-6</v>
      </c>
      <c r="C483" s="12" t="str">
        <f>INDEX('ei names mapping'!$B$38:$BK$67,MATCH(B450,'ei names mapping'!$A$4:$A$33,0),MATCH(G483,'ei names mapping'!$B$3:$BK$3,0))</f>
        <v>RER</v>
      </c>
      <c r="D483" s="12" t="str">
        <f>INDEX('ei names mapping'!$B$104:$BK$133,MATCH(B450,'ei names mapping'!$A$4:$A$33,0),MATCH(G483,'ei names mapping'!$B$3:$BK$3,0))</f>
        <v>kilogram</v>
      </c>
      <c r="E483" s="12"/>
      <c r="F483" s="12" t="s">
        <v>91</v>
      </c>
      <c r="G483" t="s">
        <v>30</v>
      </c>
      <c r="H483" s="12" t="str">
        <f>INDEX('ei names mapping'!$B$71:$BK$100,MATCH(B450,'ei names mapping'!$A$4:$A$33,0),MATCH(G483,'ei names mapping'!$B$3:$BK$3,0))</f>
        <v>tyre wear emissions, passenger car</v>
      </c>
    </row>
    <row r="484" spans="1:8" x14ac:dyDescent="0.3">
      <c r="A484" s="12" t="str">
        <f>INDEX('ei names mapping'!$B$4:$BK$33,MATCH(B450,'ei names mapping'!$A$4:$A$33,0),MATCH(G484,'ei names mapping'!$B$3:$BK$3,0))</f>
        <v>treatment of brake wear emissions, passenger car</v>
      </c>
      <c r="B484" s="16">
        <f>INDEX('vehicles specifications'!$B$3:$CK$86,MATCH(B453,'vehicles specifications'!$A$3:$A$86,0),MATCH(G484,'vehicles specifications'!$B$2:$CK$2,0))*INDEX('ei names mapping'!$B$137:$BK$220,MATCH(B453,'ei names mapping'!$A$137:$A$220,0),MATCH(G484,'ei names mapping'!$B$136:$BK$136,0))</f>
        <v>-4.1749999999999998E-6</v>
      </c>
      <c r="C484" s="12" t="str">
        <f>INDEX('ei names mapping'!$B$38:$BK$67,MATCH(B450,'ei names mapping'!$A$4:$A$33,0),MATCH(G484,'ei names mapping'!$B$3:$BK$3,0))</f>
        <v>RER</v>
      </c>
      <c r="D484" s="12" t="str">
        <f>INDEX('ei names mapping'!$B$104:$BK$133,MATCH(B450,'ei names mapping'!$A$4:$A$33,0),MATCH(G484,'ei names mapping'!$B$3:$BK$3,0))</f>
        <v>kilogram</v>
      </c>
      <c r="E484" s="12"/>
      <c r="F484" s="12" t="s">
        <v>91</v>
      </c>
      <c r="G484" t="s">
        <v>31</v>
      </c>
      <c r="H484" s="12" t="str">
        <f>INDEX('ei names mapping'!$B$71:$BK$100,MATCH(B450,'ei names mapping'!$A$4:$A$33,0),MATCH(G484,'ei names mapping'!$B$3:$BK$3,0))</f>
        <v>brake wear emissions, passenger car</v>
      </c>
    </row>
    <row r="486" spans="1:8" ht="15.6" x14ac:dyDescent="0.3">
      <c r="A486" s="11"/>
      <c r="B486" s="9"/>
    </row>
    <row r="489" spans="1:8" x14ac:dyDescent="0.3">
      <c r="B489" s="12"/>
    </row>
    <row r="490" spans="1:8" x14ac:dyDescent="0.3">
      <c r="B490" s="12"/>
    </row>
    <row r="491" spans="1:8" x14ac:dyDescent="0.3">
      <c r="B491" s="12"/>
    </row>
    <row r="501" spans="1:2" x14ac:dyDescent="0.3">
      <c r="B501" s="2"/>
    </row>
    <row r="505" spans="1:2" x14ac:dyDescent="0.3">
      <c r="B505" s="2"/>
    </row>
    <row r="507" spans="1:2" x14ac:dyDescent="0.3">
      <c r="B507" s="2"/>
    </row>
    <row r="509" spans="1:2" x14ac:dyDescent="0.3">
      <c r="B509" s="6"/>
    </row>
    <row r="511" spans="1:2" ht="15.6" x14ac:dyDescent="0.3">
      <c r="A511" s="11"/>
    </row>
    <row r="513" spans="1:8" x14ac:dyDescent="0.3">
      <c r="A513" s="12"/>
      <c r="B513" s="12"/>
      <c r="C513" s="12"/>
      <c r="D513" s="12"/>
      <c r="E513" s="12"/>
      <c r="F513" s="12"/>
      <c r="G513" s="12"/>
      <c r="H513" s="12"/>
    </row>
    <row r="514" spans="1:8" x14ac:dyDescent="0.3">
      <c r="A514" s="12"/>
      <c r="B514" s="16"/>
      <c r="C514" s="12"/>
      <c r="D514" s="12"/>
      <c r="E514" s="12"/>
      <c r="F514" s="12"/>
      <c r="G514" s="12"/>
      <c r="H514" s="12"/>
    </row>
    <row r="515" spans="1:8" x14ac:dyDescent="0.3">
      <c r="A515" s="12"/>
      <c r="B515" s="16"/>
      <c r="C515" s="12"/>
      <c r="D515" s="12"/>
      <c r="E515" s="12"/>
      <c r="F515" s="12"/>
      <c r="H515" s="12"/>
    </row>
    <row r="516" spans="1:8" x14ac:dyDescent="0.3">
      <c r="A516" s="12"/>
      <c r="B516" s="16"/>
      <c r="C516" s="12"/>
      <c r="D516" s="12"/>
      <c r="E516" s="12"/>
      <c r="F516" s="12"/>
      <c r="H516" s="12"/>
    </row>
    <row r="517" spans="1:8" x14ac:dyDescent="0.3">
      <c r="A517" s="12"/>
      <c r="B517" s="16"/>
      <c r="C517" s="12"/>
      <c r="D517" s="12"/>
      <c r="E517" s="12"/>
      <c r="F517" s="12"/>
      <c r="H517" s="12"/>
    </row>
    <row r="518" spans="1:8" x14ac:dyDescent="0.3">
      <c r="A518" s="12"/>
      <c r="B518" s="16"/>
      <c r="C518" s="12"/>
      <c r="D518" s="12"/>
      <c r="E518" s="12"/>
      <c r="F518" s="12"/>
      <c r="H518" s="12"/>
    </row>
    <row r="519" spans="1:8" x14ac:dyDescent="0.3">
      <c r="A519" s="12"/>
      <c r="B519" s="16"/>
      <c r="C519" s="12"/>
      <c r="D519" s="12"/>
      <c r="E519" s="12"/>
      <c r="F519" s="12"/>
      <c r="H519" s="12"/>
    </row>
    <row r="520" spans="1:8" x14ac:dyDescent="0.3">
      <c r="A520" s="12"/>
      <c r="B520" s="16"/>
      <c r="C520" s="12"/>
      <c r="D520" s="12"/>
      <c r="E520" s="12"/>
      <c r="F520" s="12"/>
      <c r="H520" s="12"/>
    </row>
    <row r="521" spans="1:8" x14ac:dyDescent="0.3">
      <c r="A521" s="12"/>
      <c r="B521" s="16"/>
      <c r="C521" s="12"/>
      <c r="D521" s="12"/>
      <c r="E521" s="12"/>
      <c r="F521" s="12"/>
      <c r="H521" s="12"/>
    </row>
    <row r="522" spans="1:8" x14ac:dyDescent="0.3">
      <c r="A522" s="12"/>
      <c r="B522" s="16"/>
      <c r="C522" s="12"/>
      <c r="D522" s="12"/>
      <c r="E522" s="12"/>
      <c r="F522" s="12"/>
      <c r="H522" s="12"/>
    </row>
    <row r="523" spans="1:8" x14ac:dyDescent="0.3">
      <c r="A523" s="12"/>
      <c r="B523" s="16"/>
      <c r="C523" s="12"/>
      <c r="D523" s="12"/>
      <c r="E523" s="12"/>
      <c r="F523" s="12"/>
      <c r="H523" s="12"/>
    </row>
    <row r="524" spans="1:8" x14ac:dyDescent="0.3">
      <c r="A524" s="12"/>
      <c r="B524" s="16"/>
      <c r="C524" s="12"/>
      <c r="D524" s="12"/>
      <c r="E524" s="12"/>
      <c r="F524" s="12"/>
      <c r="H524" s="12"/>
    </row>
    <row r="525" spans="1:8" ht="15.6" x14ac:dyDescent="0.3">
      <c r="A525" s="11"/>
      <c r="B525" s="9"/>
    </row>
    <row r="528" spans="1:8" x14ac:dyDescent="0.3">
      <c r="B528" s="12"/>
    </row>
    <row r="529" spans="2:2" x14ac:dyDescent="0.3">
      <c r="B529" s="12"/>
    </row>
    <row r="530" spans="2:2" x14ac:dyDescent="0.3">
      <c r="B530" s="12"/>
    </row>
    <row r="540" spans="2:2" x14ac:dyDescent="0.3">
      <c r="B540" s="2"/>
    </row>
    <row r="544" spans="2:2" x14ac:dyDescent="0.3">
      <c r="B544" s="2"/>
    </row>
    <row r="546" spans="1:8" x14ac:dyDescent="0.3">
      <c r="B546" s="2"/>
    </row>
    <row r="548" spans="1:8" x14ac:dyDescent="0.3">
      <c r="B548" s="6"/>
    </row>
    <row r="550" spans="1:8" ht="15.6" x14ac:dyDescent="0.3">
      <c r="A550" s="11"/>
    </row>
    <row r="552" spans="1:8" x14ac:dyDescent="0.3">
      <c r="A552" s="12"/>
      <c r="B552" s="12"/>
      <c r="C552" s="12"/>
      <c r="D552" s="12"/>
      <c r="E552" s="12"/>
      <c r="F552" s="12"/>
      <c r="G552" s="12"/>
      <c r="H552" s="12"/>
    </row>
    <row r="553" spans="1:8" x14ac:dyDescent="0.3">
      <c r="A553" s="12"/>
      <c r="B553" s="16"/>
      <c r="C553" s="12"/>
      <c r="D553" s="12"/>
      <c r="E553" s="12"/>
      <c r="F553" s="12"/>
      <c r="G553" s="12"/>
      <c r="H553" s="12"/>
    </row>
    <row r="554" spans="1:8" x14ac:dyDescent="0.3">
      <c r="A554" s="12"/>
      <c r="B554" s="16"/>
      <c r="C554" s="12"/>
      <c r="D554" s="12"/>
      <c r="E554" s="12"/>
      <c r="F554" s="12"/>
      <c r="H554" s="12"/>
    </row>
    <row r="555" spans="1:8" x14ac:dyDescent="0.3">
      <c r="A555" s="12"/>
      <c r="B555" s="16"/>
      <c r="C555" s="12"/>
      <c r="D555" s="12"/>
      <c r="E555" s="12"/>
      <c r="F555" s="12"/>
      <c r="H555" s="12"/>
    </row>
    <row r="556" spans="1:8" x14ac:dyDescent="0.3">
      <c r="A556" s="12"/>
      <c r="B556" s="16"/>
      <c r="C556" s="12"/>
      <c r="D556" s="12"/>
      <c r="E556" s="12"/>
      <c r="F556" s="12"/>
      <c r="H556" s="12"/>
    </row>
    <row r="557" spans="1:8" x14ac:dyDescent="0.3">
      <c r="A557" s="12"/>
      <c r="B557" s="16"/>
      <c r="C557" s="12"/>
      <c r="D557" s="12"/>
      <c r="E557" s="12"/>
      <c r="F557" s="12"/>
      <c r="H557" s="12"/>
    </row>
    <row r="558" spans="1:8" x14ac:dyDescent="0.3">
      <c r="A558" s="12"/>
      <c r="B558" s="16"/>
      <c r="C558" s="12"/>
      <c r="D558" s="12"/>
      <c r="E558" s="12"/>
      <c r="F558" s="12"/>
      <c r="H558" s="12"/>
    </row>
    <row r="559" spans="1:8" x14ac:dyDescent="0.3">
      <c r="A559" s="12"/>
      <c r="B559" s="16"/>
      <c r="C559" s="12"/>
      <c r="D559" s="12"/>
      <c r="E559" s="12"/>
      <c r="F559" s="12"/>
      <c r="H559" s="12"/>
    </row>
    <row r="560" spans="1:8" x14ac:dyDescent="0.3">
      <c r="A560" s="12"/>
      <c r="B560" s="16"/>
      <c r="C560" s="12"/>
      <c r="D560" s="12"/>
      <c r="E560" s="12"/>
      <c r="F560" s="12"/>
      <c r="H560" s="12"/>
    </row>
    <row r="561" spans="1:8" x14ac:dyDescent="0.3">
      <c r="A561" s="12"/>
      <c r="B561" s="16"/>
      <c r="C561" s="12"/>
      <c r="D561" s="12"/>
      <c r="E561" s="12"/>
      <c r="F561" s="12"/>
      <c r="H561" s="12"/>
    </row>
    <row r="562" spans="1:8" x14ac:dyDescent="0.3">
      <c r="A562" s="12"/>
      <c r="B562" s="16"/>
      <c r="C562" s="12"/>
      <c r="D562" s="12"/>
      <c r="E562" s="12"/>
      <c r="F562" s="12"/>
      <c r="H562" s="12"/>
    </row>
    <row r="563" spans="1:8" x14ac:dyDescent="0.3">
      <c r="B563" s="12"/>
    </row>
    <row r="564" spans="1:8" ht="15.6" x14ac:dyDescent="0.3">
      <c r="A564" s="11"/>
      <c r="B564" s="9"/>
    </row>
    <row r="567" spans="1:8" x14ac:dyDescent="0.3">
      <c r="B567" s="12"/>
    </row>
    <row r="568" spans="1:8" x14ac:dyDescent="0.3">
      <c r="B568" s="12"/>
    </row>
    <row r="569" spans="1:8" x14ac:dyDescent="0.3">
      <c r="B569" s="12"/>
    </row>
    <row r="579" spans="1:8" x14ac:dyDescent="0.3">
      <c r="B579" s="2"/>
    </row>
    <row r="583" spans="1:8" x14ac:dyDescent="0.3">
      <c r="B583" s="2"/>
    </row>
    <row r="585" spans="1:8" x14ac:dyDescent="0.3">
      <c r="B585" s="2"/>
    </row>
    <row r="587" spans="1:8" x14ac:dyDescent="0.3">
      <c r="B587" s="6"/>
    </row>
    <row r="589" spans="1:8" ht="15.6" x14ac:dyDescent="0.3">
      <c r="A589" s="11"/>
    </row>
    <row r="591" spans="1:8" x14ac:dyDescent="0.3">
      <c r="A591" s="12"/>
      <c r="B591" s="12"/>
      <c r="C591" s="12"/>
      <c r="D591" s="12"/>
      <c r="E591" s="12"/>
      <c r="F591" s="12"/>
      <c r="G591" s="12"/>
      <c r="H591" s="12"/>
    </row>
    <row r="592" spans="1:8" x14ac:dyDescent="0.3">
      <c r="A592" s="12"/>
      <c r="B592" s="16"/>
      <c r="C592" s="12"/>
      <c r="D592" s="12"/>
      <c r="E592" s="12"/>
      <c r="F592" s="12"/>
      <c r="G592" s="12"/>
      <c r="H592" s="12"/>
    </row>
    <row r="593" spans="1:8" x14ac:dyDescent="0.3">
      <c r="A593" s="12"/>
      <c r="B593" s="16"/>
      <c r="C593" s="12"/>
      <c r="D593" s="12"/>
      <c r="E593" s="12"/>
      <c r="F593" s="12"/>
      <c r="H593" s="12"/>
    </row>
    <row r="594" spans="1:8" x14ac:dyDescent="0.3">
      <c r="A594" s="12"/>
      <c r="B594" s="16"/>
      <c r="C594" s="12"/>
      <c r="D594" s="12"/>
      <c r="E594" s="12"/>
      <c r="F594" s="12"/>
      <c r="H594" s="12"/>
    </row>
    <row r="595" spans="1:8" x14ac:dyDescent="0.3">
      <c r="A595" s="12"/>
      <c r="B595" s="16"/>
      <c r="C595" s="12"/>
      <c r="D595" s="12"/>
      <c r="E595" s="12"/>
      <c r="F595" s="12"/>
      <c r="H595" s="12"/>
    </row>
    <row r="596" spans="1:8" x14ac:dyDescent="0.3">
      <c r="A596" s="12"/>
      <c r="B596" s="16"/>
      <c r="C596" s="12"/>
      <c r="D596" s="12"/>
      <c r="E596" s="12"/>
      <c r="F596" s="12"/>
      <c r="H596" s="12"/>
    </row>
    <row r="597" spans="1:8" x14ac:dyDescent="0.3">
      <c r="A597" s="12"/>
      <c r="B597" s="16"/>
      <c r="C597" s="12"/>
      <c r="D597" s="12"/>
      <c r="E597" s="12"/>
      <c r="F597" s="12"/>
      <c r="H597" s="12"/>
    </row>
    <row r="598" spans="1:8" x14ac:dyDescent="0.3">
      <c r="A598" s="12"/>
      <c r="B598" s="16"/>
      <c r="C598" s="12"/>
      <c r="D598" s="12"/>
      <c r="E598" s="12"/>
      <c r="F598" s="12"/>
      <c r="H598" s="12"/>
    </row>
    <row r="599" spans="1:8" x14ac:dyDescent="0.3">
      <c r="A599" s="12"/>
      <c r="B599" s="16"/>
      <c r="C599" s="12"/>
      <c r="D599" s="12"/>
      <c r="E599" s="12"/>
      <c r="F599" s="12"/>
      <c r="H599" s="12"/>
    </row>
    <row r="600" spans="1:8" x14ac:dyDescent="0.3">
      <c r="A600" s="12"/>
      <c r="B600" s="16"/>
      <c r="C600" s="12"/>
      <c r="D600" s="12"/>
      <c r="E600" s="12"/>
      <c r="F600" s="12"/>
      <c r="H600" s="12"/>
    </row>
    <row r="601" spans="1:8" x14ac:dyDescent="0.3">
      <c r="A601" s="12"/>
      <c r="B601" s="16"/>
      <c r="C601" s="12"/>
      <c r="D601" s="12"/>
      <c r="E601" s="12"/>
      <c r="F601" s="12"/>
      <c r="H601" s="12"/>
    </row>
    <row r="603" spans="1:8" ht="15.6" x14ac:dyDescent="0.3">
      <c r="A603" s="11"/>
      <c r="B603" s="9"/>
    </row>
    <row r="606" spans="1:8" x14ac:dyDescent="0.3">
      <c r="B606" s="12"/>
    </row>
    <row r="607" spans="1:8" x14ac:dyDescent="0.3">
      <c r="B607" s="12"/>
    </row>
    <row r="608" spans="1:8" x14ac:dyDescent="0.3">
      <c r="B608" s="12"/>
    </row>
    <row r="618" spans="2:2" x14ac:dyDescent="0.3">
      <c r="B618" s="2"/>
    </row>
    <row r="622" spans="2:2" x14ac:dyDescent="0.3">
      <c r="B622" s="2"/>
    </row>
    <row r="624" spans="2:2" x14ac:dyDescent="0.3">
      <c r="B624" s="2"/>
    </row>
    <row r="626" spans="1:8" x14ac:dyDescent="0.3">
      <c r="B626" s="6"/>
    </row>
    <row r="628" spans="1:8" ht="15.6" x14ac:dyDescent="0.3">
      <c r="A628" s="11"/>
    </row>
    <row r="630" spans="1:8" x14ac:dyDescent="0.3">
      <c r="A630" s="12"/>
      <c r="B630" s="12"/>
      <c r="C630" s="12"/>
      <c r="D630" s="12"/>
      <c r="E630" s="12"/>
      <c r="F630" s="12"/>
      <c r="G630" s="12"/>
      <c r="H630" s="12"/>
    </row>
    <row r="631" spans="1:8" x14ac:dyDescent="0.3">
      <c r="A631" s="12"/>
      <c r="B631" s="16"/>
      <c r="C631" s="12"/>
      <c r="D631" s="12"/>
      <c r="E631" s="12"/>
      <c r="F631" s="12"/>
      <c r="G631" s="12"/>
      <c r="H631" s="12"/>
    </row>
    <row r="632" spans="1:8" x14ac:dyDescent="0.3">
      <c r="A632" s="12"/>
      <c r="B632" s="16"/>
      <c r="C632" s="12"/>
      <c r="D632" s="12"/>
      <c r="E632" s="12"/>
      <c r="F632" s="12"/>
      <c r="H632" s="12"/>
    </row>
    <row r="633" spans="1:8" x14ac:dyDescent="0.3">
      <c r="A633" s="12"/>
      <c r="B633" s="16"/>
      <c r="C633" s="12"/>
      <c r="D633" s="12"/>
      <c r="E633" s="12"/>
      <c r="F633" s="12"/>
      <c r="H633" s="12"/>
    </row>
    <row r="634" spans="1:8" x14ac:dyDescent="0.3">
      <c r="A634" s="12"/>
      <c r="B634" s="16"/>
      <c r="C634" s="12"/>
      <c r="D634" s="12"/>
      <c r="E634" s="12"/>
      <c r="F634" s="12"/>
      <c r="H634" s="12"/>
    </row>
    <row r="635" spans="1:8" x14ac:dyDescent="0.3">
      <c r="A635" s="12"/>
      <c r="B635" s="16"/>
      <c r="C635" s="12"/>
      <c r="D635" s="12"/>
      <c r="E635" s="12"/>
      <c r="F635" s="12"/>
      <c r="H635" s="12"/>
    </row>
    <row r="636" spans="1:8" x14ac:dyDescent="0.3">
      <c r="A636" s="12"/>
      <c r="B636" s="16"/>
      <c r="C636" s="12"/>
      <c r="D636" s="12"/>
      <c r="E636" s="12"/>
      <c r="F636" s="12"/>
      <c r="H636" s="12"/>
    </row>
    <row r="637" spans="1:8" x14ac:dyDescent="0.3">
      <c r="A637" s="12"/>
      <c r="B637" s="16"/>
      <c r="C637" s="12"/>
      <c r="D637" s="12"/>
      <c r="E637" s="12"/>
      <c r="F637" s="12"/>
      <c r="H637" s="12"/>
    </row>
    <row r="638" spans="1:8" x14ac:dyDescent="0.3">
      <c r="A638" s="12"/>
      <c r="B638" s="16"/>
      <c r="C638" s="12"/>
      <c r="D638" s="12"/>
      <c r="E638" s="12"/>
      <c r="F638" s="12"/>
      <c r="H638" s="12"/>
    </row>
    <row r="639" spans="1:8" x14ac:dyDescent="0.3">
      <c r="A639" s="12"/>
      <c r="B639" s="16"/>
      <c r="C639" s="12"/>
      <c r="D639" s="12"/>
      <c r="E639" s="12"/>
      <c r="F639" s="12"/>
      <c r="H639" s="12"/>
    </row>
    <row r="640" spans="1:8" x14ac:dyDescent="0.3">
      <c r="A640" s="12"/>
      <c r="B640" s="16"/>
      <c r="C640" s="12"/>
      <c r="D640" s="12"/>
      <c r="E640" s="12"/>
      <c r="F640" s="12"/>
      <c r="H640" s="12"/>
    </row>
    <row r="641" spans="1:2" x14ac:dyDescent="0.3">
      <c r="B641" s="2"/>
    </row>
    <row r="642" spans="1:2" ht="15.6" x14ac:dyDescent="0.3">
      <c r="A642" s="11"/>
      <c r="B642" s="9"/>
    </row>
    <row r="645" spans="1:2" x14ac:dyDescent="0.3">
      <c r="B645" s="12"/>
    </row>
    <row r="646" spans="1:2" x14ac:dyDescent="0.3">
      <c r="B646" s="12"/>
    </row>
    <row r="647" spans="1:2" x14ac:dyDescent="0.3">
      <c r="B647" s="12"/>
    </row>
    <row r="648" spans="1:2" x14ac:dyDescent="0.3">
      <c r="B648" s="12"/>
    </row>
    <row r="657" spans="1:8" x14ac:dyDescent="0.3">
      <c r="B657" s="2"/>
    </row>
    <row r="661" spans="1:8" x14ac:dyDescent="0.3">
      <c r="B661" s="2"/>
    </row>
    <row r="663" spans="1:8" x14ac:dyDescent="0.3">
      <c r="B663" s="2"/>
    </row>
    <row r="665" spans="1:8" x14ac:dyDescent="0.3">
      <c r="B665" s="6"/>
    </row>
    <row r="667" spans="1:8" ht="15.6" x14ac:dyDescent="0.3">
      <c r="A667" s="11"/>
    </row>
    <row r="669" spans="1:8" x14ac:dyDescent="0.3">
      <c r="A669" s="12"/>
      <c r="B669" s="12"/>
      <c r="C669" s="12"/>
      <c r="D669" s="12"/>
      <c r="E669" s="12"/>
      <c r="F669" s="12"/>
      <c r="G669" s="12"/>
      <c r="H669" s="12"/>
    </row>
    <row r="670" spans="1:8" x14ac:dyDescent="0.3">
      <c r="A670" s="12"/>
      <c r="B670" s="15"/>
      <c r="C670" s="12"/>
      <c r="D670" s="12"/>
      <c r="E670" s="12"/>
      <c r="F670" s="12"/>
      <c r="G670" s="12"/>
      <c r="H670" s="12"/>
    </row>
    <row r="671" spans="1:8" x14ac:dyDescent="0.3">
      <c r="A671" s="12"/>
      <c r="B671" s="16"/>
      <c r="C671" s="12"/>
      <c r="D671" s="12"/>
      <c r="E671" s="12"/>
      <c r="F671" s="12"/>
      <c r="H671" s="12"/>
    </row>
    <row r="672" spans="1:8" x14ac:dyDescent="0.3">
      <c r="A672" s="12"/>
      <c r="B672" s="14"/>
      <c r="C672" s="12"/>
      <c r="D672" s="12"/>
      <c r="E672" s="12"/>
      <c r="F672" s="12"/>
      <c r="H672" s="12"/>
    </row>
    <row r="673" spans="1:8" x14ac:dyDescent="0.3">
      <c r="A673" s="12"/>
      <c r="B673" s="16"/>
      <c r="C673" s="12"/>
      <c r="D673" s="12"/>
      <c r="F673" s="12"/>
      <c r="G673" s="12"/>
      <c r="H673" s="12"/>
    </row>
    <row r="674" spans="1:8" x14ac:dyDescent="0.3">
      <c r="A674" s="12"/>
      <c r="B674" s="16"/>
      <c r="C674" s="12"/>
      <c r="D674" s="12"/>
      <c r="E674" s="12"/>
      <c r="F674" s="12"/>
      <c r="H674" s="12"/>
    </row>
    <row r="675" spans="1:8" x14ac:dyDescent="0.3">
      <c r="A675" s="12"/>
      <c r="B675" s="16"/>
      <c r="C675" s="12"/>
      <c r="D675" s="12"/>
      <c r="E675" s="12"/>
      <c r="F675" s="12"/>
      <c r="H675" s="12"/>
    </row>
    <row r="676" spans="1:8" x14ac:dyDescent="0.3">
      <c r="A676" s="12"/>
      <c r="B676" s="16"/>
      <c r="C676" s="12"/>
      <c r="D676" s="12"/>
      <c r="E676" s="12"/>
      <c r="F676" s="12"/>
      <c r="H676" s="12"/>
    </row>
    <row r="677" spans="1:8" x14ac:dyDescent="0.3">
      <c r="B677" s="6"/>
    </row>
    <row r="678" spans="1:8" ht="15.6" x14ac:dyDescent="0.3">
      <c r="A678" s="11"/>
      <c r="B678" s="9"/>
    </row>
    <row r="681" spans="1:8" x14ac:dyDescent="0.3">
      <c r="B681" s="12"/>
    </row>
    <row r="682" spans="1:8" x14ac:dyDescent="0.3">
      <c r="B682" s="12"/>
    </row>
    <row r="683" spans="1:8" x14ac:dyDescent="0.3">
      <c r="B683" s="12"/>
    </row>
    <row r="684" spans="1:8" x14ac:dyDescent="0.3">
      <c r="B684" s="12"/>
    </row>
    <row r="693" spans="1:2" x14ac:dyDescent="0.3">
      <c r="B693" s="2"/>
    </row>
    <row r="697" spans="1:2" x14ac:dyDescent="0.3">
      <c r="B697" s="2"/>
    </row>
    <row r="699" spans="1:2" x14ac:dyDescent="0.3">
      <c r="B699" s="2"/>
    </row>
    <row r="701" spans="1:2" x14ac:dyDescent="0.3">
      <c r="B701" s="6"/>
    </row>
    <row r="703" spans="1:2" ht="15.6" x14ac:dyDescent="0.3">
      <c r="A703" s="11"/>
    </row>
    <row r="705" spans="1:8" x14ac:dyDescent="0.3">
      <c r="A705" s="12"/>
      <c r="B705" s="12"/>
      <c r="C705" s="12"/>
      <c r="D705" s="12"/>
      <c r="E705" s="12"/>
      <c r="F705" s="12"/>
      <c r="G705" s="12"/>
      <c r="H705" s="12"/>
    </row>
    <row r="706" spans="1:8" x14ac:dyDescent="0.3">
      <c r="A706" s="12"/>
      <c r="B706" s="12"/>
      <c r="C706" s="12"/>
      <c r="D706" s="12"/>
      <c r="E706" s="12"/>
      <c r="F706" s="12"/>
      <c r="G706" s="12"/>
      <c r="H706" s="12"/>
    </row>
    <row r="707" spans="1:8" x14ac:dyDescent="0.3">
      <c r="A707" s="12"/>
      <c r="B707" s="16"/>
      <c r="C707" s="12"/>
      <c r="D707" s="12"/>
      <c r="E707" s="12"/>
      <c r="F707" s="12"/>
      <c r="H707" s="12"/>
    </row>
    <row r="708" spans="1:8" x14ac:dyDescent="0.3">
      <c r="A708" s="12"/>
      <c r="B708" s="14"/>
      <c r="C708" s="12"/>
      <c r="D708" s="12"/>
      <c r="E708" s="12"/>
      <c r="F708" s="12"/>
      <c r="H708" s="12"/>
    </row>
    <row r="709" spans="1:8" x14ac:dyDescent="0.3">
      <c r="A709" s="12"/>
      <c r="B709" s="16"/>
      <c r="C709" s="12"/>
      <c r="D709" s="12"/>
      <c r="F709" s="12"/>
      <c r="G709" s="12"/>
      <c r="H709" s="12"/>
    </row>
    <row r="710" spans="1:8" x14ac:dyDescent="0.3">
      <c r="A710" s="12"/>
      <c r="B710" s="16"/>
      <c r="C710" s="12"/>
      <c r="D710" s="12"/>
      <c r="E710" s="12"/>
      <c r="F710" s="12"/>
      <c r="H710" s="12"/>
    </row>
    <row r="711" spans="1:8" x14ac:dyDescent="0.3">
      <c r="A711" s="12"/>
      <c r="B711" s="16"/>
      <c r="C711" s="12"/>
      <c r="D711" s="12"/>
      <c r="E711" s="12"/>
      <c r="F711" s="12"/>
      <c r="H711" s="12"/>
    </row>
    <row r="712" spans="1:8" x14ac:dyDescent="0.3">
      <c r="A712" s="12"/>
      <c r="B712" s="16"/>
      <c r="C712" s="12"/>
      <c r="D712" s="12"/>
      <c r="E712" s="12"/>
      <c r="F712" s="12"/>
      <c r="H712" s="12"/>
    </row>
    <row r="714" spans="1:8" ht="15.6" x14ac:dyDescent="0.3">
      <c r="A714" s="11"/>
      <c r="B714" s="9"/>
    </row>
    <row r="717" spans="1:8" x14ac:dyDescent="0.3">
      <c r="B717" s="12"/>
    </row>
    <row r="718" spans="1:8" x14ac:dyDescent="0.3">
      <c r="B718" s="12"/>
    </row>
    <row r="719" spans="1:8" x14ac:dyDescent="0.3">
      <c r="B719" s="12"/>
    </row>
    <row r="720" spans="1:8" x14ac:dyDescent="0.3">
      <c r="B720" s="12"/>
    </row>
    <row r="729" spans="2:2" x14ac:dyDescent="0.3">
      <c r="B729" s="2"/>
    </row>
    <row r="733" spans="2:2" x14ac:dyDescent="0.3">
      <c r="B733" s="2"/>
    </row>
    <row r="735" spans="2:2" x14ac:dyDescent="0.3">
      <c r="B735" s="2"/>
    </row>
    <row r="737" spans="1:8" x14ac:dyDescent="0.3">
      <c r="B737" s="6"/>
    </row>
    <row r="739" spans="1:8" ht="15.6" x14ac:dyDescent="0.3">
      <c r="A739" s="11"/>
    </row>
    <row r="741" spans="1:8" x14ac:dyDescent="0.3">
      <c r="A741" s="12"/>
      <c r="B741" s="12"/>
      <c r="C741" s="12"/>
      <c r="D741" s="12"/>
      <c r="E741" s="12"/>
      <c r="F741" s="12"/>
      <c r="G741" s="12"/>
      <c r="H741" s="12"/>
    </row>
    <row r="742" spans="1:8" x14ac:dyDescent="0.3">
      <c r="A742" s="12"/>
      <c r="B742" s="12"/>
      <c r="C742" s="12"/>
      <c r="D742" s="12"/>
      <c r="E742" s="12"/>
      <c r="F742" s="12"/>
      <c r="G742" s="12"/>
      <c r="H742" s="12"/>
    </row>
    <row r="743" spans="1:8" x14ac:dyDescent="0.3">
      <c r="A743" s="12"/>
      <c r="B743" s="16"/>
      <c r="C743" s="12"/>
      <c r="D743" s="12"/>
      <c r="E743" s="12"/>
      <c r="F743" s="12"/>
      <c r="H743" s="12"/>
    </row>
    <row r="744" spans="1:8" x14ac:dyDescent="0.3">
      <c r="A744" s="12"/>
      <c r="B744" s="14"/>
      <c r="C744" s="12"/>
      <c r="D744" s="12"/>
      <c r="E744" s="12"/>
      <c r="F744" s="12"/>
      <c r="H744" s="12"/>
    </row>
    <row r="745" spans="1:8" x14ac:dyDescent="0.3">
      <c r="A745" s="12"/>
      <c r="B745" s="16"/>
      <c r="C745" s="12"/>
      <c r="D745" s="12"/>
      <c r="F745" s="12"/>
      <c r="G745" s="12"/>
      <c r="H745" s="12"/>
    </row>
    <row r="746" spans="1:8" x14ac:dyDescent="0.3">
      <c r="A746" s="12"/>
      <c r="B746" s="16"/>
      <c r="C746" s="12"/>
      <c r="D746" s="12"/>
      <c r="E746" s="12"/>
      <c r="F746" s="12"/>
      <c r="H746" s="12"/>
    </row>
    <row r="747" spans="1:8" x14ac:dyDescent="0.3">
      <c r="A747" s="12"/>
      <c r="B747" s="16"/>
      <c r="C747" s="12"/>
      <c r="D747" s="12"/>
      <c r="E747" s="12"/>
      <c r="F747" s="12"/>
      <c r="H747" s="12"/>
    </row>
    <row r="748" spans="1:8" x14ac:dyDescent="0.3">
      <c r="A748" s="12"/>
      <c r="B748" s="16"/>
      <c r="C748" s="12"/>
      <c r="D748" s="12"/>
      <c r="E748" s="12"/>
      <c r="F748" s="12"/>
      <c r="H748" s="12"/>
    </row>
    <row r="750" spans="1:8" ht="15.6" x14ac:dyDescent="0.3">
      <c r="A750" s="11"/>
      <c r="B750" s="9"/>
    </row>
    <row r="753" spans="2:2" x14ac:dyDescent="0.3">
      <c r="B753" s="12"/>
    </row>
    <row r="754" spans="2:2" x14ac:dyDescent="0.3">
      <c r="B754" s="12"/>
    </row>
    <row r="755" spans="2:2" x14ac:dyDescent="0.3">
      <c r="B755" s="12"/>
    </row>
    <row r="756" spans="2:2" x14ac:dyDescent="0.3">
      <c r="B756" s="12"/>
    </row>
    <row r="765" spans="2:2" x14ac:dyDescent="0.3">
      <c r="B765" s="2"/>
    </row>
    <row r="769" spans="1:8" x14ac:dyDescent="0.3">
      <c r="B769" s="2"/>
    </row>
    <row r="771" spans="1:8" x14ac:dyDescent="0.3">
      <c r="B771" s="2"/>
    </row>
    <row r="773" spans="1:8" x14ac:dyDescent="0.3">
      <c r="B773" s="6"/>
    </row>
    <row r="775" spans="1:8" ht="15.6" x14ac:dyDescent="0.3">
      <c r="A775" s="11"/>
    </row>
    <row r="777" spans="1:8" x14ac:dyDescent="0.3">
      <c r="A777" s="12"/>
      <c r="B777" s="12"/>
      <c r="C777" s="12"/>
      <c r="D777" s="12"/>
      <c r="E777" s="12"/>
      <c r="F777" s="12"/>
      <c r="G777" s="12"/>
      <c r="H777" s="12"/>
    </row>
    <row r="778" spans="1:8" x14ac:dyDescent="0.3">
      <c r="A778" s="12"/>
      <c r="B778" s="12"/>
      <c r="C778" s="12"/>
      <c r="D778" s="12"/>
      <c r="E778" s="12"/>
      <c r="F778" s="12"/>
      <c r="G778" s="12"/>
      <c r="H778" s="12"/>
    </row>
    <row r="779" spans="1:8" x14ac:dyDescent="0.3">
      <c r="A779" s="12"/>
      <c r="B779" s="16"/>
      <c r="C779" s="12"/>
      <c r="D779" s="12"/>
      <c r="E779" s="12"/>
      <c r="F779" s="12"/>
      <c r="H779" s="12"/>
    </row>
    <row r="780" spans="1:8" x14ac:dyDescent="0.3">
      <c r="A780" s="12"/>
      <c r="B780" s="14"/>
      <c r="C780" s="12"/>
      <c r="D780" s="12"/>
      <c r="E780" s="12"/>
      <c r="F780" s="12"/>
      <c r="H780" s="12"/>
    </row>
    <row r="781" spans="1:8" x14ac:dyDescent="0.3">
      <c r="A781" s="12"/>
      <c r="B781" s="16"/>
      <c r="C781" s="12"/>
      <c r="D781" s="12"/>
      <c r="F781" s="12"/>
      <c r="G781" s="12"/>
      <c r="H781" s="12"/>
    </row>
    <row r="782" spans="1:8" x14ac:dyDescent="0.3">
      <c r="A782" s="12"/>
      <c r="B782" s="16"/>
      <c r="C782" s="12"/>
      <c r="D782" s="12"/>
      <c r="E782" s="12"/>
      <c r="F782" s="12"/>
      <c r="H782" s="12"/>
    </row>
    <row r="783" spans="1:8" x14ac:dyDescent="0.3">
      <c r="A783" s="12"/>
      <c r="B783" s="16"/>
      <c r="C783" s="12"/>
      <c r="D783" s="12"/>
      <c r="E783" s="12"/>
      <c r="F783" s="12"/>
      <c r="H783" s="12"/>
    </row>
    <row r="784" spans="1:8" x14ac:dyDescent="0.3">
      <c r="A784" s="12"/>
      <c r="B784" s="16"/>
      <c r="C784" s="12"/>
      <c r="D784" s="12"/>
      <c r="E784" s="12"/>
      <c r="F784" s="12"/>
      <c r="H784" s="12"/>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topLeftCell="A235" workbookViewId="0">
      <selection activeCell="E265" sqref="E265"/>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gasoline, 4-11kW, EURO-3, 2006</v>
      </c>
    </row>
    <row r="2" spans="1:2" x14ac:dyDescent="0.3">
      <c r="A2" t="s">
        <v>73</v>
      </c>
      <c r="B2" t="s">
        <v>37</v>
      </c>
    </row>
    <row r="3" spans="1:2" x14ac:dyDescent="0.3">
      <c r="A3" t="s">
        <v>87</v>
      </c>
      <c r="B3" t="s">
        <v>712</v>
      </c>
    </row>
    <row r="4" spans="1:2" x14ac:dyDescent="0.3">
      <c r="A4" t="s">
        <v>88</v>
      </c>
      <c r="B4" s="12"/>
    </row>
    <row r="5" spans="1:2" x14ac:dyDescent="0.3">
      <c r="A5" t="s">
        <v>89</v>
      </c>
      <c r="B5" s="12">
        <v>2006</v>
      </c>
    </row>
    <row r="6" spans="1:2" x14ac:dyDescent="0.3">
      <c r="A6" t="s">
        <v>131</v>
      </c>
      <c r="B6" s="12" t="str">
        <f>B3&amp;" - "&amp;B5&amp;" - "&amp;B2</f>
        <v>Motorbike, gasoline, 4-11kW, EURO-3 - 2006 - CH</v>
      </c>
    </row>
    <row r="7" spans="1:2" x14ac:dyDescent="0.3">
      <c r="A7" t="s">
        <v>74</v>
      </c>
      <c r="B7" t="str">
        <f>B3</f>
        <v>Motorbike, gasoline, 4-11kW, EURO-3</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39800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1</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2758</v>
      </c>
    </row>
    <row r="16" spans="1:2" x14ac:dyDescent="0.3">
      <c r="A16" t="s">
        <v>137</v>
      </c>
      <c r="B16" s="2">
        <f>INDEX('vehicles specifications'!$B$3:$CK$86,MATCH(B6,'vehicles specifications'!$A$3:$A$86,0),MATCH("Curb mass [kg]",'vehicles specifications'!$B$2:$CK$2,0))</f>
        <v>122.27169718057486</v>
      </c>
    </row>
    <row r="17" spans="1:8" x14ac:dyDescent="0.3">
      <c r="A17" t="s">
        <v>138</v>
      </c>
      <c r="B17">
        <f>INDEX('vehicles specifications'!$B$3:$CK$86,MATCH(B6,'vehicles specifications'!$A$3:$A$86,0),MATCH("Power [kW]",'vehicles specifications'!$B$2:$CK$2,0))</f>
        <v>9</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s="2">
        <f>INDEX('vehicles specifications'!$B$3:$CK$86,MATCH(B6,'vehicles specifications'!$A$3:$A$86,0),MATCH("Oxydation energy stored [kWh]",'vehicles specifications'!$B$2:$CK$2,0))</f>
        <v>79.5</v>
      </c>
    </row>
    <row r="21" spans="1:8" x14ac:dyDescent="0.3">
      <c r="A21" t="s">
        <v>145</v>
      </c>
      <c r="B21">
        <f>INDEX('vehicles specifications'!$B$3:$CK$86,MATCH(B6,'vehicles specifications'!$A$3:$A$86,0),MATCH("Fuel mass [kg]",'vehicles specifications'!$B$2:$CK$2,0))</f>
        <v>6.75</v>
      </c>
    </row>
    <row r="22" spans="1:8" x14ac:dyDescent="0.3">
      <c r="A22" t="s">
        <v>141</v>
      </c>
      <c r="B22" s="2">
        <f>INDEX('vehicles specifications'!$B$3:$CK$86,MATCH(B6,'vehicles specifications'!$A$3:$A$86,0),MATCH("Range [km]",'vehicles specifications'!$B$2:$CK$2,0))</f>
        <v>278.92555744717635</v>
      </c>
    </row>
    <row r="23" spans="1:8" x14ac:dyDescent="0.3">
      <c r="A23" t="s">
        <v>142</v>
      </c>
      <c r="B23" t="str">
        <f>INDEX('vehicles specifications'!$B$3:$CK$86,MATCH(B6,'vehicles specifications'!$A$3:$A$86,0),MATCH("Emission standard",'vehicles specifications'!$B$2:$CK$2,0))</f>
        <v>EURO-3</v>
      </c>
    </row>
    <row r="24" spans="1:8" x14ac:dyDescent="0.3">
      <c r="A24" t="s">
        <v>144</v>
      </c>
      <c r="B24" s="6">
        <f>INDEX('vehicles specifications'!$B$3:$CK$86,MATCH(B6,'vehicles specifications'!$A$3:$A$86,0),MATCH("Lightweighting rate [%]",'vehicles specifications'!$B$2:$CK$2,0))</f>
        <v>-0.05</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9 kW. Lifetime: 39800 km. Annual kilometers: 2758 km. Number of passengers: 1.1. Curb mass: 122.3 kg. Lightweighting of glider: -5%. Emission standard: EURO-3. Service visits throughout lifetime: 1. Range: 279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Motorbike, gasoline, 4-11kW, EURO-3, 2006</v>
      </c>
      <c r="B31" s="12">
        <v>1</v>
      </c>
      <c r="C31" s="12" t="str">
        <f>B2</f>
        <v>CH</v>
      </c>
      <c r="D31" s="12" t="str">
        <f>B9</f>
        <v>unit</v>
      </c>
      <c r="E31" s="12"/>
      <c r="F31" s="12" t="s">
        <v>85</v>
      </c>
      <c r="G31" s="12" t="s">
        <v>86</v>
      </c>
      <c r="H31" s="12" t="str">
        <f>B3</f>
        <v>Motorbike, gasoline, 4-11kW,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0.7270425217814277</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0.50892976524699929</v>
      </c>
      <c r="C33" s="12" t="str">
        <f>INDEX('ei names mapping'!$B$38:$R$67,MATCH(B3,'ei names mapping'!$A$4:$A$33,0),MATCH(G33,'ei names mapping'!$B$3:$R$3,0))</f>
        <v>RER</v>
      </c>
      <c r="D33" s="12" t="str">
        <f>INDEX('ei names mapping'!$B$104:$R$133,MATCH(B3,'ei names mapping'!$A$104:$A$133,0),MATCH(G33,'ei names mapping'!$B$3:$R$3,0))</f>
        <v>unit</v>
      </c>
      <c r="E33" s="12"/>
      <c r="F33" s="12" t="s">
        <v>91</v>
      </c>
      <c r="G33"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1.0125</v>
      </c>
      <c r="C34" s="12" t="str">
        <f>INDEX('ei names mapping'!$B$38:$R$67,MATCH(B3,'ei names mapping'!$A$4:$A$33,0),MATCH(G34,'ei names mapping'!$B$3:$R$3,0))</f>
        <v>RER</v>
      </c>
      <c r="D34" s="12" t="str">
        <f>INDEX('ei names mapping'!$B$104:$R$133,MATCH(B3,'ei names mapping'!$A$104:$A$133,0),MATCH(G34,'ei names mapping'!$B$3:$R$3,0))</f>
        <v>kilogram</v>
      </c>
      <c r="E34" s="12"/>
      <c r="F34" s="12" t="s">
        <v>91</v>
      </c>
      <c r="G34" t="s">
        <v>24</v>
      </c>
      <c r="H34" s="12" t="str">
        <f>INDEX('ei names mapping'!$B$71:$R$100,MATCH(B3,'ei names mapping'!$A$4:$A$33,0),MATCH(G34,'ei names mapping'!$B$3:$R$3,0))</f>
        <v>polyethylene, high density, granulate</v>
      </c>
    </row>
    <row r="35" spans="1:8" s="21" customFormat="1" x14ac:dyDescent="0.3">
      <c r="A35" s="22" t="s">
        <v>468</v>
      </c>
      <c r="B35" s="21">
        <f>(B16/1000)*B27</f>
        <v>122.27169718057486</v>
      </c>
      <c r="C35" s="21" t="s">
        <v>94</v>
      </c>
      <c r="D35" s="21" t="s">
        <v>243</v>
      </c>
      <c r="F35" s="21" t="s">
        <v>91</v>
      </c>
      <c r="H35" s="22" t="s">
        <v>469</v>
      </c>
    </row>
    <row r="36" spans="1:8" s="21" customFormat="1" x14ac:dyDescent="0.3">
      <c r="A36" s="22" t="s">
        <v>467</v>
      </c>
      <c r="B36" s="2">
        <f>(B16/1000)*B26</f>
        <v>1944.1199851711403</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Motorbike, gasoline, 4-11kW, EURO-4, 2016</v>
      </c>
    </row>
    <row r="39" spans="1:8" x14ac:dyDescent="0.3">
      <c r="A39" t="s">
        <v>73</v>
      </c>
      <c r="B39" t="s">
        <v>37</v>
      </c>
    </row>
    <row r="40" spans="1:8" x14ac:dyDescent="0.3">
      <c r="A40" t="s">
        <v>87</v>
      </c>
      <c r="B40" t="s">
        <v>713</v>
      </c>
    </row>
    <row r="41" spans="1:8" x14ac:dyDescent="0.3">
      <c r="A41" t="s">
        <v>88</v>
      </c>
      <c r="B41" s="12"/>
    </row>
    <row r="42" spans="1:8" x14ac:dyDescent="0.3">
      <c r="A42" t="s">
        <v>89</v>
      </c>
      <c r="B42" s="12">
        <v>2016</v>
      </c>
    </row>
    <row r="43" spans="1:8" x14ac:dyDescent="0.3">
      <c r="A43" t="s">
        <v>131</v>
      </c>
      <c r="B43" s="12" t="str">
        <f>B40&amp;" - "&amp;B42&amp;" - "&amp;B39</f>
        <v>Motorbike, gasoline, 4-11kW, EURO-4 - 2016 - CH</v>
      </c>
    </row>
    <row r="44" spans="1:8" x14ac:dyDescent="0.3">
      <c r="A44" t="s">
        <v>74</v>
      </c>
      <c r="B44" t="str">
        <f>B40</f>
        <v>Motorbike, gasoline, 4-11kW, EURO-4</v>
      </c>
    </row>
    <row r="45" spans="1:8" x14ac:dyDescent="0.3">
      <c r="A45" t="s">
        <v>75</v>
      </c>
      <c r="B45" t="s">
        <v>76</v>
      </c>
    </row>
    <row r="46" spans="1:8" x14ac:dyDescent="0.3">
      <c r="A46" t="s">
        <v>77</v>
      </c>
      <c r="B46" t="s">
        <v>77</v>
      </c>
    </row>
    <row r="47" spans="1:8" x14ac:dyDescent="0.3">
      <c r="A47" t="s">
        <v>79</v>
      </c>
      <c r="B47" t="s">
        <v>90</v>
      </c>
    </row>
    <row r="48" spans="1:8" x14ac:dyDescent="0.3">
      <c r="A48" t="s">
        <v>132</v>
      </c>
      <c r="B48">
        <f>INDEX('vehicles specifications'!$B$3:$CK$86,MATCH(B43,'vehicles specifications'!$A$3:$A$86,0),MATCH("Lifetime [km]",'vehicles specifications'!$B$2:$CK$2,0))</f>
        <v>39800</v>
      </c>
    </row>
    <row r="49" spans="1:2" x14ac:dyDescent="0.3">
      <c r="A49" t="s">
        <v>133</v>
      </c>
      <c r="B49">
        <f>INDEX('vehicles specifications'!$B$3:$CK$86,MATCH(B43,'vehicles specifications'!$A$3:$A$86,0),MATCH("Passengers [unit]",'vehicles specifications'!$B$2:$CK$2,0))</f>
        <v>1.1000000000000001</v>
      </c>
    </row>
    <row r="50" spans="1:2" x14ac:dyDescent="0.3">
      <c r="A50" t="s">
        <v>134</v>
      </c>
      <c r="B50">
        <f>INDEX('vehicles specifications'!$B$3:$CK$86,MATCH(B43,'vehicles specifications'!$A$3:$A$86,0),MATCH("Servicing [unit]",'vehicles specifications'!$B$2:$CK$2,0))</f>
        <v>1</v>
      </c>
    </row>
    <row r="51" spans="1:2" x14ac:dyDescent="0.3">
      <c r="A51" t="s">
        <v>135</v>
      </c>
      <c r="B51">
        <f>INDEX('vehicles specifications'!$B$3:$CK$86,MATCH(B43,'vehicles specifications'!$A$3:$A$86,0),MATCH("Energy battery replacement [unit]",'vehicles specifications'!$B$2:$CK$2,0))</f>
        <v>0</v>
      </c>
    </row>
    <row r="52" spans="1:2" x14ac:dyDescent="0.3">
      <c r="A52" t="s">
        <v>136</v>
      </c>
      <c r="B52">
        <f>INDEX('vehicles specifications'!$B$3:$CK$86,MATCH(B43,'vehicles specifications'!$A$3:$A$86,0),MATCH("Annual kilometers [km]",'vehicles specifications'!$B$2:$CK$2,0))</f>
        <v>2758</v>
      </c>
    </row>
    <row r="53" spans="1:2" x14ac:dyDescent="0.3">
      <c r="A53" t="s">
        <v>137</v>
      </c>
      <c r="B53" s="2">
        <f>INDEX('vehicles specifications'!$B$3:$CK$86,MATCH(B43,'vehicles specifications'!$A$3:$A$86,0),MATCH("Curb mass [kg]",'vehicles specifications'!$B$2:$CK$2,0))</f>
        <v>120.308682371765</v>
      </c>
    </row>
    <row r="54" spans="1:2" x14ac:dyDescent="0.3">
      <c r="A54" t="s">
        <v>138</v>
      </c>
      <c r="B54">
        <f>INDEX('vehicles specifications'!$B$3:$CK$86,MATCH(B43,'vehicles specifications'!$A$3:$A$86,0),MATCH("Power [kW]",'vehicles specifications'!$B$2:$CK$2,0))</f>
        <v>9</v>
      </c>
    </row>
    <row r="55" spans="1:2" x14ac:dyDescent="0.3">
      <c r="A55" t="s">
        <v>139</v>
      </c>
      <c r="B55">
        <f>INDEX('vehicles specifications'!$B$3:$CK$86,MATCH(B43,'vehicles specifications'!$A$3:$A$86,0),MATCH("Energy battery mass [kg]",'vehicles specifications'!$B$2:$CK$2,0))</f>
        <v>0</v>
      </c>
    </row>
    <row r="56" spans="1:2" x14ac:dyDescent="0.3">
      <c r="A56" t="s">
        <v>140</v>
      </c>
      <c r="B56">
        <f>INDEX('vehicles specifications'!$B$3:$CK$86,MATCH(B43,'vehicles specifications'!$A$3:$A$86,0),MATCH("Electric energy available [kWh]",'vehicles specifications'!$B$2:$CK$2,0))</f>
        <v>0</v>
      </c>
    </row>
    <row r="57" spans="1:2" x14ac:dyDescent="0.3">
      <c r="A57" t="s">
        <v>143</v>
      </c>
      <c r="B57" s="2">
        <f>INDEX('vehicles specifications'!$B$3:$CK$86,MATCH(B43,'vehicles specifications'!$A$3:$A$86,0),MATCH("Oxydation energy stored [kWh]",'vehicles specifications'!$B$2:$CK$2,0))</f>
        <v>79.5</v>
      </c>
    </row>
    <row r="58" spans="1:2" x14ac:dyDescent="0.3">
      <c r="A58" t="s">
        <v>145</v>
      </c>
      <c r="B58">
        <f>INDEX('vehicles specifications'!$B$3:$CK$86,MATCH(B43,'vehicles specifications'!$A$3:$A$86,0),MATCH("Fuel mass [kg]",'vehicles specifications'!$B$2:$CK$2,0))</f>
        <v>6.75</v>
      </c>
    </row>
    <row r="59" spans="1:2" x14ac:dyDescent="0.3">
      <c r="A59" t="s">
        <v>141</v>
      </c>
      <c r="B59" s="2">
        <f>INDEX('vehicles specifications'!$B$3:$CK$86,MATCH(B43,'vehicles specifications'!$A$3:$A$86,0),MATCH("Range [km]",'vehicles specifications'!$B$2:$CK$2,0))</f>
        <v>281.71481302164813</v>
      </c>
    </row>
    <row r="60" spans="1:2" x14ac:dyDescent="0.3">
      <c r="A60" t="s">
        <v>142</v>
      </c>
      <c r="B60" t="str">
        <f>INDEX('vehicles specifications'!$B$3:$CK$86,MATCH(B43,'vehicles specifications'!$A$3:$A$86,0),MATCH("Emission standard",'vehicles specifications'!$B$2:$CK$2,0))</f>
        <v>EURO-4</v>
      </c>
    </row>
    <row r="61" spans="1:2" x14ac:dyDescent="0.3">
      <c r="A61" t="s">
        <v>144</v>
      </c>
      <c r="B61" s="6">
        <f>INDEX('vehicles specifications'!$B$3:$CK$86,MATCH(B43,'vehicles specifications'!$A$3:$A$86,0),MATCH("Lightweighting rate [%]",'vehicles specifications'!$B$2:$CK$2,0))</f>
        <v>-0.02</v>
      </c>
    </row>
    <row r="62" spans="1:2" s="21" customFormat="1" x14ac:dyDescent="0.3">
      <c r="A62" s="21" t="s">
        <v>513</v>
      </c>
      <c r="B62" s="6" t="s">
        <v>514</v>
      </c>
    </row>
    <row r="63" spans="1:2" s="21" customFormat="1" x14ac:dyDescent="0.3">
      <c r="A63" s="21" t="s">
        <v>515</v>
      </c>
      <c r="B63" s="2">
        <v>15900</v>
      </c>
    </row>
    <row r="64" spans="1:2" s="21" customFormat="1" x14ac:dyDescent="0.3">
      <c r="A64" s="21" t="s">
        <v>516</v>
      </c>
      <c r="B64" s="2">
        <v>1000</v>
      </c>
    </row>
    <row r="65" spans="1:8" s="21" customFormat="1"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9 kW. Lifetime: 39800 km. Annual kilometers: 2758 km. Number of passengers: 1.1. Curb mass: 120.3 kg. Lightweighting of glider: -2%. Emission standard: EURO-4. Service visits throughout lifetime: 1. Range: 282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t="s">
        <v>81</v>
      </c>
      <c r="B67" t="s">
        <v>82</v>
      </c>
      <c r="C67" t="s">
        <v>73</v>
      </c>
      <c r="D67" t="s">
        <v>77</v>
      </c>
      <c r="E67" t="s">
        <v>83</v>
      </c>
      <c r="F67" t="s">
        <v>75</v>
      </c>
      <c r="G67" t="s">
        <v>84</v>
      </c>
      <c r="H67" t="s">
        <v>74</v>
      </c>
    </row>
    <row r="68" spans="1:8" x14ac:dyDescent="0.3">
      <c r="A68" s="12" t="str">
        <f>B38</f>
        <v>Motorbike, gasoline, 4-11kW, EURO-4, 2016</v>
      </c>
      <c r="B68" s="12">
        <v>1</v>
      </c>
      <c r="C68" s="12" t="str">
        <f>B39</f>
        <v>CH</v>
      </c>
      <c r="D68" s="12" t="str">
        <f>B46</f>
        <v>unit</v>
      </c>
      <c r="E68" s="12"/>
      <c r="F68" s="12" t="s">
        <v>85</v>
      </c>
      <c r="G68" s="12" t="s">
        <v>86</v>
      </c>
      <c r="H68" s="12" t="str">
        <f>B40</f>
        <v>Motorbike, gasoline, 4-11kW,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0.7270425217814277</v>
      </c>
      <c r="C69" s="12" t="str">
        <f>INDEX('ei names mapping'!$B$38:$R$67,MATCH(B40,'ei names mapping'!$A$4:$A$33,0),MATCH(G69,'ei names mapping'!$B$3:$R$3,0))</f>
        <v>RER</v>
      </c>
      <c r="D69" s="12" t="str">
        <f>INDEX('ei names mapping'!$B$104:$R$133,MATCH(B40,'ei names mapping'!$A$104:$A$133,0),MATCH(G69,'ei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0.50892976524699929</v>
      </c>
      <c r="C70" s="12" t="str">
        <f>INDEX('ei names mapping'!$B$38:$R$67,MATCH(B40,'ei names mapping'!$A$4:$A$33,0),MATCH(G70,'ei names mapping'!$B$3:$R$3,0))</f>
        <v>RER</v>
      </c>
      <c r="D70" s="12" t="str">
        <f>INDEX('ei names mapping'!$B$104:$R$133,MATCH(B40,'ei names mapping'!$A$104:$A$133,0),MATCH(G70,'ei names mapping'!$B$3:$R$3,0))</f>
        <v>unit</v>
      </c>
      <c r="E70" s="12"/>
      <c r="F70" s="12" t="s">
        <v>91</v>
      </c>
      <c r="G70"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1.0125</v>
      </c>
      <c r="C71" s="12" t="str">
        <f>INDEX('ei names mapping'!$B$38:$R$67,MATCH(B40,'ei names mapping'!$A$4:$A$33,0),MATCH(G71,'ei names mapping'!$B$3:$R$3,0))</f>
        <v>RER</v>
      </c>
      <c r="D71" s="12" t="str">
        <f>INDEX('ei names mapping'!$B$104:$R$133,MATCH(B40,'ei names mapping'!$A$104:$A$133,0),MATCH(G71,'ei names mapping'!$B$3:$R$3,0))</f>
        <v>kilogram</v>
      </c>
      <c r="E71" s="12"/>
      <c r="F71" s="12" t="s">
        <v>91</v>
      </c>
      <c r="G71" t="s">
        <v>24</v>
      </c>
      <c r="H71" s="12" t="str">
        <f>INDEX('ei names mapping'!$B$71:$R$100,MATCH(B40,'ei names mapping'!$A$4:$A$33,0),MATCH(G71,'ei names mapping'!$B$3:$R$3,0))</f>
        <v>polyethylene, high density, granulate</v>
      </c>
    </row>
    <row r="72" spans="1:8" s="21" customFormat="1" x14ac:dyDescent="0.3">
      <c r="A72" s="22" t="s">
        <v>468</v>
      </c>
      <c r="B72" s="21">
        <f>(B53/1000)*B64</f>
        <v>120.308682371765</v>
      </c>
      <c r="C72" s="21" t="s">
        <v>94</v>
      </c>
      <c r="D72" s="21" t="s">
        <v>243</v>
      </c>
      <c r="F72" s="21" t="s">
        <v>91</v>
      </c>
      <c r="H72" s="22" t="s">
        <v>469</v>
      </c>
    </row>
    <row r="73" spans="1:8" s="21" customFormat="1" x14ac:dyDescent="0.3">
      <c r="A73" s="22" t="s">
        <v>467</v>
      </c>
      <c r="B73" s="2">
        <f>(B53/1000)*B63</f>
        <v>1912.9080497110635</v>
      </c>
      <c r="C73" s="21" t="s">
        <v>98</v>
      </c>
      <c r="D73" s="21" t="s">
        <v>243</v>
      </c>
      <c r="F73" s="21" t="s">
        <v>91</v>
      </c>
      <c r="H73" s="22" t="s">
        <v>467</v>
      </c>
    </row>
    <row r="75" spans="1:8" ht="15.6" x14ac:dyDescent="0.3">
      <c r="A75" s="11" t="s">
        <v>72</v>
      </c>
      <c r="B75" s="9" t="str">
        <f>B77&amp;", "&amp;B79</f>
        <v>Motorbike, gasoline, 4-11kW, EURO-5, 2020</v>
      </c>
    </row>
    <row r="76" spans="1:8" x14ac:dyDescent="0.3">
      <c r="A76" t="s">
        <v>73</v>
      </c>
      <c r="B76" t="s">
        <v>37</v>
      </c>
    </row>
    <row r="77" spans="1:8" x14ac:dyDescent="0.3">
      <c r="A77" t="s">
        <v>87</v>
      </c>
      <c r="B77" t="s">
        <v>714</v>
      </c>
    </row>
    <row r="78" spans="1:8" x14ac:dyDescent="0.3">
      <c r="A78" t="s">
        <v>88</v>
      </c>
      <c r="B78" s="12"/>
    </row>
    <row r="79" spans="1:8" x14ac:dyDescent="0.3">
      <c r="A79" t="s">
        <v>89</v>
      </c>
      <c r="B79" s="12">
        <v>2020</v>
      </c>
    </row>
    <row r="80" spans="1:8" x14ac:dyDescent="0.3">
      <c r="A80" t="s">
        <v>131</v>
      </c>
      <c r="B80" s="12" t="str">
        <f>B77&amp;" - "&amp;B79&amp;" - "&amp;B76</f>
        <v>Motorbike, gasoline, 4-11kW, EURO-5 - 2020 - CH</v>
      </c>
    </row>
    <row r="81" spans="1:2" x14ac:dyDescent="0.3">
      <c r="A81" t="s">
        <v>74</v>
      </c>
      <c r="B81" t="str">
        <f>B77</f>
        <v>Motorbike, gasoline, 4-11kW, EURO-5</v>
      </c>
    </row>
    <row r="82" spans="1:2" x14ac:dyDescent="0.3">
      <c r="A82" t="s">
        <v>75</v>
      </c>
      <c r="B82" t="s">
        <v>76</v>
      </c>
    </row>
    <row r="83" spans="1:2" x14ac:dyDescent="0.3">
      <c r="A83" t="s">
        <v>77</v>
      </c>
      <c r="B83" t="s">
        <v>77</v>
      </c>
    </row>
    <row r="84" spans="1:2" x14ac:dyDescent="0.3">
      <c r="A84" t="s">
        <v>79</v>
      </c>
      <c r="B84" t="s">
        <v>90</v>
      </c>
    </row>
    <row r="85" spans="1:2" x14ac:dyDescent="0.3">
      <c r="A85" t="s">
        <v>132</v>
      </c>
      <c r="B85">
        <f>INDEX('vehicles specifications'!$B$3:$CK$86,MATCH(B80,'vehicles specifications'!$A$3:$A$86,0),MATCH("Lifetime [km]",'vehicles specifications'!$B$2:$CK$2,0))</f>
        <v>39800</v>
      </c>
    </row>
    <row r="86" spans="1:2" x14ac:dyDescent="0.3">
      <c r="A86" t="s">
        <v>133</v>
      </c>
      <c r="B86">
        <f>INDEX('vehicles specifications'!$B$3:$CK$86,MATCH(B80,'vehicles specifications'!$A$3:$A$86,0),MATCH("Passengers [unit]",'vehicles specifications'!$B$2:$CK$2,0))</f>
        <v>1.1000000000000001</v>
      </c>
    </row>
    <row r="87" spans="1:2" x14ac:dyDescent="0.3">
      <c r="A87" t="s">
        <v>134</v>
      </c>
      <c r="B87">
        <f>INDEX('vehicles specifications'!$B$3:$CK$86,MATCH(B80,'vehicles specifications'!$A$3:$A$86,0),MATCH("Servicing [unit]",'vehicles specifications'!$B$2:$CK$2,0))</f>
        <v>1</v>
      </c>
    </row>
    <row r="88" spans="1:2" x14ac:dyDescent="0.3">
      <c r="A88" t="s">
        <v>135</v>
      </c>
      <c r="B88">
        <f>INDEX('vehicles specifications'!$B$3:$CK$86,MATCH(B80,'vehicles specifications'!$A$3:$A$86,0),MATCH("Energy battery replacement [unit]",'vehicles specifications'!$B$2:$CK$2,0))</f>
        <v>0</v>
      </c>
    </row>
    <row r="89" spans="1:2" x14ac:dyDescent="0.3">
      <c r="A89" t="s">
        <v>136</v>
      </c>
      <c r="B89">
        <f>INDEX('vehicles specifications'!$B$3:$CK$86,MATCH(B80,'vehicles specifications'!$A$3:$A$86,0),MATCH("Annual kilometers [km]",'vehicles specifications'!$B$2:$CK$2,0))</f>
        <v>2758</v>
      </c>
    </row>
    <row r="90" spans="1:2" x14ac:dyDescent="0.3">
      <c r="A90" t="s">
        <v>137</v>
      </c>
      <c r="B90" s="2">
        <f>INDEX('vehicles specifications'!$B$3:$CK$86,MATCH(B80,'vehicles specifications'!$A$3:$A$86,0),MATCH("Curb mass [kg]",'vehicles specifications'!$B$2:$CK$2,0))</f>
        <v>119.00000583255843</v>
      </c>
    </row>
    <row r="91" spans="1:2" x14ac:dyDescent="0.3">
      <c r="A91" t="s">
        <v>138</v>
      </c>
      <c r="B91">
        <f>INDEX('vehicles specifications'!$B$3:$CK$86,MATCH(B80,'vehicles specifications'!$A$3:$A$86,0),MATCH("Power [kW]",'vehicles specifications'!$B$2:$CK$2,0))</f>
        <v>9</v>
      </c>
    </row>
    <row r="92" spans="1:2" x14ac:dyDescent="0.3">
      <c r="A92" t="s">
        <v>139</v>
      </c>
      <c r="B92">
        <f>INDEX('vehicles specifications'!$B$3:$CK$86,MATCH(B80,'vehicles specifications'!$A$3:$A$86,0),MATCH("Energy battery mass [kg]",'vehicles specifications'!$B$2:$CK$2,0))</f>
        <v>0</v>
      </c>
    </row>
    <row r="93" spans="1:2" x14ac:dyDescent="0.3">
      <c r="A93" t="s">
        <v>140</v>
      </c>
      <c r="B93">
        <f>INDEX('vehicles specifications'!$B$3:$CK$86,MATCH(B80,'vehicles specifications'!$A$3:$A$86,0),MATCH("Electric energy available [kWh]",'vehicles specifications'!$B$2:$CK$2,0))</f>
        <v>0</v>
      </c>
    </row>
    <row r="94" spans="1:2" x14ac:dyDescent="0.3">
      <c r="A94" t="s">
        <v>143</v>
      </c>
      <c r="B94" s="2">
        <f>INDEX('vehicles specifications'!$B$3:$CK$86,MATCH(B80,'vehicles specifications'!$A$3:$A$86,0),MATCH("Oxydation energy stored [kWh]",'vehicles specifications'!$B$2:$CK$2,0))</f>
        <v>79.5</v>
      </c>
    </row>
    <row r="95" spans="1:2" x14ac:dyDescent="0.3">
      <c r="A95" t="s">
        <v>145</v>
      </c>
      <c r="B95">
        <f>INDEX('vehicles specifications'!$B$3:$CK$86,MATCH(B80,'vehicles specifications'!$A$3:$A$86,0),MATCH("Fuel mass [kg]",'vehicles specifications'!$B$2:$CK$2,0))</f>
        <v>6.75</v>
      </c>
    </row>
    <row r="96" spans="1:2" x14ac:dyDescent="0.3">
      <c r="A96" t="s">
        <v>141</v>
      </c>
      <c r="B96" s="2">
        <f>INDEX('vehicles specifications'!$B$3:$CK$86,MATCH(B80,'vehicles specifications'!$A$3:$A$86,0),MATCH("Range [km]",'vehicles specifications'!$B$2:$CK$2,0))</f>
        <v>284.56041719358399</v>
      </c>
    </row>
    <row r="97" spans="1:8" x14ac:dyDescent="0.3">
      <c r="A97" t="s">
        <v>142</v>
      </c>
      <c r="B97" t="str">
        <f>INDEX('vehicles specifications'!$B$3:$CK$86,MATCH(B80,'vehicles specifications'!$A$3:$A$86,0),MATCH("Emission standard",'vehicles specifications'!$B$2:$CK$2,0))</f>
        <v>EURO-5</v>
      </c>
    </row>
    <row r="98" spans="1:8" x14ac:dyDescent="0.3">
      <c r="A98" t="s">
        <v>144</v>
      </c>
      <c r="B98" s="6">
        <f>INDEX('vehicles specifications'!$B$3:$CK$86,MATCH(B80,'vehicles specifications'!$A$3:$A$86,0),MATCH("Lightweighting rate [%]",'vehicles specifications'!$B$2:$CK$2,0))</f>
        <v>0</v>
      </c>
    </row>
    <row r="99" spans="1:8" s="21" customFormat="1" x14ac:dyDescent="0.3">
      <c r="A99" s="21" t="s">
        <v>513</v>
      </c>
      <c r="B99" s="6" t="s">
        <v>514</v>
      </c>
    </row>
    <row r="100" spans="1:8" s="21" customFormat="1" x14ac:dyDescent="0.3">
      <c r="A100" s="21" t="s">
        <v>515</v>
      </c>
      <c r="B100" s="2">
        <v>15900</v>
      </c>
    </row>
    <row r="101" spans="1:8" s="21" customFormat="1" x14ac:dyDescent="0.3">
      <c r="A101" s="21" t="s">
        <v>516</v>
      </c>
      <c r="B101" s="2">
        <v>1000</v>
      </c>
    </row>
    <row r="102" spans="1:8" s="21" customFormat="1"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9 kW. Lifetime: 39800 km. Annual kilometers: 2758 km. Number of passengers: 1.1. Curb mass: 119 kg. Lightweighting of glider: 0%. Emission standard: EURO-5. Service visits throughout lifetime: 1. Range: 285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t="s">
        <v>81</v>
      </c>
      <c r="B104" t="s">
        <v>82</v>
      </c>
      <c r="C104" t="s">
        <v>73</v>
      </c>
      <c r="D104" t="s">
        <v>77</v>
      </c>
      <c r="E104" t="s">
        <v>83</v>
      </c>
      <c r="F104" t="s">
        <v>75</v>
      </c>
      <c r="G104" t="s">
        <v>84</v>
      </c>
      <c r="H104" t="s">
        <v>74</v>
      </c>
    </row>
    <row r="105" spans="1:8" x14ac:dyDescent="0.3">
      <c r="A105" s="12" t="str">
        <f>B75</f>
        <v>Motorbike, gasoline, 4-11kW, EURO-5, 2020</v>
      </c>
      <c r="B105" s="12">
        <v>1</v>
      </c>
      <c r="C105" s="12" t="str">
        <f>B76</f>
        <v>CH</v>
      </c>
      <c r="D105" s="12" t="str">
        <f>B83</f>
        <v>unit</v>
      </c>
      <c r="E105" s="12"/>
      <c r="F105" s="12" t="s">
        <v>85</v>
      </c>
      <c r="G105" s="12" t="s">
        <v>86</v>
      </c>
      <c r="H105" s="12" t="str">
        <f>B77</f>
        <v>Motorbike, gasoline, 4-11kW,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0.7270425217814277</v>
      </c>
      <c r="C106" s="12" t="str">
        <f>INDEX('ei names mapping'!$B$38:$R$67,MATCH(B77,'ei names mapping'!$A$4:$A$33,0),MATCH(G106,'ei names mapping'!$B$3:$R$3,0))</f>
        <v>RER</v>
      </c>
      <c r="D106" s="12" t="str">
        <f>INDEX('ei names mapping'!$B$104:$R$133,MATCH(B77,'ei names mapping'!$A$104:$A$133,0),MATCH(G106,'ei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0.50892976524699929</v>
      </c>
      <c r="C107" s="12" t="str">
        <f>INDEX('ei names mapping'!$B$38:$R$67,MATCH(B77,'ei names mapping'!$A$4:$A$33,0),MATCH(G107,'ei names mapping'!$B$3:$R$3,0))</f>
        <v>RER</v>
      </c>
      <c r="D107" s="12" t="str">
        <f>INDEX('ei names mapping'!$B$104:$R$133,MATCH(B77,'ei names mapping'!$A$104:$A$133,0),MATCH(G107,'ei names mapping'!$B$3:$R$3,0))</f>
        <v>unit</v>
      </c>
      <c r="E107" s="12"/>
      <c r="F107" s="12" t="s">
        <v>91</v>
      </c>
      <c r="G107" t="s">
        <v>16</v>
      </c>
      <c r="H107" s="12" t="str">
        <f>INDEX('ei names mapping'!$B$71:$R$100,MATCH(B77,'ei names mapping'!$A$4:$A$33,0),MATCH(G107,'ei names mapping'!$B$3:$R$3,0))</f>
        <v>motor scooter, 50 cubic cm engine</v>
      </c>
    </row>
    <row r="108" spans="1:8" s="21" customFormat="1"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mapping'!$A$104:$A$133,0),MATCH(G108,'ei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1.0125</v>
      </c>
      <c r="C109" s="12" t="str">
        <f>INDEX('ei names mapping'!$B$38:$R$67,MATCH(B77,'ei names mapping'!$A$4:$A$33,0),MATCH(G109,'ei names mapping'!$B$3:$R$3,0))</f>
        <v>RER</v>
      </c>
      <c r="D109" s="12" t="str">
        <f>INDEX('ei names mapping'!$B$104:$R$133,MATCH(B77,'ei names mapping'!$A$104:$A$133,0),MATCH(G109,'ei names mapping'!$B$3:$R$3,0))</f>
        <v>kilogram</v>
      </c>
      <c r="E109" s="12"/>
      <c r="F109" s="12" t="s">
        <v>91</v>
      </c>
      <c r="G109" t="s">
        <v>24</v>
      </c>
      <c r="H109" s="12" t="str">
        <f>INDEX('ei names mapping'!$B$71:$R$100,MATCH(B77,'ei names mapping'!$A$4:$A$33,0),MATCH(G109,'ei names mapping'!$B$3:$R$3,0))</f>
        <v>polyethylene, high density, granulate</v>
      </c>
    </row>
    <row r="110" spans="1:8" s="21" customFormat="1" x14ac:dyDescent="0.3">
      <c r="A110" s="22" t="s">
        <v>468</v>
      </c>
      <c r="B110" s="21">
        <f>(B90/1000)*B101</f>
        <v>119.00000583255843</v>
      </c>
      <c r="C110" s="21" t="s">
        <v>94</v>
      </c>
      <c r="D110" s="21" t="s">
        <v>243</v>
      </c>
      <c r="F110" s="21" t="s">
        <v>91</v>
      </c>
      <c r="H110" s="22" t="s">
        <v>469</v>
      </c>
    </row>
    <row r="111" spans="1:8" s="21" customFormat="1" x14ac:dyDescent="0.3">
      <c r="A111" s="22" t="s">
        <v>467</v>
      </c>
      <c r="B111" s="2">
        <f>(B90/1000)*B100</f>
        <v>1892.100092737679</v>
      </c>
      <c r="C111" s="21" t="s">
        <v>98</v>
      </c>
      <c r="D111" s="21" t="s">
        <v>243</v>
      </c>
      <c r="F111" s="21" t="s">
        <v>91</v>
      </c>
      <c r="H111" s="22" t="s">
        <v>467</v>
      </c>
    </row>
    <row r="113" spans="1:2" ht="15.6" x14ac:dyDescent="0.3">
      <c r="A113" s="11" t="s">
        <v>72</v>
      </c>
      <c r="B113" s="9" t="str">
        <f>B115&amp;", "&amp;B117</f>
        <v>Motorbike, gasoline, 4-11kW, EURO-5, 2030</v>
      </c>
    </row>
    <row r="114" spans="1:2" x14ac:dyDescent="0.3">
      <c r="A114" t="s">
        <v>73</v>
      </c>
      <c r="B114" t="s">
        <v>37</v>
      </c>
    </row>
    <row r="115" spans="1:2" x14ac:dyDescent="0.3">
      <c r="A115" t="s">
        <v>87</v>
      </c>
      <c r="B115" t="s">
        <v>714</v>
      </c>
    </row>
    <row r="116" spans="1:2" x14ac:dyDescent="0.3">
      <c r="A116" t="s">
        <v>88</v>
      </c>
      <c r="B116" s="12"/>
    </row>
    <row r="117" spans="1:2" x14ac:dyDescent="0.3">
      <c r="A117" t="s">
        <v>89</v>
      </c>
      <c r="B117" s="12">
        <v>2030</v>
      </c>
    </row>
    <row r="118" spans="1:2" x14ac:dyDescent="0.3">
      <c r="A118" t="s">
        <v>131</v>
      </c>
      <c r="B118" s="12" t="str">
        <f>B115&amp;" - "&amp;B117&amp;" - "&amp;B114</f>
        <v>Motorbike, gasoline, 4-11kW, EURO-5 - 2030 - CH</v>
      </c>
    </row>
    <row r="119" spans="1:2" x14ac:dyDescent="0.3">
      <c r="A119" t="s">
        <v>74</v>
      </c>
      <c r="B119" t="str">
        <f>B115</f>
        <v>Motorbike, gasoline, 4-11kW, EURO-5</v>
      </c>
    </row>
    <row r="120" spans="1:2" x14ac:dyDescent="0.3">
      <c r="A120" t="s">
        <v>75</v>
      </c>
      <c r="B120" t="s">
        <v>76</v>
      </c>
    </row>
    <row r="121" spans="1:2" x14ac:dyDescent="0.3">
      <c r="A121" t="s">
        <v>77</v>
      </c>
      <c r="B121" t="s">
        <v>77</v>
      </c>
    </row>
    <row r="122" spans="1:2" x14ac:dyDescent="0.3">
      <c r="A122" t="s">
        <v>79</v>
      </c>
      <c r="B122" t="s">
        <v>90</v>
      </c>
    </row>
    <row r="123" spans="1:2" x14ac:dyDescent="0.3">
      <c r="A123" t="s">
        <v>132</v>
      </c>
      <c r="B123">
        <f>INDEX('vehicles specifications'!$B$3:$CK$86,MATCH(B118,'vehicles specifications'!$A$3:$A$86,0),MATCH("Lifetime [km]",'vehicles specifications'!$B$2:$CK$2,0))</f>
        <v>39800</v>
      </c>
    </row>
    <row r="124" spans="1:2" x14ac:dyDescent="0.3">
      <c r="A124" t="s">
        <v>133</v>
      </c>
      <c r="B124">
        <f>INDEX('vehicles specifications'!$B$3:$CK$86,MATCH(B118,'vehicles specifications'!$A$3:$A$86,0),MATCH("Passengers [unit]",'vehicles specifications'!$B$2:$CK$2,0))</f>
        <v>1.1000000000000001</v>
      </c>
    </row>
    <row r="125" spans="1:2" x14ac:dyDescent="0.3">
      <c r="A125" t="s">
        <v>134</v>
      </c>
      <c r="B125">
        <f>INDEX('vehicles specifications'!$B$3:$CK$86,MATCH(B118,'vehicles specifications'!$A$3:$A$86,0),MATCH("Servicing [unit]",'vehicles specifications'!$B$2:$CK$2,0))</f>
        <v>1</v>
      </c>
    </row>
    <row r="126" spans="1:2" x14ac:dyDescent="0.3">
      <c r="A126" t="s">
        <v>135</v>
      </c>
      <c r="B126">
        <f>INDEX('vehicles specifications'!$B$3:$CK$86,MATCH(B118,'vehicles specifications'!$A$3:$A$86,0),MATCH("Energy battery replacement [unit]",'vehicles specifications'!$B$2:$CK$2,0))</f>
        <v>0</v>
      </c>
    </row>
    <row r="127" spans="1:2" x14ac:dyDescent="0.3">
      <c r="A127" t="s">
        <v>136</v>
      </c>
      <c r="B127">
        <f>INDEX('vehicles specifications'!$B$3:$CK$86,MATCH(B118,'vehicles specifications'!$A$3:$A$86,0),MATCH("Annual kilometers [km]",'vehicles specifications'!$B$2:$CK$2,0))</f>
        <v>2758</v>
      </c>
    </row>
    <row r="128" spans="1:2" x14ac:dyDescent="0.3">
      <c r="A128" t="s">
        <v>137</v>
      </c>
      <c r="B128" s="2">
        <f>INDEX('vehicles specifications'!$B$3:$CK$86,MATCH(B118,'vehicles specifications'!$A$3:$A$86,0),MATCH("Curb mass [kg]",'vehicles specifications'!$B$2:$CK$2,0))</f>
        <v>117.03699102374857</v>
      </c>
    </row>
    <row r="129" spans="1:8" x14ac:dyDescent="0.3">
      <c r="A129" t="s">
        <v>138</v>
      </c>
      <c r="B129">
        <f>INDEX('vehicles specifications'!$B$3:$CK$86,MATCH(B118,'vehicles specifications'!$A$3:$A$86,0),MATCH("Power [kW]",'vehicles specifications'!$B$2:$CK$2,0))</f>
        <v>9</v>
      </c>
    </row>
    <row r="130" spans="1:8" x14ac:dyDescent="0.3">
      <c r="A130" t="s">
        <v>139</v>
      </c>
      <c r="B130">
        <f>INDEX('vehicles specifications'!$B$3:$CK$86,MATCH(B118,'vehicles specifications'!$A$3:$A$86,0),MATCH("Energy battery mass [kg]",'vehicles specifications'!$B$2:$CK$2,0))</f>
        <v>0</v>
      </c>
    </row>
    <row r="131" spans="1:8" x14ac:dyDescent="0.3">
      <c r="A131" t="s">
        <v>140</v>
      </c>
      <c r="B131">
        <f>INDEX('vehicles specifications'!$B$3:$CK$86,MATCH(B118,'vehicles specifications'!$A$3:$A$86,0),MATCH("Electric energy available [kWh]",'vehicles specifications'!$B$2:$CK$2,0))</f>
        <v>0</v>
      </c>
    </row>
    <row r="132" spans="1:8" x14ac:dyDescent="0.3">
      <c r="A132" t="s">
        <v>143</v>
      </c>
      <c r="B132" s="2">
        <f>INDEX('vehicles specifications'!$B$3:$CK$86,MATCH(B118,'vehicles specifications'!$A$3:$A$86,0),MATCH("Oxydation energy stored [kWh]",'vehicles specifications'!$B$2:$CK$2,0))</f>
        <v>79.5</v>
      </c>
    </row>
    <row r="133" spans="1:8" x14ac:dyDescent="0.3">
      <c r="A133" t="s">
        <v>145</v>
      </c>
      <c r="B133">
        <f>INDEX('vehicles specifications'!$B$3:$CK$86,MATCH(B118,'vehicles specifications'!$A$3:$A$86,0),MATCH("Fuel mass [kg]",'vehicles specifications'!$B$2:$CK$2,0))</f>
        <v>6.75</v>
      </c>
    </row>
    <row r="134" spans="1:8" x14ac:dyDescent="0.3">
      <c r="A134" t="s">
        <v>141</v>
      </c>
      <c r="B134" s="2">
        <f>INDEX('vehicles specifications'!$B$3:$CK$86,MATCH(B118,'vehicles specifications'!$A$3:$A$86,0),MATCH("Range [km]",'vehicles specifications'!$B$2:$CK$2,0))</f>
        <v>287.43476484200397</v>
      </c>
    </row>
    <row r="135" spans="1:8" x14ac:dyDescent="0.3">
      <c r="A135" t="s">
        <v>142</v>
      </c>
      <c r="B135" t="str">
        <f>INDEX('vehicles specifications'!$B$3:$CK$86,MATCH(B118,'vehicles specifications'!$A$3:$A$86,0),MATCH("Emission standard",'vehicles specifications'!$B$2:$CK$2,0))</f>
        <v>EURO-5</v>
      </c>
    </row>
    <row r="136" spans="1:8" x14ac:dyDescent="0.3">
      <c r="A136" t="s">
        <v>144</v>
      </c>
      <c r="B136" s="6">
        <f>INDEX('vehicles specifications'!$B$3:$CK$86,MATCH(B118,'vehicles specifications'!$A$3:$A$86,0),MATCH("Lightweighting rate [%]",'vehicles specifications'!$B$2:$CK$2,0))</f>
        <v>0.03</v>
      </c>
    </row>
    <row r="137" spans="1:8" s="21" customFormat="1" x14ac:dyDescent="0.3">
      <c r="A137" s="21" t="s">
        <v>513</v>
      </c>
      <c r="B137" s="6" t="s">
        <v>514</v>
      </c>
    </row>
    <row r="138" spans="1:8" s="21" customFormat="1" x14ac:dyDescent="0.3">
      <c r="A138" s="21" t="s">
        <v>515</v>
      </c>
      <c r="B138" s="2">
        <v>15900</v>
      </c>
    </row>
    <row r="139" spans="1:8" s="21" customFormat="1" x14ac:dyDescent="0.3">
      <c r="A139" s="21" t="s">
        <v>516</v>
      </c>
      <c r="B139" s="2">
        <v>1000</v>
      </c>
    </row>
    <row r="140" spans="1:8" s="21" customFormat="1"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9 kW. Lifetime: 39800 km. Annual kilometers: 2758 km. Number of passengers: 1.1. Curb mass: 117 kg. Lightweighting of glider: 3%. Emission standard: EURO-5. Service visits throughout lifetime: 1. Range: 287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t="s">
        <v>81</v>
      </c>
      <c r="B142" t="s">
        <v>82</v>
      </c>
      <c r="C142" t="s">
        <v>73</v>
      </c>
      <c r="D142" t="s">
        <v>77</v>
      </c>
      <c r="E142" t="s">
        <v>83</v>
      </c>
      <c r="F142" t="s">
        <v>75</v>
      </c>
      <c r="G142" t="s">
        <v>84</v>
      </c>
      <c r="H142" t="s">
        <v>74</v>
      </c>
    </row>
    <row r="143" spans="1:8" x14ac:dyDescent="0.3">
      <c r="A143" s="12" t="str">
        <f>B113</f>
        <v>Motorbike, gasoline, 4-11kW, EURO-5, 2030</v>
      </c>
      <c r="B143" s="12">
        <v>1</v>
      </c>
      <c r="C143" s="12" t="str">
        <f>B114</f>
        <v>CH</v>
      </c>
      <c r="D143" s="12" t="str">
        <f>B121</f>
        <v>unit</v>
      </c>
      <c r="E143" s="12"/>
      <c r="F143" s="12" t="s">
        <v>85</v>
      </c>
      <c r="G143" s="12" t="s">
        <v>86</v>
      </c>
      <c r="H143" s="12" t="str">
        <f>B115</f>
        <v>Motorbike, gasoline, 4-11kW,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0.7270425217814277</v>
      </c>
      <c r="C144" s="12" t="str">
        <f>INDEX('ei names mapping'!$B$38:$R$67,MATCH(B115,'ei names mapping'!$A$4:$A$33,0),MATCH(G144,'ei names mapping'!$B$3:$R$3,0))</f>
        <v>RER</v>
      </c>
      <c r="D144" s="12" t="str">
        <f>INDEX('ei names mapping'!$B$104:$R$133,MATCH(B115,'ei names mapping'!$A$104:$A$133,0),MATCH(G144,'ei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0.50892976524699929</v>
      </c>
      <c r="C145" s="12" t="str">
        <f>INDEX('ei names mapping'!$B$38:$R$67,MATCH(B115,'ei names mapping'!$A$4:$A$33,0),MATCH(G145,'ei names mapping'!$B$3:$R$3,0))</f>
        <v>RER</v>
      </c>
      <c r="D145" s="12" t="str">
        <f>INDEX('ei names mapping'!$B$104:$R$133,MATCH(B115,'ei names mapping'!$A$104:$A$133,0),MATCH(G145,'ei names mapping'!$B$3:$R$3,0))</f>
        <v>unit</v>
      </c>
      <c r="E145" s="12"/>
      <c r="F145" s="12" t="s">
        <v>91</v>
      </c>
      <c r="G145" t="s">
        <v>16</v>
      </c>
      <c r="H145" s="12" t="str">
        <f>INDEX('ei names mapping'!$B$71:$R$100,MATCH(B115,'ei names mapping'!$A$4:$A$33,0),MATCH(G145,'ei names mapping'!$B$3:$R$3,0))</f>
        <v>motor scooter, 50 cubic cm engine</v>
      </c>
    </row>
    <row r="146" spans="1:8" s="21" customFormat="1"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1.9630148088098547</v>
      </c>
      <c r="C146" s="12" t="str">
        <f>INDEX('ei names mapping'!$B$38:$R$67,MATCH(B115,'ei names mapping'!$A$4:$A$33,0),MATCH(G146,'ei names mapping'!$B$3:$R$3,0))</f>
        <v>GLO</v>
      </c>
      <c r="D146" s="12" t="str">
        <f>INDEX('ei names mapping'!$B$104:$R$133,MATCH(B115,'ei names mapping'!$A$104:$A$133,0),MATCH(G146,'ei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1.0125</v>
      </c>
      <c r="C147" s="12" t="str">
        <f>INDEX('ei names mapping'!$B$38:$R$67,MATCH(B115,'ei names mapping'!$A$4:$A$33,0),MATCH(G147,'ei names mapping'!$B$3:$R$3,0))</f>
        <v>RER</v>
      </c>
      <c r="D147" s="12" t="str">
        <f>INDEX('ei names mapping'!$B$104:$R$133,MATCH(B115,'ei names mapping'!$A$104:$A$133,0),MATCH(G147,'ei names mapping'!$B$3:$R$3,0))</f>
        <v>kilogram</v>
      </c>
      <c r="E147" s="12"/>
      <c r="F147" s="12" t="s">
        <v>91</v>
      </c>
      <c r="G147" t="s">
        <v>24</v>
      </c>
      <c r="H147" s="12" t="str">
        <f>INDEX('ei names mapping'!$B$71:$R$100,MATCH(B115,'ei names mapping'!$A$4:$A$33,0),MATCH(G147,'ei names mapping'!$B$3:$R$3,0))</f>
        <v>polyethylene, high density, granulate</v>
      </c>
    </row>
    <row r="148" spans="1:8" s="21" customFormat="1" x14ac:dyDescent="0.3">
      <c r="A148" s="22" t="s">
        <v>468</v>
      </c>
      <c r="B148" s="21">
        <f>(B128/1000)*B139</f>
        <v>117.03699102374857</v>
      </c>
      <c r="C148" s="21" t="s">
        <v>94</v>
      </c>
      <c r="D148" s="21" t="s">
        <v>243</v>
      </c>
      <c r="F148" s="21" t="s">
        <v>91</v>
      </c>
      <c r="H148" s="22" t="s">
        <v>469</v>
      </c>
    </row>
    <row r="149" spans="1:8" s="21" customFormat="1" x14ac:dyDescent="0.3">
      <c r="A149" s="22" t="s">
        <v>467</v>
      </c>
      <c r="B149" s="2">
        <f>(B128/1000)*B138</f>
        <v>1860.8881572776022</v>
      </c>
      <c r="C149" s="21" t="s">
        <v>98</v>
      </c>
      <c r="D149" s="21" t="s">
        <v>243</v>
      </c>
      <c r="F149" s="21" t="s">
        <v>91</v>
      </c>
      <c r="H149" s="22" t="s">
        <v>467</v>
      </c>
    </row>
    <row r="151" spans="1:8" ht="15.6" x14ac:dyDescent="0.3">
      <c r="A151" s="11" t="s">
        <v>72</v>
      </c>
      <c r="B151" s="9" t="str">
        <f>B153&amp;", "&amp;B155</f>
        <v>Motorbike, gasoline, 4-11kW, EURO-5, 2040</v>
      </c>
    </row>
    <row r="152" spans="1:8" x14ac:dyDescent="0.3">
      <c r="A152" t="s">
        <v>73</v>
      </c>
      <c r="B152" t="s">
        <v>37</v>
      </c>
    </row>
    <row r="153" spans="1:8" x14ac:dyDescent="0.3">
      <c r="A153" t="s">
        <v>87</v>
      </c>
      <c r="B153" t="s">
        <v>714</v>
      </c>
    </row>
    <row r="154" spans="1:8" x14ac:dyDescent="0.3">
      <c r="A154" t="s">
        <v>88</v>
      </c>
      <c r="B154" s="12"/>
    </row>
    <row r="155" spans="1:8" x14ac:dyDescent="0.3">
      <c r="A155" t="s">
        <v>89</v>
      </c>
      <c r="B155" s="12">
        <v>2040</v>
      </c>
    </row>
    <row r="156" spans="1:8" x14ac:dyDescent="0.3">
      <c r="A156" t="s">
        <v>131</v>
      </c>
      <c r="B156" s="12" t="str">
        <f>B153&amp;" - "&amp;B155&amp;" - "&amp;B152</f>
        <v>Motorbike, gasoline, 4-11kW, EURO-5 - 2040 - CH</v>
      </c>
    </row>
    <row r="157" spans="1:8" x14ac:dyDescent="0.3">
      <c r="A157" t="s">
        <v>74</v>
      </c>
      <c r="B157" t="str">
        <f>B153</f>
        <v>Motorbike, gasoline, 4-11kW, EURO-5</v>
      </c>
    </row>
    <row r="158" spans="1:8" x14ac:dyDescent="0.3">
      <c r="A158" t="s">
        <v>75</v>
      </c>
      <c r="B158" t="s">
        <v>76</v>
      </c>
    </row>
    <row r="159" spans="1:8" x14ac:dyDescent="0.3">
      <c r="A159" t="s">
        <v>77</v>
      </c>
      <c r="B159" t="s">
        <v>77</v>
      </c>
    </row>
    <row r="160" spans="1:8" x14ac:dyDescent="0.3">
      <c r="A160" t="s">
        <v>79</v>
      </c>
      <c r="B160" t="s">
        <v>90</v>
      </c>
    </row>
    <row r="161" spans="1:2" x14ac:dyDescent="0.3">
      <c r="A161" t="s">
        <v>132</v>
      </c>
      <c r="B161">
        <f>INDEX('vehicles specifications'!$B$3:$CK$86,MATCH(B156,'vehicles specifications'!$A$3:$A$86,0),MATCH("Lifetime [km]",'vehicles specifications'!$B$2:$CK$2,0))</f>
        <v>39800</v>
      </c>
    </row>
    <row r="162" spans="1:2" x14ac:dyDescent="0.3">
      <c r="A162" t="s">
        <v>133</v>
      </c>
      <c r="B162">
        <f>INDEX('vehicles specifications'!$B$3:$CK$86,MATCH(B156,'vehicles specifications'!$A$3:$A$86,0),MATCH("Passengers [unit]",'vehicles specifications'!$B$2:$CK$2,0))</f>
        <v>1.1000000000000001</v>
      </c>
    </row>
    <row r="163" spans="1:2" x14ac:dyDescent="0.3">
      <c r="A163" t="s">
        <v>134</v>
      </c>
      <c r="B163">
        <f>INDEX('vehicles specifications'!$B$3:$CK$86,MATCH(B156,'vehicles specifications'!$A$3:$A$86,0),MATCH("Servicing [unit]",'vehicles specifications'!$B$2:$CK$2,0))</f>
        <v>1</v>
      </c>
    </row>
    <row r="164" spans="1:2" x14ac:dyDescent="0.3">
      <c r="A164" t="s">
        <v>135</v>
      </c>
      <c r="B164">
        <f>INDEX('vehicles specifications'!$B$3:$CK$86,MATCH(B156,'vehicles specifications'!$A$3:$A$86,0),MATCH("Energy battery replacement [unit]",'vehicles specifications'!$B$2:$CK$2,0))</f>
        <v>0</v>
      </c>
    </row>
    <row r="165" spans="1:2" x14ac:dyDescent="0.3">
      <c r="A165" t="s">
        <v>136</v>
      </c>
      <c r="B165">
        <f>INDEX('vehicles specifications'!$B$3:$CK$86,MATCH(B156,'vehicles specifications'!$A$3:$A$86,0),MATCH("Annual kilometers [km]",'vehicles specifications'!$B$2:$CK$2,0))</f>
        <v>2758</v>
      </c>
    </row>
    <row r="166" spans="1:2" x14ac:dyDescent="0.3">
      <c r="A166" t="s">
        <v>137</v>
      </c>
      <c r="B166" s="2">
        <f>INDEX('vehicles specifications'!$B$3:$CK$86,MATCH(B156,'vehicles specifications'!$A$3:$A$86,0),MATCH("Curb mass [kg]",'vehicles specifications'!$B$2:$CK$2,0))</f>
        <v>115.728314484542</v>
      </c>
    </row>
    <row r="167" spans="1:2" x14ac:dyDescent="0.3">
      <c r="A167" t="s">
        <v>138</v>
      </c>
      <c r="B167">
        <f>INDEX('vehicles specifications'!$B$3:$CK$86,MATCH(B156,'vehicles specifications'!$A$3:$A$86,0),MATCH("Power [kW]",'vehicles specifications'!$B$2:$CK$2,0))</f>
        <v>9</v>
      </c>
    </row>
    <row r="168" spans="1:2" x14ac:dyDescent="0.3">
      <c r="A168" t="s">
        <v>139</v>
      </c>
      <c r="B168">
        <f>INDEX('vehicles specifications'!$B$3:$CK$86,MATCH(B156,'vehicles specifications'!$A$3:$A$86,0),MATCH("Energy battery mass [kg]",'vehicles specifications'!$B$2:$CK$2,0))</f>
        <v>0</v>
      </c>
    </row>
    <row r="169" spans="1:2" x14ac:dyDescent="0.3">
      <c r="A169" t="s">
        <v>140</v>
      </c>
      <c r="B169">
        <f>INDEX('vehicles specifications'!$B$3:$CK$86,MATCH(B156,'vehicles specifications'!$A$3:$A$86,0),MATCH("Electric energy available [kWh]",'vehicles specifications'!$B$2:$CK$2,0))</f>
        <v>0</v>
      </c>
    </row>
    <row r="170" spans="1:2" x14ac:dyDescent="0.3">
      <c r="A170" t="s">
        <v>143</v>
      </c>
      <c r="B170" s="2">
        <f>INDEX('vehicles specifications'!$B$3:$CK$86,MATCH(B156,'vehicles specifications'!$A$3:$A$86,0),MATCH("Oxydation energy stored [kWh]",'vehicles specifications'!$B$2:$CK$2,0))</f>
        <v>79.5</v>
      </c>
    </row>
    <row r="171" spans="1:2" x14ac:dyDescent="0.3">
      <c r="A171" t="s">
        <v>145</v>
      </c>
      <c r="B171">
        <f>INDEX('vehicles specifications'!$B$3:$CK$86,MATCH(B156,'vehicles specifications'!$A$3:$A$86,0),MATCH("Fuel mass [kg]",'vehicles specifications'!$B$2:$CK$2,0))</f>
        <v>6.75</v>
      </c>
    </row>
    <row r="172" spans="1:2" x14ac:dyDescent="0.3">
      <c r="A172" t="s">
        <v>141</v>
      </c>
      <c r="B172" s="2">
        <f>INDEX('vehicles specifications'!$B$3:$CK$86,MATCH(B156,'vehicles specifications'!$A$3:$A$86,0),MATCH("Range [km]",'vehicles specifications'!$B$2:$CK$2,0))</f>
        <v>290.33814630505458</v>
      </c>
    </row>
    <row r="173" spans="1:2" x14ac:dyDescent="0.3">
      <c r="A173" t="s">
        <v>142</v>
      </c>
      <c r="B173" t="str">
        <f>INDEX('vehicles specifications'!$B$3:$CK$86,MATCH(B156,'vehicles specifications'!$A$3:$A$86,0),MATCH("Emission standard",'vehicles specifications'!$B$2:$CK$2,0))</f>
        <v>EURO-5</v>
      </c>
    </row>
    <row r="174" spans="1:2" x14ac:dyDescent="0.3">
      <c r="A174" t="s">
        <v>144</v>
      </c>
      <c r="B174" s="6">
        <f>INDEX('vehicles specifications'!$B$3:$CK$86,MATCH(B156,'vehicles specifications'!$A$3:$A$86,0),MATCH("Lightweighting rate [%]",'vehicles specifications'!$B$2:$CK$2,0))</f>
        <v>0.05</v>
      </c>
    </row>
    <row r="175" spans="1:2" s="21" customFormat="1" x14ac:dyDescent="0.3">
      <c r="A175" s="21" t="s">
        <v>513</v>
      </c>
      <c r="B175" s="6" t="s">
        <v>514</v>
      </c>
    </row>
    <row r="176" spans="1:2" s="21" customFormat="1" x14ac:dyDescent="0.3">
      <c r="A176" s="21" t="s">
        <v>515</v>
      </c>
      <c r="B176" s="2">
        <v>15900</v>
      </c>
    </row>
    <row r="177" spans="1:8" s="21" customFormat="1" x14ac:dyDescent="0.3">
      <c r="A177" s="21" t="s">
        <v>516</v>
      </c>
      <c r="B177" s="2">
        <v>1000</v>
      </c>
    </row>
    <row r="178" spans="1:8" s="21" customFormat="1"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9 kW. Lifetime: 39800 km. Annual kilometers: 2758 km. Number of passengers: 1.1. Curb mass: 115.7 kg. Lightweighting of glider: 5%. Emission standard: EURO-5. Service visits throughout lifetime: 1. Range: 290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t="s">
        <v>81</v>
      </c>
      <c r="B180" t="s">
        <v>82</v>
      </c>
      <c r="C180" t="s">
        <v>73</v>
      </c>
      <c r="D180" t="s">
        <v>77</v>
      </c>
      <c r="E180" t="s">
        <v>83</v>
      </c>
      <c r="F180" t="s">
        <v>75</v>
      </c>
      <c r="G180" t="s">
        <v>84</v>
      </c>
      <c r="H180" t="s">
        <v>74</v>
      </c>
    </row>
    <row r="181" spans="1:8" x14ac:dyDescent="0.3">
      <c r="A181" s="12" t="str">
        <f>B151</f>
        <v>Motorbike, gasoline, 4-11kW, EURO-5, 2040</v>
      </c>
      <c r="B181" s="12">
        <v>1</v>
      </c>
      <c r="C181" s="12" t="str">
        <f>B152</f>
        <v>CH</v>
      </c>
      <c r="D181" s="12" t="str">
        <f>B159</f>
        <v>unit</v>
      </c>
      <c r="E181" s="12"/>
      <c r="F181" s="12" t="s">
        <v>85</v>
      </c>
      <c r="G181" s="12" t="s">
        <v>86</v>
      </c>
      <c r="H181" s="12" t="str">
        <f>B153</f>
        <v>Motorbike, gasoline, 4-11kW,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0.7270425217814277</v>
      </c>
      <c r="C182" s="12" t="str">
        <f>INDEX('ei names mapping'!$B$38:$R$67,MATCH(B153,'ei names mapping'!$A$4:$A$33,0),MATCH(G182,'ei names mapping'!$B$3:$R$3,0))</f>
        <v>RER</v>
      </c>
      <c r="D182" s="12" t="str">
        <f>INDEX('ei names mapping'!$B$104:$R$133,MATCH(B153,'ei names mapping'!$A$104:$A$133,0),MATCH(G182,'ei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0.50892976524699929</v>
      </c>
      <c r="C183" s="12" t="str">
        <f>INDEX('ei names mapping'!$B$38:$R$67,MATCH(B153,'ei names mapping'!$A$4:$A$33,0),MATCH(G183,'ei names mapping'!$B$3:$R$3,0))</f>
        <v>RER</v>
      </c>
      <c r="D183" s="12" t="str">
        <f>INDEX('ei names mapping'!$B$104:$R$133,MATCH(B153,'ei names mapping'!$A$104:$A$133,0),MATCH(G183,'ei names mapping'!$B$3:$R$3,0))</f>
        <v>unit</v>
      </c>
      <c r="E183" s="12"/>
      <c r="F183" s="12" t="s">
        <v>91</v>
      </c>
      <c r="G183" t="s">
        <v>16</v>
      </c>
      <c r="H183" s="12" t="str">
        <f>INDEX('ei names mapping'!$B$71:$R$100,MATCH(B153,'ei names mapping'!$A$4:$A$33,0),MATCH(G183,'ei names mapping'!$B$3:$R$3,0))</f>
        <v>motor scooter, 50 cubic cm engine</v>
      </c>
    </row>
    <row r="184" spans="1:8" s="21" customFormat="1"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3.2716913480164247</v>
      </c>
      <c r="C184" s="12" t="str">
        <f>INDEX('ei names mapping'!$B$38:$R$67,MATCH(B153,'ei names mapping'!$A$4:$A$33,0),MATCH(G184,'ei names mapping'!$B$3:$R$3,0))</f>
        <v>GLO</v>
      </c>
      <c r="D184" s="12" t="str">
        <f>INDEX('ei names mapping'!$B$104:$R$133,MATCH(B153,'ei names mapping'!$A$104:$A$133,0),MATCH(G184,'ei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1.0125</v>
      </c>
      <c r="C185" s="12" t="str">
        <f>INDEX('ei names mapping'!$B$38:$R$67,MATCH(B153,'ei names mapping'!$A$4:$A$33,0),MATCH(G185,'ei names mapping'!$B$3:$R$3,0))</f>
        <v>RER</v>
      </c>
      <c r="D185" s="12" t="str">
        <f>INDEX('ei names mapping'!$B$104:$R$133,MATCH(B153,'ei names mapping'!$A$104:$A$133,0),MATCH(G185,'ei names mapping'!$B$3:$R$3,0))</f>
        <v>kilogram</v>
      </c>
      <c r="E185" s="12"/>
      <c r="F185" s="12" t="s">
        <v>91</v>
      </c>
      <c r="G185" t="s">
        <v>24</v>
      </c>
      <c r="H185" s="12" t="str">
        <f>INDEX('ei names mapping'!$B$71:$R$100,MATCH(B153,'ei names mapping'!$A$4:$A$33,0),MATCH(G185,'ei names mapping'!$B$3:$R$3,0))</f>
        <v>polyethylene, high density, granulate</v>
      </c>
    </row>
    <row r="186" spans="1:8" s="21" customFormat="1" x14ac:dyDescent="0.3">
      <c r="A186" s="22" t="s">
        <v>468</v>
      </c>
      <c r="B186" s="21">
        <f>(B166/1000)*B177</f>
        <v>115.728314484542</v>
      </c>
      <c r="C186" s="21" t="s">
        <v>94</v>
      </c>
      <c r="D186" s="21" t="s">
        <v>243</v>
      </c>
      <c r="F186" s="21" t="s">
        <v>91</v>
      </c>
      <c r="H186" s="22" t="s">
        <v>469</v>
      </c>
    </row>
    <row r="187" spans="1:8" s="21" customFormat="1" x14ac:dyDescent="0.3">
      <c r="A187" s="22" t="s">
        <v>467</v>
      </c>
      <c r="B187" s="2">
        <f>(B166/1000)*B176</f>
        <v>1840.0802003042179</v>
      </c>
      <c r="C187" s="21" t="s">
        <v>98</v>
      </c>
      <c r="D187" s="21" t="s">
        <v>243</v>
      </c>
      <c r="F187" s="21" t="s">
        <v>91</v>
      </c>
      <c r="H187" s="22" t="s">
        <v>467</v>
      </c>
    </row>
    <row r="189" spans="1:8" ht="15.6" x14ac:dyDescent="0.3">
      <c r="A189" s="11" t="s">
        <v>72</v>
      </c>
      <c r="B189" s="9" t="str">
        <f>B191&amp;", "&amp;B193</f>
        <v>Motorbike, gasoline, 4-11kW, EURO-5, 2050</v>
      </c>
    </row>
    <row r="190" spans="1:8" x14ac:dyDescent="0.3">
      <c r="A190" t="s">
        <v>73</v>
      </c>
      <c r="B190" t="s">
        <v>37</v>
      </c>
    </row>
    <row r="191" spans="1:8" x14ac:dyDescent="0.3">
      <c r="A191" t="s">
        <v>87</v>
      </c>
      <c r="B191" t="s">
        <v>714</v>
      </c>
    </row>
    <row r="192" spans="1:8" x14ac:dyDescent="0.3">
      <c r="A192" t="s">
        <v>88</v>
      </c>
      <c r="B192" s="12"/>
    </row>
    <row r="193" spans="1:2" x14ac:dyDescent="0.3">
      <c r="A193" t="s">
        <v>89</v>
      </c>
      <c r="B193" s="12">
        <v>2050</v>
      </c>
    </row>
    <row r="194" spans="1:2" x14ac:dyDescent="0.3">
      <c r="A194" t="s">
        <v>131</v>
      </c>
      <c r="B194" s="12" t="str">
        <f>B191&amp;" - "&amp;B193&amp;" - "&amp;B190</f>
        <v>Motorbike, gasoline, 4-11kW, EURO-5 - 2050 - CH</v>
      </c>
    </row>
    <row r="195" spans="1:2" x14ac:dyDescent="0.3">
      <c r="A195" t="s">
        <v>74</v>
      </c>
      <c r="B195" t="str">
        <f>B191</f>
        <v>Motorbike, gasoline, 4-11kW, EURO-5</v>
      </c>
    </row>
    <row r="196" spans="1:2" x14ac:dyDescent="0.3">
      <c r="A196" t="s">
        <v>75</v>
      </c>
      <c r="B196" t="s">
        <v>76</v>
      </c>
    </row>
    <row r="197" spans="1:2" x14ac:dyDescent="0.3">
      <c r="A197" t="s">
        <v>77</v>
      </c>
      <c r="B197" t="s">
        <v>77</v>
      </c>
    </row>
    <row r="198" spans="1:2" x14ac:dyDescent="0.3">
      <c r="A198" t="s">
        <v>79</v>
      </c>
      <c r="B198" t="s">
        <v>90</v>
      </c>
    </row>
    <row r="199" spans="1:2" x14ac:dyDescent="0.3">
      <c r="A199" t="s">
        <v>132</v>
      </c>
      <c r="B199">
        <f>INDEX('vehicles specifications'!$B$3:$CK$86,MATCH(B194,'vehicles specifications'!$A$3:$A$86,0),MATCH("Lifetime [km]",'vehicles specifications'!$B$2:$CK$2,0))</f>
        <v>39800</v>
      </c>
    </row>
    <row r="200" spans="1:2" x14ac:dyDescent="0.3">
      <c r="A200" t="s">
        <v>133</v>
      </c>
      <c r="B200">
        <f>INDEX('vehicles specifications'!$B$3:$CK$86,MATCH(B194,'vehicles specifications'!$A$3:$A$86,0),MATCH("Passengers [unit]",'vehicles specifications'!$B$2:$CK$2,0))</f>
        <v>1.1000000000000001</v>
      </c>
    </row>
    <row r="201" spans="1:2" x14ac:dyDescent="0.3">
      <c r="A201" t="s">
        <v>134</v>
      </c>
      <c r="B201">
        <f>INDEX('vehicles specifications'!$B$3:$CK$86,MATCH(B194,'vehicles specifications'!$A$3:$A$86,0),MATCH("Servicing [unit]",'vehicles specifications'!$B$2:$CK$2,0))</f>
        <v>1</v>
      </c>
    </row>
    <row r="202" spans="1:2" x14ac:dyDescent="0.3">
      <c r="A202" t="s">
        <v>135</v>
      </c>
      <c r="B202">
        <f>INDEX('vehicles specifications'!$B$3:$CK$86,MATCH(B194,'vehicles specifications'!$A$3:$A$86,0),MATCH("Energy battery replacement [unit]",'vehicles specifications'!$B$2:$CK$2,0))</f>
        <v>0</v>
      </c>
    </row>
    <row r="203" spans="1:2" x14ac:dyDescent="0.3">
      <c r="A203" t="s">
        <v>136</v>
      </c>
      <c r="B203">
        <f>INDEX('vehicles specifications'!$B$3:$CK$86,MATCH(B194,'vehicles specifications'!$A$3:$A$86,0),MATCH("Annual kilometers [km]",'vehicles specifications'!$B$2:$CK$2,0))</f>
        <v>2758</v>
      </c>
    </row>
    <row r="204" spans="1:2" x14ac:dyDescent="0.3">
      <c r="A204" t="s">
        <v>137</v>
      </c>
      <c r="B204" s="2">
        <f>INDEX('vehicles specifications'!$B$3:$CK$86,MATCH(B194,'vehicles specifications'!$A$3:$A$86,0),MATCH("Curb mass [kg]",'vehicles specifications'!$B$2:$CK$2,0))</f>
        <v>114.41963794533542</v>
      </c>
    </row>
    <row r="205" spans="1:2" x14ac:dyDescent="0.3">
      <c r="A205" t="s">
        <v>138</v>
      </c>
      <c r="B205">
        <f>INDEX('vehicles specifications'!$B$3:$CK$86,MATCH(B194,'vehicles specifications'!$A$3:$A$86,0),MATCH("Power [kW]",'vehicles specifications'!$B$2:$CK$2,0))</f>
        <v>9</v>
      </c>
    </row>
    <row r="206" spans="1:2" x14ac:dyDescent="0.3">
      <c r="A206" t="s">
        <v>139</v>
      </c>
      <c r="B206">
        <f>INDEX('vehicles specifications'!$B$3:$CK$86,MATCH(B194,'vehicles specifications'!$A$3:$A$86,0),MATCH("Energy battery mass [kg]",'vehicles specifications'!$B$2:$CK$2,0))</f>
        <v>0</v>
      </c>
    </row>
    <row r="207" spans="1:2" x14ac:dyDescent="0.3">
      <c r="A207" t="s">
        <v>140</v>
      </c>
      <c r="B207">
        <f>INDEX('vehicles specifications'!$B$3:$CK$86,MATCH(B194,'vehicles specifications'!$A$3:$A$86,0),MATCH("Electric energy available [kWh]",'vehicles specifications'!$B$2:$CK$2,0))</f>
        <v>0</v>
      </c>
    </row>
    <row r="208" spans="1:2" x14ac:dyDescent="0.3">
      <c r="A208" t="s">
        <v>143</v>
      </c>
      <c r="B208" s="2">
        <f>INDEX('vehicles specifications'!$B$3:$CK$86,MATCH(B194,'vehicles specifications'!$A$3:$A$86,0),MATCH("Oxydation energy stored [kWh]",'vehicles specifications'!$B$2:$CK$2,0))</f>
        <v>79.5</v>
      </c>
    </row>
    <row r="209" spans="1:8" x14ac:dyDescent="0.3">
      <c r="A209" t="s">
        <v>145</v>
      </c>
      <c r="B209">
        <f>INDEX('vehicles specifications'!$B$3:$CK$86,MATCH(B194,'vehicles specifications'!$A$3:$A$86,0),MATCH("Fuel mass [kg]",'vehicles specifications'!$B$2:$CK$2,0))</f>
        <v>6.75</v>
      </c>
    </row>
    <row r="210" spans="1:8" x14ac:dyDescent="0.3">
      <c r="A210" t="s">
        <v>141</v>
      </c>
      <c r="B210" s="2">
        <f>INDEX('vehicles specifications'!$B$3:$CK$86,MATCH(B194,'vehicles specifications'!$A$3:$A$86,0),MATCH("Range [km]",'vehicles specifications'!$B$2:$CK$2,0))</f>
        <v>293.27085485359044</v>
      </c>
    </row>
    <row r="211" spans="1:8" x14ac:dyDescent="0.3">
      <c r="A211" t="s">
        <v>142</v>
      </c>
      <c r="B211" t="str">
        <f>INDEX('vehicles specifications'!$B$3:$CK$86,MATCH(B194,'vehicles specifications'!$A$3:$A$86,0),MATCH("Emission standard",'vehicles specifications'!$B$2:$CK$2,0))</f>
        <v>EURO-5</v>
      </c>
    </row>
    <row r="212" spans="1:8" x14ac:dyDescent="0.3">
      <c r="A212" t="s">
        <v>144</v>
      </c>
      <c r="B212" s="6">
        <f>INDEX('vehicles specifications'!$B$3:$CK$86,MATCH(B194,'vehicles specifications'!$A$3:$A$86,0),MATCH("Lightweighting rate [%]",'vehicles specifications'!$B$2:$CK$2,0))</f>
        <v>7.0000000000000007E-2</v>
      </c>
    </row>
    <row r="213" spans="1:8" s="21" customFormat="1" x14ac:dyDescent="0.3">
      <c r="A213" s="21" t="s">
        <v>513</v>
      </c>
      <c r="B213" s="6" t="s">
        <v>514</v>
      </c>
    </row>
    <row r="214" spans="1:8" s="21" customFormat="1" x14ac:dyDescent="0.3">
      <c r="A214" s="21" t="s">
        <v>515</v>
      </c>
      <c r="B214" s="2">
        <v>15900</v>
      </c>
    </row>
    <row r="215" spans="1:8" s="21" customFormat="1" x14ac:dyDescent="0.3">
      <c r="A215" s="21" t="s">
        <v>516</v>
      </c>
      <c r="B215" s="2">
        <v>1000</v>
      </c>
    </row>
    <row r="216" spans="1:8" s="21" customFormat="1"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9 kW. Lifetime: 39800 km. Annual kilometers: 2758 km. Number of passengers: 1.1. Curb mass: 114.4 kg. Lightweighting of glider: 7%. Emission standard: EURO-5. Service visits throughout lifetime: 1. Range: 293 km. Battery capacity: 0 kWh. Battery mass: 0 kg. Battery replacement throughout lifetime: 0. Fuel tank capacity: 79.5 kWh. Fuel mass: 6.8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t="s">
        <v>81</v>
      </c>
      <c r="B218" t="s">
        <v>82</v>
      </c>
      <c r="C218" t="s">
        <v>73</v>
      </c>
      <c r="D218" t="s">
        <v>77</v>
      </c>
      <c r="E218" t="s">
        <v>83</v>
      </c>
      <c r="F218" t="s">
        <v>75</v>
      </c>
      <c r="G218" t="s">
        <v>84</v>
      </c>
      <c r="H218" t="s">
        <v>74</v>
      </c>
    </row>
    <row r="219" spans="1:8" x14ac:dyDescent="0.3">
      <c r="A219" s="12" t="str">
        <f>B189</f>
        <v>Motorbike, gasoline, 4-11kW, EURO-5, 2050</v>
      </c>
      <c r="B219" s="12">
        <v>1</v>
      </c>
      <c r="C219" s="12" t="str">
        <f>B190</f>
        <v>CH</v>
      </c>
      <c r="D219" s="12" t="str">
        <f>B197</f>
        <v>unit</v>
      </c>
      <c r="E219" s="12"/>
      <c r="F219" s="12" t="s">
        <v>85</v>
      </c>
      <c r="G219" s="12" t="s">
        <v>86</v>
      </c>
      <c r="H219" s="12" t="str">
        <f>B191</f>
        <v>Motorbike, gasoline, 4-11kW,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0.7270425217814277</v>
      </c>
      <c r="C220" s="12" t="str">
        <f>INDEX('ei names mapping'!$B$38:$R$67,MATCH(B191,'ei names mapping'!$A$4:$A$33,0),MATCH(G220,'ei names mapping'!$B$3:$R$3,0))</f>
        <v>RER</v>
      </c>
      <c r="D220" s="12" t="str">
        <f>INDEX('ei names mapping'!$B$104:$R$133,MATCH(B191,'ei names mapping'!$A$104:$A$133,0),MATCH(G220,'ei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0.50892976524699929</v>
      </c>
      <c r="C221" s="12" t="str">
        <f>INDEX('ei names mapping'!$B$38:$R$67,MATCH(B191,'ei names mapping'!$A$4:$A$33,0),MATCH(G221,'ei names mapping'!$B$3:$R$3,0))</f>
        <v>RER</v>
      </c>
      <c r="D221" s="12" t="str">
        <f>INDEX('ei names mapping'!$B$104:$R$133,MATCH(B191,'ei names mapping'!$A$104:$A$133,0),MATCH(G221,'ei names mapping'!$B$3:$R$3,0))</f>
        <v>unit</v>
      </c>
      <c r="E221" s="12"/>
      <c r="F221" s="12" t="s">
        <v>91</v>
      </c>
      <c r="G221" t="s">
        <v>16</v>
      </c>
      <c r="H221" s="12" t="str">
        <f>INDEX('ei names mapping'!$B$71:$R$100,MATCH(B191,'ei names mapping'!$A$4:$A$33,0),MATCH(G221,'ei names mapping'!$B$3:$R$3,0))</f>
        <v>motor scooter, 50 cubic cm engine</v>
      </c>
    </row>
    <row r="222" spans="1:8" s="21" customFormat="1"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4.5803678872229945</v>
      </c>
      <c r="C222" s="12" t="str">
        <f>INDEX('ei names mapping'!$B$38:$R$67,MATCH(B191,'ei names mapping'!$A$4:$A$33,0),MATCH(G222,'ei names mapping'!$B$3:$R$3,0))</f>
        <v>GLO</v>
      </c>
      <c r="D222" s="12" t="str">
        <f>INDEX('ei names mapping'!$B$104:$R$133,MATCH(B191,'ei names mapping'!$A$104:$A$133,0),MATCH(G222,'ei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1.0125</v>
      </c>
      <c r="C223" s="12" t="str">
        <f>INDEX('ei names mapping'!$B$38:$R$67,MATCH(B191,'ei names mapping'!$A$4:$A$33,0),MATCH(G223,'ei names mapping'!$B$3:$R$3,0))</f>
        <v>RER</v>
      </c>
      <c r="D223" s="12" t="str">
        <f>INDEX('ei names mapping'!$B$104:$R$133,MATCH(B191,'ei names mapping'!$A$104:$A$133,0),MATCH(G223,'ei names mapping'!$B$3:$R$3,0))</f>
        <v>kilogram</v>
      </c>
      <c r="E223" s="12"/>
      <c r="F223" s="12" t="s">
        <v>91</v>
      </c>
      <c r="G223" t="s">
        <v>24</v>
      </c>
      <c r="H223" s="12" t="str">
        <f>INDEX('ei names mapping'!$B$71:$R$100,MATCH(B191,'ei names mapping'!$A$4:$A$33,0),MATCH(G223,'ei names mapping'!$B$3:$R$3,0))</f>
        <v>polyethylene, high density, granulate</v>
      </c>
    </row>
    <row r="224" spans="1:8" s="21" customFormat="1" x14ac:dyDescent="0.3">
      <c r="A224" s="22" t="s">
        <v>468</v>
      </c>
      <c r="B224" s="21">
        <f>(B204/1000)*B215</f>
        <v>114.41963794533542</v>
      </c>
      <c r="C224" s="21" t="s">
        <v>94</v>
      </c>
      <c r="D224" s="21" t="s">
        <v>243</v>
      </c>
      <c r="F224" s="21" t="s">
        <v>91</v>
      </c>
      <c r="H224" s="22" t="s">
        <v>469</v>
      </c>
    </row>
    <row r="225" spans="1:8" s="21" customFormat="1" x14ac:dyDescent="0.3">
      <c r="A225" s="22" t="s">
        <v>467</v>
      </c>
      <c r="B225" s="2">
        <f>(B204/1000)*B214</f>
        <v>1819.2722433308334</v>
      </c>
      <c r="C225" s="21" t="s">
        <v>98</v>
      </c>
      <c r="D225" s="21" t="s">
        <v>243</v>
      </c>
      <c r="F225" s="21" t="s">
        <v>91</v>
      </c>
      <c r="H225" s="22" t="s">
        <v>467</v>
      </c>
    </row>
    <row r="227" spans="1:8" ht="15.6" x14ac:dyDescent="0.3">
      <c r="A227" s="11" t="s">
        <v>72</v>
      </c>
      <c r="B227" s="9" t="str">
        <f>"transport, "&amp;B229&amp;", "&amp;B231</f>
        <v>transport, Motorbike, gasoline, 4-11kW, EURO-3, 2006</v>
      </c>
    </row>
    <row r="228" spans="1:8" x14ac:dyDescent="0.3">
      <c r="A228" t="s">
        <v>73</v>
      </c>
      <c r="B228" t="s">
        <v>37</v>
      </c>
    </row>
    <row r="229" spans="1:8" x14ac:dyDescent="0.3">
      <c r="A229" t="s">
        <v>87</v>
      </c>
      <c r="B229" t="s">
        <v>712</v>
      </c>
    </row>
    <row r="230" spans="1:8" x14ac:dyDescent="0.3">
      <c r="A230" t="s">
        <v>88</v>
      </c>
      <c r="B230" s="12"/>
    </row>
    <row r="231" spans="1:8" x14ac:dyDescent="0.3">
      <c r="A231" t="s">
        <v>89</v>
      </c>
      <c r="B231" s="12">
        <v>2006</v>
      </c>
    </row>
    <row r="232" spans="1:8" x14ac:dyDescent="0.3">
      <c r="A232" t="s">
        <v>131</v>
      </c>
      <c r="B232" s="12" t="str">
        <f>B229&amp;" - "&amp;B231&amp;" - "&amp;B228</f>
        <v>Motorbike, gasoline, 4-11kW, EURO-3 - 2006 - CH</v>
      </c>
    </row>
    <row r="233" spans="1:8" x14ac:dyDescent="0.3">
      <c r="A233" t="s">
        <v>74</v>
      </c>
      <c r="B233" s="12" t="str">
        <f>"transport, "&amp;B229</f>
        <v>transport, Motorbike, gasoline, 4-11kW, EURO-3</v>
      </c>
    </row>
    <row r="234" spans="1:8" x14ac:dyDescent="0.3">
      <c r="A234" t="s">
        <v>75</v>
      </c>
      <c r="B234" t="s">
        <v>76</v>
      </c>
    </row>
    <row r="235" spans="1:8" x14ac:dyDescent="0.3">
      <c r="A235" t="s">
        <v>77</v>
      </c>
      <c r="B235" t="s">
        <v>172</v>
      </c>
    </row>
    <row r="236" spans="1:8" x14ac:dyDescent="0.3">
      <c r="A236" t="s">
        <v>79</v>
      </c>
      <c r="B236" t="s">
        <v>90</v>
      </c>
    </row>
    <row r="237" spans="1:8" x14ac:dyDescent="0.3">
      <c r="A237" t="s">
        <v>132</v>
      </c>
      <c r="B237">
        <f>INDEX('vehicles specifications'!$B$3:$CK$86,MATCH(B232,'vehicles specifications'!$A$3:$A$86,0),MATCH("Lifetime [km]",'vehicles specifications'!$B$2:$CK$2,0))</f>
        <v>39800</v>
      </c>
    </row>
    <row r="238" spans="1:8" x14ac:dyDescent="0.3">
      <c r="A238" t="s">
        <v>133</v>
      </c>
      <c r="B238">
        <f>INDEX('vehicles specifications'!$B$3:$CK$86,MATCH(B232,'vehicles specifications'!$A$3:$A$86,0),MATCH("Passengers [unit]",'vehicles specifications'!$B$2:$CK$2,0))</f>
        <v>1.1000000000000001</v>
      </c>
    </row>
    <row r="239" spans="1:8" x14ac:dyDescent="0.3">
      <c r="A239" t="s">
        <v>134</v>
      </c>
      <c r="B239">
        <f>INDEX('vehicles specifications'!$B$3:$CK$86,MATCH(B232,'vehicles specifications'!$A$3:$A$86,0),MATCH("Servicing [unit]",'vehicles specifications'!$B$2:$CK$2,0))</f>
        <v>1</v>
      </c>
    </row>
    <row r="240" spans="1:8" x14ac:dyDescent="0.3">
      <c r="A240" t="s">
        <v>135</v>
      </c>
      <c r="B240">
        <f>INDEX('vehicles specifications'!$B$3:$CK$86,MATCH(B232,'vehicles specifications'!$A$3:$A$86,0),MATCH("Energy battery replacement [unit]",'vehicles specifications'!$B$2:$CK$2,0))</f>
        <v>0</v>
      </c>
    </row>
    <row r="241" spans="1:8" x14ac:dyDescent="0.3">
      <c r="A241" t="s">
        <v>136</v>
      </c>
      <c r="B241">
        <f>INDEX('vehicles specifications'!$B$3:$CK$86,MATCH(B232,'vehicles specifications'!$A$3:$A$86,0),MATCH("Annual kilometers [km]",'vehicles specifications'!$B$2:$CK$2,0))</f>
        <v>2758</v>
      </c>
    </row>
    <row r="242" spans="1:8" x14ac:dyDescent="0.3">
      <c r="A242" t="s">
        <v>137</v>
      </c>
      <c r="B242" s="2">
        <f>INDEX('vehicles specifications'!$B$3:$CK$86,MATCH(B232,'vehicles specifications'!$A$3:$A$86,0),MATCH("Curb mass [kg]",'vehicles specifications'!$B$2:$CK$2,0))</f>
        <v>122.27169718057486</v>
      </c>
    </row>
    <row r="243" spans="1:8" x14ac:dyDescent="0.3">
      <c r="A243" t="s">
        <v>138</v>
      </c>
      <c r="B243">
        <f>INDEX('vehicles specifications'!$B$3:$CK$86,MATCH(B232,'vehicles specifications'!$A$3:$A$86,0),MATCH("Power [kW]",'vehicles specifications'!$B$2:$CK$2,0))</f>
        <v>9</v>
      </c>
    </row>
    <row r="244" spans="1:8" x14ac:dyDescent="0.3">
      <c r="A244" t="s">
        <v>139</v>
      </c>
      <c r="B244">
        <f>INDEX('vehicles specifications'!$B$3:$CK$86,MATCH(B232,'vehicles specifications'!$A$3:$A$86,0),MATCH("Energy battery mass [kg]",'vehicles specifications'!$B$2:$CK$2,0))</f>
        <v>0</v>
      </c>
    </row>
    <row r="245" spans="1:8" x14ac:dyDescent="0.3">
      <c r="A245" t="s">
        <v>140</v>
      </c>
      <c r="B245">
        <f>INDEX('vehicles specifications'!$B$3:$CK$86,MATCH(B232,'vehicles specifications'!$A$3:$A$86,0),MATCH("Electric energy available [kWh]",'vehicles specifications'!$B$2:$CK$2,0))</f>
        <v>0</v>
      </c>
    </row>
    <row r="246" spans="1:8" x14ac:dyDescent="0.3">
      <c r="A246" t="s">
        <v>143</v>
      </c>
      <c r="B246" s="2">
        <f>INDEX('vehicles specifications'!$B$3:$CK$86,MATCH(B232,'vehicles specifications'!$A$3:$A$86,0),MATCH("Oxydation energy stored [kWh]",'vehicles specifications'!$B$2:$CK$2,0))</f>
        <v>79.5</v>
      </c>
    </row>
    <row r="247" spans="1:8" x14ac:dyDescent="0.3">
      <c r="A247" t="s">
        <v>145</v>
      </c>
      <c r="B247">
        <f>INDEX('vehicles specifications'!$B$3:$CK$86,MATCH(B232,'vehicles specifications'!$A$3:$A$86,0),MATCH("Fuel mass [kg]",'vehicles specifications'!$B$2:$CK$2,0))</f>
        <v>6.75</v>
      </c>
    </row>
    <row r="248" spans="1:8" x14ac:dyDescent="0.3">
      <c r="A248" t="s">
        <v>141</v>
      </c>
      <c r="B248" s="2">
        <f>INDEX('vehicles specifications'!$B$3:$CK$86,MATCH(B232,'vehicles specifications'!$A$3:$A$86,0),MATCH("Range [km]",'vehicles specifications'!$B$2:$CK$2,0))</f>
        <v>278.92555744717635</v>
      </c>
    </row>
    <row r="249" spans="1:8" x14ac:dyDescent="0.3">
      <c r="A249" t="s">
        <v>142</v>
      </c>
      <c r="B249" t="str">
        <f>INDEX('vehicles specifications'!$B$3:$CK$86,MATCH(B232,'vehicles specifications'!$A$3:$A$86,0),MATCH("Emission standard",'vehicles specifications'!$B$2:$CK$2,0))</f>
        <v>EURO-3</v>
      </c>
    </row>
    <row r="250" spans="1:8" x14ac:dyDescent="0.3">
      <c r="A250" t="s">
        <v>144</v>
      </c>
      <c r="B250" s="6">
        <f>INDEX('vehicles specifications'!$B$3:$CK$86,MATCH(B232,'vehicles specifications'!$A$3:$A$86,0),MATCH("Lightweighting rate [%]",'vehicles specifications'!$B$2:$CK$2,0))</f>
        <v>-0.05</v>
      </c>
    </row>
    <row r="251" spans="1:8" x14ac:dyDescent="0.3">
      <c r="A25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9 kW. Lifetime: 39800 km. Annual kilometers: 2758 km. Number of passengers: 1.1. Curb mass: 122.3 kg. Lightweighting of glider: -5%. Emission standard: EURO-3. Service visits throughout lifetime: 1. Range: 279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t="s">
        <v>81</v>
      </c>
      <c r="B253" t="s">
        <v>82</v>
      </c>
      <c r="C253" t="s">
        <v>73</v>
      </c>
      <c r="D253" t="s">
        <v>77</v>
      </c>
      <c r="E253" t="s">
        <v>83</v>
      </c>
      <c r="F253" t="s">
        <v>75</v>
      </c>
      <c r="G253" t="s">
        <v>84</v>
      </c>
      <c r="H253" t="s">
        <v>74</v>
      </c>
    </row>
    <row r="254" spans="1:8" x14ac:dyDescent="0.3">
      <c r="A254" s="12" t="str">
        <f>B227</f>
        <v>transport, Motorbike, gasoline, 4-11kW, EURO-3, 2006</v>
      </c>
      <c r="B254" s="12">
        <v>1</v>
      </c>
      <c r="C254" s="12" t="str">
        <f>B228</f>
        <v>CH</v>
      </c>
      <c r="D254" s="12" t="s">
        <v>172</v>
      </c>
      <c r="E254" s="12"/>
      <c r="F254" s="12" t="s">
        <v>85</v>
      </c>
      <c r="G254" s="12" t="s">
        <v>86</v>
      </c>
      <c r="H254" s="12" t="str">
        <f>B233</f>
        <v>transport, Motorbike, gasoline, 4-11kW, EURO-3</v>
      </c>
    </row>
    <row r="255" spans="1:8" x14ac:dyDescent="0.3">
      <c r="A255" s="12" t="str">
        <f>RIGHT(A254,LEN(A254)-11)</f>
        <v>Motorbike, gasoline, 4-11kW, EURO-3, 2006</v>
      </c>
      <c r="B255" s="15">
        <f>1/B237</f>
        <v>2.5125628140703518E-5</v>
      </c>
      <c r="C255" s="12" t="str">
        <f>B228</f>
        <v>CH</v>
      </c>
      <c r="D255" s="12" t="s">
        <v>77</v>
      </c>
      <c r="E255" s="12"/>
      <c r="F255" s="12" t="s">
        <v>91</v>
      </c>
      <c r="G255" s="12"/>
      <c r="H255" s="12" t="str">
        <f>RIGHT(H254,LEN(H254)-11)</f>
        <v>Motorbike, gasoline, 4-11kW, EURO-3</v>
      </c>
    </row>
    <row r="256" spans="1:8"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1.1023090138596869E-4</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maintenance, motor scooter</v>
      </c>
      <c r="B257" s="16">
        <f>INDEX('vehicles specifications'!$B$3:$CK$86,MATCH(B232,'vehicles specifications'!$A$3:$A$86,0),MATCH(G257,'vehicles specifications'!$B$2:$CK$2,0))*INDEX('ei names mapping'!$B$137:$BK$220,MATCH(B232,'ei names mapping'!$A$137:$A$220,0),MATCH(G257,'ei names mapping'!$B$136:$BK$136,0))</f>
        <v>2.5125628140703518E-5</v>
      </c>
      <c r="C257" s="12" t="str">
        <f>INDEX('ei names mapping'!$B$38:$BK$67,MATCH(B229,'ei names mapping'!$A$4:$A$33,0),MATCH(G257,'ei names mapping'!$B$3:$BK$3,0))</f>
        <v>CH</v>
      </c>
      <c r="D257" s="12" t="str">
        <f>INDEX('ei names mapping'!$B$104:$BK$133,MATCH(B229,'ei names mapping'!$A$4:$A$33,0),MATCH(G257,'ei names mapping'!$B$3:$BK$3,0))</f>
        <v>unit</v>
      </c>
      <c r="F257" s="12" t="s">
        <v>91</v>
      </c>
      <c r="G257" s="12" t="s">
        <v>123</v>
      </c>
      <c r="H257" s="12" t="str">
        <f>INDEX('ei names mapping'!$B$71:$BK$100,MATCH(B229,'ei names mapping'!$A$4:$A$33,0),MATCH(G257,'ei names mapping'!$B$3:$BK$3,0))</f>
        <v>maintenance, motor scooter</v>
      </c>
    </row>
    <row r="258" spans="1:8" x14ac:dyDescent="0.3">
      <c r="A258" s="12" t="str">
        <f>INDEX('ei names mapping'!$B$4:$R$33,MATCH(B229,'ei names mapping'!$A$4:$A$33,0),MATCH(G258,'ei names mapping'!$B$3:$R$3,0))</f>
        <v>market for petrol, low-sulfur</v>
      </c>
      <c r="B258" s="16">
        <f>INDEX('vehicles specifications'!$B$3:$CK$86,MATCH(B232,'vehicles specifications'!$A$3:$A$86,0),MATCH(G258,'vehicles specifications'!$B$2:$CK$2,0))*INDEX('ei names mapping'!$B$137:$BK$220,MATCH(B232,'ei names mapping'!$A$137:$A$220,0),MATCH(G258,'ei names mapping'!$B$136:$BK$136,0))</f>
        <v>2.4200005412836123E-2</v>
      </c>
      <c r="C258" s="12" t="str">
        <f>INDEX('ei names mapping'!$B$38:$BK$67,MATCH(B229,'ei names mapping'!$A$4:$A$33,0),MATCH(G258,'ei names mapping'!$B$3:$BK$3,0))</f>
        <v>CH</v>
      </c>
      <c r="D258" s="12" t="str">
        <f>INDEX('ei names mapping'!$B$104:$BK$133,MATCH(B229,'ei names mapping'!$A$4:$A$33,0),MATCH(G258,'ei names mapping'!$B$3:$BK$3,0))</f>
        <v>kilogram</v>
      </c>
      <c r="F258" s="12" t="s">
        <v>91</v>
      </c>
      <c r="G258" s="12" t="s">
        <v>27</v>
      </c>
      <c r="H258" s="12" t="str">
        <f>INDEX('ei names mapping'!$B$71:$BK$100,MATCH(B229,'ei names mapping'!$A$4:$A$33,0),MATCH(G258,'ei names mapping'!$B$3:$BK$3,0))</f>
        <v>petrol, low-sulfur</v>
      </c>
    </row>
    <row r="259" spans="1:8" s="21" customFormat="1" x14ac:dyDescent="0.3">
      <c r="A259" s="12" t="str">
        <f>INDEX('ei names mapping'!$B$4:$R$33,MATCH(B229,'ei names mapping'!$A$4:$A$33,0),MATCH(G259,'ei names mapping'!$B$3:$R$3,0))</f>
        <v>road maintenance</v>
      </c>
      <c r="B259" s="16">
        <f>INDEX('vehicles specifications'!$B$3:$CK$86,MATCH(B232,'vehicles specifications'!$A$3:$A$86,0),MATCH(G259,'vehicles specifications'!$B$2:$CK$2,0))*INDEX('ei names mapping'!$B$137:$BK$220,MATCH(B232,'ei names mapping'!$A$137:$A$220,0),MATCH(G259,'ei names mapping'!$B$136:$BK$136,0))</f>
        <v>1.2899999999999999E-3</v>
      </c>
      <c r="C259" s="12" t="str">
        <f>INDEX('ei names mapping'!$B$38:$R$67,MATCH(B229,'ei names mapping'!$A$4:$A$33,0),MATCH(G259,'ei names mapping'!$B$3:$R$3,0))</f>
        <v>CH</v>
      </c>
      <c r="D259" s="12" t="str">
        <f>INDEX('ei names mapping'!$B$104:$BK$133,MATCH(B229,'ei names mapping'!$A$4:$A$33,0),MATCH(G259,'ei names mapping'!$B$3:$BK$3,0))</f>
        <v>meter-year</v>
      </c>
      <c r="E259" s="12"/>
      <c r="F259" s="12" t="s">
        <v>91</v>
      </c>
      <c r="G259" s="21" t="s">
        <v>117</v>
      </c>
      <c r="H259" s="12" t="str">
        <f>INDEX('ei names mapping'!$B$71:$BK$100,MATCH(B229,'ei names mapping'!$A$4:$A$33,0),MATCH(G259,'ei names mapping'!$B$3:$BK$3,0))</f>
        <v>road maintenance</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7.6956017212818861E-2</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3.8720008660537791E-7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3.6529704169004323E-6</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5.0143885394914575E-5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7.0250030559411121E-4</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1.7908530498183775E-6</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1.7908530498183775E-6</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9.5536088059378408E-5</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4.4771326245459437E-6</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s="21" customFormat="1"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2.9458178549122205E-5</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s="21" customFormat="1"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2.077179256668873E-6</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s="21" customFormat="1"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4.232496917977328E-7</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s="21" customFormat="1"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3.4120436692617235E-6</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s="21" customFormat="1"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1.3999797497925008E-6</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s="21" customFormat="1"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1.0483569289143844E-6</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s="21" customFormat="1"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7.4231484407602367E-7</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s="21" customFormat="1"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4.8185349527741892E-7</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s="21" customFormat="1"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4.7534196155745371E-6</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s="21" customFormat="1"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2.4874058810266758E-6</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s="21" customFormat="1"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7.162687091961634E-8</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s="21" customFormat="1"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7.1496640245217014E-6</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s="21" customFormat="1"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3.5357628099410601E-6</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s="21" customFormat="1"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1.471606620712117E-6</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s="21" customFormat="1"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1.1069607323940704E-6</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s="21" customFormat="1"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4.8836502899738398E-7</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s="21" customFormat="1"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1.4325374183923268E-7</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s="21" customFormat="1"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3.972035569178724E-7</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s="21" customFormat="1"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3.25576685998256E-8</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s="21" customFormat="1"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1.2371914067933729E-7</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s="21" customFormat="1"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6.5766490571647714E-7</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s="21" customFormat="1"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3.5707591986747951E-8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s="21" customFormat="1"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3.0782406885127543E-10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s="21" customFormat="1"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2.052160459008503E-10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s="21" customFormat="1"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2.2163332957291832E-6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s="21" customFormat="1"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4.3095369639178564E-8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s="21" customFormat="1"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1.3339042983555271E-8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s="21" customFormat="1"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1.6417283672068027E-8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s="21" customFormat="1"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3.2834567344136045E-11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s="21" customFormat="1"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8.9268979966869878E-9</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s="21" customFormat="1"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1.1081666478645916E-8</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-7.3669999999999991E-6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-8.3499999999999997E-6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Motorbike, gasoline, 4-11kW, EURO-4, 2016</v>
      </c>
    </row>
    <row r="305" spans="1:2" x14ac:dyDescent="0.3">
      <c r="A305" t="s">
        <v>73</v>
      </c>
      <c r="B305" t="s">
        <v>37</v>
      </c>
    </row>
    <row r="306" spans="1:2" x14ac:dyDescent="0.3">
      <c r="A306" t="s">
        <v>87</v>
      </c>
      <c r="B306" t="s">
        <v>713</v>
      </c>
    </row>
    <row r="307" spans="1:2" x14ac:dyDescent="0.3">
      <c r="A307" t="s">
        <v>88</v>
      </c>
      <c r="B307" s="12"/>
    </row>
    <row r="308" spans="1:2" x14ac:dyDescent="0.3">
      <c r="A308" t="s">
        <v>89</v>
      </c>
      <c r="B308" s="12">
        <v>2016</v>
      </c>
    </row>
    <row r="309" spans="1:2" x14ac:dyDescent="0.3">
      <c r="A309" t="s">
        <v>131</v>
      </c>
      <c r="B309" s="12" t="str">
        <f>B306&amp;" - "&amp;B308&amp;" - "&amp;B305</f>
        <v>Motorbike, gasoline, 4-11kW, EURO-4 - 2016 - CH</v>
      </c>
    </row>
    <row r="310" spans="1:2" x14ac:dyDescent="0.3">
      <c r="A310" t="s">
        <v>74</v>
      </c>
      <c r="B310" s="12" t="str">
        <f>"transport, "&amp;B306</f>
        <v>transport, Motorbike, gasoline, 4-11kW, EURO-4</v>
      </c>
    </row>
    <row r="311" spans="1:2" x14ac:dyDescent="0.3">
      <c r="A311" t="s">
        <v>75</v>
      </c>
      <c r="B311" t="s">
        <v>76</v>
      </c>
    </row>
    <row r="312" spans="1:2" x14ac:dyDescent="0.3">
      <c r="A312" t="s">
        <v>77</v>
      </c>
      <c r="B312" t="s">
        <v>172</v>
      </c>
    </row>
    <row r="313" spans="1:2" x14ac:dyDescent="0.3">
      <c r="A313" t="s">
        <v>79</v>
      </c>
      <c r="B313" t="s">
        <v>90</v>
      </c>
    </row>
    <row r="314" spans="1:2" x14ac:dyDescent="0.3">
      <c r="A314" t="s">
        <v>132</v>
      </c>
      <c r="B314">
        <f>INDEX('vehicles specifications'!$B$3:$CK$86,MATCH(B309,'vehicles specifications'!$A$3:$A$86,0),MATCH("Lifetime [km]",'vehicles specifications'!$B$2:$CK$2,0))</f>
        <v>39800</v>
      </c>
    </row>
    <row r="315" spans="1:2" x14ac:dyDescent="0.3">
      <c r="A315" t="s">
        <v>133</v>
      </c>
      <c r="B315">
        <f>INDEX('vehicles specifications'!$B$3:$CK$86,MATCH(B309,'vehicles specifications'!$A$3:$A$86,0),MATCH("Passengers [unit]",'vehicles specifications'!$B$2:$CK$2,0))</f>
        <v>1.1000000000000001</v>
      </c>
    </row>
    <row r="316" spans="1:2" x14ac:dyDescent="0.3">
      <c r="A316" t="s">
        <v>134</v>
      </c>
      <c r="B316">
        <f>INDEX('vehicles specifications'!$B$3:$CK$86,MATCH(B309,'vehicles specifications'!$A$3:$A$86,0),MATCH("Servicing [unit]",'vehicles specifications'!$B$2:$CK$2,0))</f>
        <v>1</v>
      </c>
    </row>
    <row r="317" spans="1:2" x14ac:dyDescent="0.3">
      <c r="A317" t="s">
        <v>135</v>
      </c>
      <c r="B317">
        <f>INDEX('vehicles specifications'!$B$3:$CK$86,MATCH(B309,'vehicles specifications'!$A$3:$A$86,0),MATCH("Energy battery replacement [unit]",'vehicles specifications'!$B$2:$CK$2,0))</f>
        <v>0</v>
      </c>
    </row>
    <row r="318" spans="1:2" x14ac:dyDescent="0.3">
      <c r="A318" t="s">
        <v>136</v>
      </c>
      <c r="B318">
        <f>INDEX('vehicles specifications'!$B$3:$CK$86,MATCH(B309,'vehicles specifications'!$A$3:$A$86,0),MATCH("Annual kilometers [km]",'vehicles specifications'!$B$2:$CK$2,0))</f>
        <v>2758</v>
      </c>
    </row>
    <row r="319" spans="1:2" x14ac:dyDescent="0.3">
      <c r="A319" t="s">
        <v>137</v>
      </c>
      <c r="B319" s="2">
        <f>INDEX('vehicles specifications'!$B$3:$CK$86,MATCH(B309,'vehicles specifications'!$A$3:$A$86,0),MATCH("Curb mass [kg]",'vehicles specifications'!$B$2:$CK$2,0))</f>
        <v>120.308682371765</v>
      </c>
    </row>
    <row r="320" spans="1:2" x14ac:dyDescent="0.3">
      <c r="A320" t="s">
        <v>138</v>
      </c>
      <c r="B320">
        <f>INDEX('vehicles specifications'!$B$3:$CK$86,MATCH(B309,'vehicles specifications'!$A$3:$A$86,0),MATCH("Power [kW]",'vehicles specifications'!$B$2:$CK$2,0))</f>
        <v>9</v>
      </c>
    </row>
    <row r="321" spans="1:8" x14ac:dyDescent="0.3">
      <c r="A321" t="s">
        <v>139</v>
      </c>
      <c r="B321">
        <f>INDEX('vehicles specifications'!$B$3:$CK$86,MATCH(B309,'vehicles specifications'!$A$3:$A$86,0),MATCH("Energy battery mass [kg]",'vehicles specifications'!$B$2:$CK$2,0))</f>
        <v>0</v>
      </c>
    </row>
    <row r="322" spans="1:8" x14ac:dyDescent="0.3">
      <c r="A322" t="s">
        <v>140</v>
      </c>
      <c r="B322">
        <f>INDEX('vehicles specifications'!$B$3:$CK$86,MATCH(B309,'vehicles specifications'!$A$3:$A$86,0),MATCH("Electric energy available [kWh]",'vehicles specifications'!$B$2:$CK$2,0))</f>
        <v>0</v>
      </c>
    </row>
    <row r="323" spans="1:8" x14ac:dyDescent="0.3">
      <c r="A323" t="s">
        <v>143</v>
      </c>
      <c r="B323" s="2">
        <f>INDEX('vehicles specifications'!$B$3:$CK$86,MATCH(B309,'vehicles specifications'!$A$3:$A$86,0),MATCH("Oxydation energy stored [kWh]",'vehicles specifications'!$B$2:$CK$2,0))</f>
        <v>79.5</v>
      </c>
    </row>
    <row r="324" spans="1:8" x14ac:dyDescent="0.3">
      <c r="A324" t="s">
        <v>145</v>
      </c>
      <c r="B324">
        <f>INDEX('vehicles specifications'!$B$3:$CK$86,MATCH(B309,'vehicles specifications'!$A$3:$A$86,0),MATCH("Fuel mass [kg]",'vehicles specifications'!$B$2:$CK$2,0))</f>
        <v>6.75</v>
      </c>
    </row>
    <row r="325" spans="1:8" x14ac:dyDescent="0.3">
      <c r="A325" t="s">
        <v>141</v>
      </c>
      <c r="B325" s="2">
        <f>INDEX('vehicles specifications'!$B$3:$CK$86,MATCH(B309,'vehicles specifications'!$A$3:$A$86,0),MATCH("Range [km]",'vehicles specifications'!$B$2:$CK$2,0))</f>
        <v>281.71481302164813</v>
      </c>
    </row>
    <row r="326" spans="1:8" x14ac:dyDescent="0.3">
      <c r="A326" t="s">
        <v>142</v>
      </c>
      <c r="B326" t="str">
        <f>INDEX('vehicles specifications'!$B$3:$CK$86,MATCH(B309,'vehicles specifications'!$A$3:$A$86,0),MATCH("Emission standard",'vehicles specifications'!$B$2:$CK$2,0))</f>
        <v>EURO-4</v>
      </c>
    </row>
    <row r="327" spans="1:8" x14ac:dyDescent="0.3">
      <c r="A327" t="s">
        <v>144</v>
      </c>
      <c r="B327" s="6">
        <f>INDEX('vehicles specifications'!$B$3:$CK$86,MATCH(B309,'vehicles specifications'!$A$3:$A$86,0),MATCH("Lightweighting rate [%]",'vehicles specifications'!$B$2:$CK$2,0))</f>
        <v>-0.02</v>
      </c>
    </row>
    <row r="328" spans="1:8" x14ac:dyDescent="0.3">
      <c r="A328"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9 kW. Lifetime: 39800 km. Annual kilometers: 2758 km. Number of passengers: 1.1. Curb mass: 120.3 kg. Lightweighting of glider: -2%. Emission standard: EURO-4. Service visits throughout lifetime: 1. Range: 282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t="s">
        <v>81</v>
      </c>
      <c r="B330" t="s">
        <v>82</v>
      </c>
      <c r="C330" t="s">
        <v>73</v>
      </c>
      <c r="D330" t="s">
        <v>77</v>
      </c>
      <c r="E330" t="s">
        <v>83</v>
      </c>
      <c r="F330" t="s">
        <v>75</v>
      </c>
      <c r="G330" t="s">
        <v>84</v>
      </c>
      <c r="H330" t="s">
        <v>74</v>
      </c>
    </row>
    <row r="331" spans="1:8" x14ac:dyDescent="0.3">
      <c r="A331" s="12" t="str">
        <f>B304</f>
        <v>transport, Motorbike, gasoline, 4-11kW, EURO-4, 2016</v>
      </c>
      <c r="B331" s="12">
        <v>1</v>
      </c>
      <c r="C331" s="12" t="str">
        <f>B305</f>
        <v>CH</v>
      </c>
      <c r="D331" s="12" t="s">
        <v>172</v>
      </c>
      <c r="E331" s="12"/>
      <c r="F331" s="12" t="s">
        <v>85</v>
      </c>
      <c r="G331" s="12" t="s">
        <v>86</v>
      </c>
      <c r="H331" s="12" t="str">
        <f>B310</f>
        <v>transport, Motorbike, gasoline, 4-11kW, EURO-4</v>
      </c>
    </row>
    <row r="332" spans="1:8" x14ac:dyDescent="0.3">
      <c r="A332" s="12" t="str">
        <f>RIGHT(A331,LEN(A331)-11)</f>
        <v>Motorbike, gasoline, 4-11kW, EURO-4, 2016</v>
      </c>
      <c r="B332" s="12">
        <f>1/B314</f>
        <v>2.5125628140703518E-5</v>
      </c>
      <c r="C332" s="12" t="str">
        <f>B305</f>
        <v>CH</v>
      </c>
      <c r="D332" s="12" t="s">
        <v>77</v>
      </c>
      <c r="E332" s="12"/>
      <c r="F332" s="12" t="s">
        <v>91</v>
      </c>
      <c r="G332" s="12"/>
      <c r="H332" s="12" t="str">
        <f>RIGHT(H331,LEN(H331)-11)</f>
        <v>Motorbike, gasoline, 4-11kW, EURO-4</v>
      </c>
    </row>
    <row r="333" spans="1:8"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1.091767624336378E-4</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maintenance, motor scooter</v>
      </c>
      <c r="B334" s="16">
        <f>INDEX('vehicles specifications'!$B$3:$CK$86,MATCH(B309,'vehicles specifications'!$A$3:$A$86,0),MATCH(G334,'vehicles specifications'!$B$2:$CK$2,0))*INDEX('ei names mapping'!$B$137:$BK$220,MATCH(B309,'ei names mapping'!$A$137:$A$220,0),MATCH(G334,'ei names mapping'!$B$136:$BK$136,0))</f>
        <v>2.5125628140703518E-5</v>
      </c>
      <c r="C334" s="12" t="str">
        <f>INDEX('ei names mapping'!$B$38:$BK$67,MATCH(B306,'ei names mapping'!$A$4:$A$33,0),MATCH(G334,'ei names mapping'!$B$3:$BK$3,0))</f>
        <v>CH</v>
      </c>
      <c r="D334" s="12" t="str">
        <f>INDEX('ei names mapping'!$B$104:$BK$133,MATCH(B306,'ei names mapping'!$A$4:$A$33,0),MATCH(G334,'ei names mapping'!$B$3:$BK$3,0))</f>
        <v>unit</v>
      </c>
      <c r="F334" s="12" t="s">
        <v>91</v>
      </c>
      <c r="G334" s="12" t="s">
        <v>123</v>
      </c>
      <c r="H334" s="12" t="str">
        <f>INDEX('ei names mapping'!$B$71:$BK$100,MATCH(B306,'ei names mapping'!$A$4:$A$33,0),MATCH(G334,'ei names mapping'!$B$3:$BK$3,0))</f>
        <v>maintenance, motor scooter</v>
      </c>
    </row>
    <row r="335" spans="1:8" x14ac:dyDescent="0.3">
      <c r="A335" s="12" t="str">
        <f>INDEX('ei names mapping'!$B$4:$R$33,MATCH(B306,'ei names mapping'!$A$4:$A$33,0),MATCH(G335,'ei names mapping'!$B$3:$R$3,0))</f>
        <v>market for petrol, low-sulfur</v>
      </c>
      <c r="B335" s="16">
        <f>INDEX('vehicles specifications'!$B$3:$CK$86,MATCH(B309,'vehicles specifications'!$A$3:$A$86,0),MATCH(G335,'vehicles specifications'!$B$2:$CK$2,0))*INDEX('ei names mapping'!$B$137:$BK$220,MATCH(B309,'ei names mapping'!$A$137:$A$220,0),MATCH(G335,'ei names mapping'!$B$136:$BK$136,0))</f>
        <v>2.3960401398847645E-2</v>
      </c>
      <c r="C335" s="12" t="str">
        <f>INDEX('ei names mapping'!$B$38:$BK$67,MATCH(B306,'ei names mapping'!$A$4:$A$33,0),MATCH(G335,'ei names mapping'!$B$3:$BK$3,0))</f>
        <v>CH</v>
      </c>
      <c r="D335" s="12" t="str">
        <f>INDEX('ei names mapping'!$B$104:$BK$133,MATCH(B306,'ei names mapping'!$A$4:$A$33,0),MATCH(G335,'ei names mapping'!$B$3:$BK$3,0))</f>
        <v>kilogram</v>
      </c>
      <c r="F335" s="12" t="s">
        <v>91</v>
      </c>
      <c r="G335" s="12" t="s">
        <v>27</v>
      </c>
      <c r="H335" s="12" t="str">
        <f>INDEX('ei names mapping'!$B$71:$BK$100,MATCH(B306,'ei names mapping'!$A$4:$A$33,0),MATCH(G335,'ei names mapping'!$B$3:$BK$3,0))</f>
        <v>petrol, low-sulfur</v>
      </c>
    </row>
    <row r="336" spans="1:8" s="21" customFormat="1" x14ac:dyDescent="0.3">
      <c r="A336" s="12" t="str">
        <f>INDEX('ei names mapping'!$B$4:$R$33,MATCH(B306,'ei names mapping'!$A$4:$A$33,0),MATCH(G336,'ei names mapping'!$B$3:$R$3,0))</f>
        <v>road maintenance</v>
      </c>
      <c r="B336" s="16">
        <f>INDEX('vehicles specifications'!$B$3:$CK$86,MATCH(B309,'vehicles specifications'!$A$3:$A$86,0),MATCH(G336,'vehicles specifications'!$B$2:$CK$2,0))*INDEX('ei names mapping'!$B$137:$BK$220,MATCH(B309,'ei names mapping'!$A$137:$A$220,0),MATCH(G336,'ei names mapping'!$B$136:$BK$136,0))</f>
        <v>1.2899999999999999E-3</v>
      </c>
      <c r="C336" s="12" t="str">
        <f>INDEX('ei names mapping'!$B$38:$R$67,MATCH(B306,'ei names mapping'!$A$4:$A$33,0),MATCH(G336,'ei names mapping'!$B$3:$R$3,0))</f>
        <v>CH</v>
      </c>
      <c r="D336" s="12" t="str">
        <f>INDEX('ei names mapping'!$B$104:$BK$133,MATCH(B306,'ei names mapping'!$A$4:$A$33,0),MATCH(G336,'ei names mapping'!$B$3:$BK$3,0))</f>
        <v>meter-year</v>
      </c>
      <c r="E336" s="12"/>
      <c r="F336" s="12" t="s">
        <v>91</v>
      </c>
      <c r="G336" s="21" t="s">
        <v>117</v>
      </c>
      <c r="H336" s="12" t="str">
        <f>INDEX('ei names mapping'!$B$71:$BK$100,MATCH(B306,'ei names mapping'!$A$4:$A$33,0),MATCH(G336,'ei names mapping'!$B$3:$BK$3,0))</f>
        <v>road maintenance</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7.6194076448335521E-2</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3.8336642238156231E-7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5.1657452836225586E-6</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5.6307019006388424E-5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8.2177593124772407E-4</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2.0109649645138723E-6</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2.0109649645138723E-6</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2.7297678240826657E-5</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5.0274124112846799E-6</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s="21" customFormat="1"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4.1657453944934862E-5</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s="21" customFormat="1"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2.9373845730402788E-6</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s="21" customFormat="1"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5.9852663713986867E-7</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s="21" customFormat="1"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4.8250455055583258E-6</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s="21" customFormat="1"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1.9797419536164887E-6</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s="21" customFormat="1"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1.4825044396849054E-6</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s="21" customFormat="1"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1.0497236405222313E-6</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s="21" customFormat="1"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6.8139955612846592E-7</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s="21" customFormat="1"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6.7219145401862166E-6</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s="21" customFormat="1"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3.5174950059604585E-6</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s="21" customFormat="1"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1.0128912320828547E-7</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s="21" customFormat="1"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1.0110496116608857E-5</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s="21" customFormat="1"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4.9999994456453646E-6</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s="21" customFormat="1"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2.0810310768247739E-6</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s="21" customFormat="1"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1.5653773586735031E-6</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s="21" customFormat="1"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6.9060765823831001E-7</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s="21" customFormat="1"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2.0257824641657093E-7</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s="21" customFormat="1"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5.616942287004922E-7</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s="21" customFormat="1"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s="21" customFormat="1"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1.7495394008703853E-7</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s="21" customFormat="1"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9.3001831309425754E-7</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s="21" customFormat="1"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3.5354051472027678E-8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s="21" customFormat="1"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3.0477630579334204E-10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s="21" customFormat="1"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2.0318420386222802E-10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s="21" customFormat="1"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2.1943894017120626E-6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s="21" customFormat="1"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4.2668682811067883E-8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s="21" customFormat="1"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1.3206973251044821E-8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s="21" customFormat="1"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1.6254736308978247E-8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s="21" customFormat="1"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3.2509472617956481E-11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s="21" customFormat="1"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8.8385128680069196E-9</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s="21" customFormat="1"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1.0971947008560314E-8</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-7.3669999999999991E-6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-8.3499999999999997E-6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Motorbike, gasoline, 4-11kW, EURO-5, 2020</v>
      </c>
    </row>
    <row r="382" spans="1:8" x14ac:dyDescent="0.3">
      <c r="A382" t="s">
        <v>73</v>
      </c>
      <c r="B382" t="s">
        <v>37</v>
      </c>
    </row>
    <row r="383" spans="1:8" x14ac:dyDescent="0.3">
      <c r="A383" t="s">
        <v>87</v>
      </c>
      <c r="B383" t="s">
        <v>714</v>
      </c>
    </row>
    <row r="384" spans="1:8" x14ac:dyDescent="0.3">
      <c r="A384" t="s">
        <v>88</v>
      </c>
      <c r="B384" s="12"/>
    </row>
    <row r="385" spans="1:2" x14ac:dyDescent="0.3">
      <c r="A385" t="s">
        <v>89</v>
      </c>
      <c r="B385" s="12">
        <v>2020</v>
      </c>
    </row>
    <row r="386" spans="1:2" x14ac:dyDescent="0.3">
      <c r="A386" t="s">
        <v>131</v>
      </c>
      <c r="B386" s="12" t="str">
        <f>B383&amp;" - "&amp;B385&amp;" - "&amp;B382</f>
        <v>Motorbike, gasoline, 4-11kW, EURO-5 - 2020 - CH</v>
      </c>
    </row>
    <row r="387" spans="1:2" x14ac:dyDescent="0.3">
      <c r="A387" t="s">
        <v>74</v>
      </c>
      <c r="B387" s="12" t="str">
        <f>"transport, "&amp;B383</f>
        <v>transport, Motorbike, gasoline, 4-11kW, EURO-5</v>
      </c>
    </row>
    <row r="388" spans="1:2" x14ac:dyDescent="0.3">
      <c r="A388" t="s">
        <v>75</v>
      </c>
      <c r="B388" t="s">
        <v>76</v>
      </c>
    </row>
    <row r="389" spans="1:2" x14ac:dyDescent="0.3">
      <c r="A389" t="s">
        <v>77</v>
      </c>
      <c r="B389" t="s">
        <v>172</v>
      </c>
    </row>
    <row r="390" spans="1:2" x14ac:dyDescent="0.3">
      <c r="A390" t="s">
        <v>79</v>
      </c>
      <c r="B390" t="s">
        <v>90</v>
      </c>
    </row>
    <row r="391" spans="1:2" x14ac:dyDescent="0.3">
      <c r="A391" t="s">
        <v>132</v>
      </c>
      <c r="B391">
        <f>INDEX('vehicles specifications'!$B$3:$CK$86,MATCH(B386,'vehicles specifications'!$A$3:$A$86,0),MATCH("Lifetime [km]",'vehicles specifications'!$B$2:$CK$2,0))</f>
        <v>39800</v>
      </c>
    </row>
    <row r="392" spans="1:2" x14ac:dyDescent="0.3">
      <c r="A392" t="s">
        <v>133</v>
      </c>
      <c r="B392">
        <f>INDEX('vehicles specifications'!$B$3:$CK$86,MATCH(B386,'vehicles specifications'!$A$3:$A$86,0),MATCH("Passengers [unit]",'vehicles specifications'!$B$2:$CK$2,0))</f>
        <v>1.1000000000000001</v>
      </c>
    </row>
    <row r="393" spans="1:2" x14ac:dyDescent="0.3">
      <c r="A393" t="s">
        <v>134</v>
      </c>
      <c r="B393">
        <f>INDEX('vehicles specifications'!$B$3:$CK$86,MATCH(B386,'vehicles specifications'!$A$3:$A$86,0),MATCH("Servicing [unit]",'vehicles specifications'!$B$2:$CK$2,0))</f>
        <v>1</v>
      </c>
    </row>
    <row r="394" spans="1:2" x14ac:dyDescent="0.3">
      <c r="A394" t="s">
        <v>135</v>
      </c>
      <c r="B394">
        <f>INDEX('vehicles specifications'!$B$3:$CK$86,MATCH(B386,'vehicles specifications'!$A$3:$A$86,0),MATCH("Energy battery replacement [unit]",'vehicles specifications'!$B$2:$CK$2,0))</f>
        <v>0</v>
      </c>
    </row>
    <row r="395" spans="1:2" x14ac:dyDescent="0.3">
      <c r="A395" t="s">
        <v>136</v>
      </c>
      <c r="B395">
        <f>INDEX('vehicles specifications'!$B$3:$CK$86,MATCH(B386,'vehicles specifications'!$A$3:$A$86,0),MATCH("Annual kilometers [km]",'vehicles specifications'!$B$2:$CK$2,0))</f>
        <v>2758</v>
      </c>
    </row>
    <row r="396" spans="1:2" x14ac:dyDescent="0.3">
      <c r="A396" t="s">
        <v>137</v>
      </c>
      <c r="B396" s="2">
        <f>INDEX('vehicles specifications'!$B$3:$CK$86,MATCH(B386,'vehicles specifications'!$A$3:$A$86,0),MATCH("Curb mass [kg]",'vehicles specifications'!$B$2:$CK$2,0))</f>
        <v>119.00000583255843</v>
      </c>
    </row>
    <row r="397" spans="1:2" x14ac:dyDescent="0.3">
      <c r="A397" t="s">
        <v>138</v>
      </c>
      <c r="B397">
        <f>INDEX('vehicles specifications'!$B$3:$CK$86,MATCH(B386,'vehicles specifications'!$A$3:$A$86,0),MATCH("Power [kW]",'vehicles specifications'!$B$2:$CK$2,0))</f>
        <v>9</v>
      </c>
    </row>
    <row r="398" spans="1:2" x14ac:dyDescent="0.3">
      <c r="A398" t="s">
        <v>139</v>
      </c>
      <c r="B398">
        <f>INDEX('vehicles specifications'!$B$3:$CK$86,MATCH(B386,'vehicles specifications'!$A$3:$A$86,0),MATCH("Energy battery mass [kg]",'vehicles specifications'!$B$2:$CK$2,0))</f>
        <v>0</v>
      </c>
    </row>
    <row r="399" spans="1:2" x14ac:dyDescent="0.3">
      <c r="A399" t="s">
        <v>140</v>
      </c>
      <c r="B399">
        <f>INDEX('vehicles specifications'!$B$3:$CK$86,MATCH(B386,'vehicles specifications'!$A$3:$A$86,0),MATCH("Electric energy available [kWh]",'vehicles specifications'!$B$2:$CK$2,0))</f>
        <v>0</v>
      </c>
    </row>
    <row r="400" spans="1:2" x14ac:dyDescent="0.3">
      <c r="A400" t="s">
        <v>143</v>
      </c>
      <c r="B400" s="2">
        <f>INDEX('vehicles specifications'!$B$3:$CK$86,MATCH(B386,'vehicles specifications'!$A$3:$A$86,0),MATCH("Oxydation energy stored [kWh]",'vehicles specifications'!$B$2:$CK$2,0))</f>
        <v>79.5</v>
      </c>
    </row>
    <row r="401" spans="1:8" x14ac:dyDescent="0.3">
      <c r="A401" t="s">
        <v>145</v>
      </c>
      <c r="B401">
        <f>INDEX('vehicles specifications'!$B$3:$CK$86,MATCH(B386,'vehicles specifications'!$A$3:$A$86,0),MATCH("Fuel mass [kg]",'vehicles specifications'!$B$2:$CK$2,0))</f>
        <v>6.75</v>
      </c>
    </row>
    <row r="402" spans="1:8" x14ac:dyDescent="0.3">
      <c r="A402" t="s">
        <v>141</v>
      </c>
      <c r="B402" s="2">
        <f>INDEX('vehicles specifications'!$B$3:$CK$86,MATCH(B386,'vehicles specifications'!$A$3:$A$86,0),MATCH("Range [km]",'vehicles specifications'!$B$2:$CK$2,0))</f>
        <v>284.56041719358399</v>
      </c>
    </row>
    <row r="403" spans="1:8" x14ac:dyDescent="0.3">
      <c r="A403" t="s">
        <v>142</v>
      </c>
      <c r="B403" t="str">
        <f>INDEX('vehicles specifications'!$B$3:$CK$86,MATCH(B386,'vehicles specifications'!$A$3:$A$86,0),MATCH("Emission standard",'vehicles specifications'!$B$2:$CK$2,0))</f>
        <v>EURO-5</v>
      </c>
    </row>
    <row r="404" spans="1:8" x14ac:dyDescent="0.3">
      <c r="A404" t="s">
        <v>144</v>
      </c>
      <c r="B404" s="6">
        <f>INDEX('vehicles specifications'!$B$3:$CK$86,MATCH(B386,'vehicles specifications'!$A$3:$A$86,0),MATCH("Lightweighting rate [%]",'vehicles specifications'!$B$2:$CK$2,0))</f>
        <v>0</v>
      </c>
    </row>
    <row r="405" spans="1:8" x14ac:dyDescent="0.3">
      <c r="A405"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9 kW. Lifetime: 39800 km. Annual kilometers: 2758 km. Number of passengers: 1.1. Curb mass: 119 kg. Lightweighting of glider: 0%. Emission standard: EURO-5. Service visits throughout lifetime: 1. Range: 285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t="s">
        <v>81</v>
      </c>
      <c r="B407" t="s">
        <v>82</v>
      </c>
      <c r="C407" t="s">
        <v>73</v>
      </c>
      <c r="D407" t="s">
        <v>77</v>
      </c>
      <c r="E407" t="s">
        <v>83</v>
      </c>
      <c r="F407" t="s">
        <v>75</v>
      </c>
      <c r="G407" t="s">
        <v>84</v>
      </c>
      <c r="H407" t="s">
        <v>74</v>
      </c>
    </row>
    <row r="408" spans="1:8" x14ac:dyDescent="0.3">
      <c r="A408" s="12" t="str">
        <f>B381</f>
        <v>transport, Motorbike, gasoline, 4-11kW, EURO-5, 2020</v>
      </c>
      <c r="B408" s="12">
        <v>1</v>
      </c>
      <c r="C408" s="12" t="str">
        <f>B382</f>
        <v>CH</v>
      </c>
      <c r="D408" s="12" t="s">
        <v>172</v>
      </c>
      <c r="E408" s="12"/>
      <c r="F408" s="12" t="s">
        <v>85</v>
      </c>
      <c r="G408" s="12" t="s">
        <v>86</v>
      </c>
      <c r="H408" s="12" t="str">
        <f>B387</f>
        <v>transport, Motorbike, gasoline, 4-11kW, EURO-5</v>
      </c>
    </row>
    <row r="409" spans="1:8" x14ac:dyDescent="0.3">
      <c r="A409" s="12" t="str">
        <f>RIGHT(A408,LEN(A408)-11)</f>
        <v>Motorbike, gasoline, 4-11kW, EURO-5, 2020</v>
      </c>
      <c r="B409" s="12">
        <f>1/B391</f>
        <v>2.5125628140703518E-5</v>
      </c>
      <c r="C409" s="12" t="str">
        <f>B382</f>
        <v>CH</v>
      </c>
      <c r="D409" s="12" t="s">
        <v>77</v>
      </c>
      <c r="E409" s="12"/>
      <c r="F409" s="12" t="s">
        <v>91</v>
      </c>
      <c r="G409" s="12"/>
      <c r="H409" s="12" t="str">
        <f>RIGHT(H408,LEN(H408)-11)</f>
        <v>Motorbike, gasoline, 4-11kW, EURO-5</v>
      </c>
    </row>
    <row r="410" spans="1:8"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1.0847400313208387E-4</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maintenance, motor scooter</v>
      </c>
      <c r="B411" s="16">
        <f>INDEX('vehicles specifications'!$B$3:$CK$86,MATCH(B386,'vehicles specifications'!$A$3:$A$86,0),MATCH(G411,'vehicles specifications'!$B$2:$CK$2,0))*INDEX('ei names mapping'!$B$137:$BK$220,MATCH(B386,'ei names mapping'!$A$137:$A$220,0),MATCH(G411,'ei names mapping'!$B$136:$BK$136,0))</f>
        <v>2.5125628140703518E-5</v>
      </c>
      <c r="C411" s="12" t="str">
        <f>INDEX('ei names mapping'!$B$38:$BK$67,MATCH(B383,'ei names mapping'!$A$4:$A$33,0),MATCH(G411,'ei names mapping'!$B$3:$BK$3,0))</f>
        <v>CH</v>
      </c>
      <c r="D411" s="12" t="str">
        <f>INDEX('ei names mapping'!$B$104:$BK$133,MATCH(B383,'ei names mapping'!$A$4:$A$33,0),MATCH(G411,'ei names mapping'!$B$3:$BK$3,0))</f>
        <v>unit</v>
      </c>
      <c r="F411" s="12" t="s">
        <v>91</v>
      </c>
      <c r="G411" s="12" t="s">
        <v>123</v>
      </c>
      <c r="H411" s="12" t="str">
        <f>INDEX('ei names mapping'!$B$71:$BK$100,MATCH(B383,'ei names mapping'!$A$4:$A$33,0),MATCH(G411,'ei names mapping'!$B$3:$BK$3,0))</f>
        <v>maintenance, motor scooter</v>
      </c>
    </row>
    <row r="412" spans="1:8" x14ac:dyDescent="0.3">
      <c r="A412" s="12" t="str">
        <f>INDEX('ei names mapping'!$B$4:$R$33,MATCH(B383,'ei names mapping'!$A$4:$A$33,0),MATCH(G412,'ei names mapping'!$B$3:$R$3,0))</f>
        <v>market for petrol, low-sulfur</v>
      </c>
      <c r="B412" s="16">
        <f>INDEX('vehicles specifications'!$B$3:$CK$86,MATCH(B386,'vehicles specifications'!$A$3:$A$86,0),MATCH(G412,'vehicles specifications'!$B$2:$CK$2,0))*INDEX('ei names mapping'!$B$137:$BK$220,MATCH(B386,'ei names mapping'!$A$137:$A$220,0),MATCH(G412,'ei names mapping'!$B$136:$BK$136,0))</f>
        <v>2.3720797384859171E-2</v>
      </c>
      <c r="C412" s="12" t="str">
        <f>INDEX('ei names mapping'!$B$38:$BK$67,MATCH(B383,'ei names mapping'!$A$4:$A$33,0),MATCH(G412,'ei names mapping'!$B$3:$BK$3,0))</f>
        <v>CH</v>
      </c>
      <c r="D412" s="12" t="str">
        <f>INDEX('ei names mapping'!$B$104:$BK$133,MATCH(B383,'ei names mapping'!$A$4:$A$33,0),MATCH(G412,'ei names mapping'!$B$3:$BK$3,0))</f>
        <v>kilogram</v>
      </c>
      <c r="F412" s="12" t="s">
        <v>91</v>
      </c>
      <c r="G412" s="12" t="s">
        <v>27</v>
      </c>
      <c r="H412" s="12" t="str">
        <f>INDEX('ei names mapping'!$B$71:$BK$100,MATCH(B383,'ei names mapping'!$A$4:$A$33,0),MATCH(G412,'ei names mapping'!$B$3:$BK$3,0))</f>
        <v>petrol, low-sulfur</v>
      </c>
    </row>
    <row r="413" spans="1:8" s="21" customFormat="1" x14ac:dyDescent="0.3">
      <c r="A413" s="12" t="str">
        <f>INDEX('ei names mapping'!$B$4:$R$33,MATCH(B383,'ei names mapping'!$A$4:$A$33,0),MATCH(G413,'ei names mapping'!$B$3:$R$3,0))</f>
        <v>road maintenance</v>
      </c>
      <c r="B413" s="16">
        <f>INDEX('vehicles specifications'!$B$3:$CK$86,MATCH(B386,'vehicles specifications'!$A$3:$A$86,0),MATCH(G413,'vehicles specifications'!$B$2:$CK$2,0))*INDEX('ei names mapping'!$B$137:$BK$220,MATCH(B386,'ei names mapping'!$A$137:$A$220,0),MATCH(G413,'ei names mapping'!$B$136:$BK$136,0))</f>
        <v>1.2899999999999999E-3</v>
      </c>
      <c r="C413" s="12" t="str">
        <f>INDEX('ei names mapping'!$B$38:$R$67,MATCH(B383,'ei names mapping'!$A$4:$A$33,0),MATCH(G413,'ei names mapping'!$B$3:$R$3,0))</f>
        <v>CH</v>
      </c>
      <c r="D413" s="12" t="str">
        <f>INDEX('ei names mapping'!$B$104:$BK$133,MATCH(B383,'ei names mapping'!$A$4:$A$33,0),MATCH(G413,'ei names mapping'!$B$3:$BK$3,0))</f>
        <v>meter-year</v>
      </c>
      <c r="E413" s="12"/>
      <c r="F413" s="12" t="s">
        <v>91</v>
      </c>
      <c r="G413" s="21" t="s">
        <v>117</v>
      </c>
      <c r="H413" s="12" t="str">
        <f>INDEX('ei names mapping'!$B$71:$BK$100,MATCH(B383,'ei names mapping'!$A$4:$A$33,0),MATCH(G413,'ei names mapping'!$B$3:$BK$3,0))</f>
        <v>road maintenance</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7.5432135683852153E-2</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3.7953275815774666E-7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3.0028551502939905E-6</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5.5743948816324545E-5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7.1242322292383402E-4</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1.9908553148687333E-6</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1.9908553148687333E-6</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1.8315516128898121E-5</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4.9771382871718332E-6</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s="21" customFormat="1"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2.4215537789536568E-5</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s="21" customFormat="1"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1.7075058697750144E-6</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s="21" customFormat="1"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3.4792439352782425E-7</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s="21" customFormat="1"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2.804805880131999E-6</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s="21" customFormat="1"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1.1508268401304956E-6</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s="21" customFormat="1"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8.6178195935353402E-7</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s="21" customFormat="1"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6.1020585941803032E-7</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s="21" customFormat="1"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3.960985403239846E-7</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s="21" customFormat="1"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3.9074585734663338E-6</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s="21" customFormat="1"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2.0447248973481361E-6</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s="21" customFormat="1"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5.8879512750862572E-8</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s="21" customFormat="1"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5.877245909131555E-6</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s="21" customFormat="1"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2.9065068567016706E-6</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s="21" customFormat="1"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1.2097063528813583E-6</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s="21" customFormat="1"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9.0995610614969421E-7</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s="21" customFormat="1"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4.0145122330133565E-7</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s="21" customFormat="1"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1.1775902550172514E-7</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s="21" customFormat="1"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3.2651366161841968E-7</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s="21" customFormat="1"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s="21" customFormat="1"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1.017009765696717E-7</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s="21" customFormat="1"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5.4062098071246539E-7</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s="21" customFormat="1"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3.5000510957307399E-8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s="21" customFormat="1"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3.0172854273540859E-10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s="21" customFormat="1"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2.0115236182360576E-10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s="21" customFormat="1"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2.172445507694942E-6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s="21" customFormat="1"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4.2241995982957202E-8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s="21" customFormat="1"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1.3074903518534373E-8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s="21" customFormat="1"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1.6092188945888465E-8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s="21" customFormat="1"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3.2184377891776916E-11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s="21" customFormat="1"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8.7501277393268496E-9</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s="21" customFormat="1"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1.0862227538474711E-8</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-7.3669999999999991E-6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-8.3499999999999997E-6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Motorbike, gasoline, 4-11kW, EURO-5, 2030</v>
      </c>
    </row>
    <row r="459" spans="1:8" x14ac:dyDescent="0.3">
      <c r="A459" t="s">
        <v>73</v>
      </c>
      <c r="B459" t="s">
        <v>37</v>
      </c>
    </row>
    <row r="460" spans="1:8" x14ac:dyDescent="0.3">
      <c r="A460" t="s">
        <v>87</v>
      </c>
      <c r="B460" t="s">
        <v>714</v>
      </c>
    </row>
    <row r="461" spans="1:8" x14ac:dyDescent="0.3">
      <c r="A461" t="s">
        <v>88</v>
      </c>
      <c r="B461" s="12"/>
    </row>
    <row r="462" spans="1:8" x14ac:dyDescent="0.3">
      <c r="A462" t="s">
        <v>89</v>
      </c>
      <c r="B462" s="12">
        <v>2030</v>
      </c>
    </row>
    <row r="463" spans="1:8" x14ac:dyDescent="0.3">
      <c r="A463" t="s">
        <v>131</v>
      </c>
      <c r="B463" s="12" t="str">
        <f>B460&amp;" - "&amp;B462&amp;" - "&amp;B459</f>
        <v>Motorbike, gasoline, 4-11kW, EURO-5 - 2030 - CH</v>
      </c>
    </row>
    <row r="464" spans="1:8" x14ac:dyDescent="0.3">
      <c r="A464" t="s">
        <v>74</v>
      </c>
      <c r="B464" s="12" t="str">
        <f>"transport, "&amp;B460</f>
        <v>transport, Motorbike, gasoline, 4-11kW, EURO-5</v>
      </c>
    </row>
    <row r="465" spans="1:2" x14ac:dyDescent="0.3">
      <c r="A465" t="s">
        <v>75</v>
      </c>
      <c r="B465" t="s">
        <v>76</v>
      </c>
    </row>
    <row r="466" spans="1:2" x14ac:dyDescent="0.3">
      <c r="A466" t="s">
        <v>77</v>
      </c>
      <c r="B466" t="s">
        <v>172</v>
      </c>
    </row>
    <row r="467" spans="1:2" x14ac:dyDescent="0.3">
      <c r="A467" t="s">
        <v>79</v>
      </c>
      <c r="B467" t="s">
        <v>90</v>
      </c>
    </row>
    <row r="468" spans="1:2" x14ac:dyDescent="0.3">
      <c r="A468" t="s">
        <v>132</v>
      </c>
      <c r="B468">
        <f>INDEX('vehicles specifications'!$B$3:$CK$86,MATCH(B463,'vehicles specifications'!$A$3:$A$86,0),MATCH("Lifetime [km]",'vehicles specifications'!$B$2:$CK$2,0))</f>
        <v>39800</v>
      </c>
    </row>
    <row r="469" spans="1:2" x14ac:dyDescent="0.3">
      <c r="A469" t="s">
        <v>133</v>
      </c>
      <c r="B469">
        <f>INDEX('vehicles specifications'!$B$3:$CK$86,MATCH(B463,'vehicles specifications'!$A$3:$A$86,0),MATCH("Passengers [unit]",'vehicles specifications'!$B$2:$CK$2,0))</f>
        <v>1.1000000000000001</v>
      </c>
    </row>
    <row r="470" spans="1:2" x14ac:dyDescent="0.3">
      <c r="A470" t="s">
        <v>134</v>
      </c>
      <c r="B470">
        <f>INDEX('vehicles specifications'!$B$3:$CK$86,MATCH(B463,'vehicles specifications'!$A$3:$A$86,0),MATCH("Servicing [unit]",'vehicles specifications'!$B$2:$CK$2,0))</f>
        <v>1</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2758</v>
      </c>
    </row>
    <row r="473" spans="1:2" x14ac:dyDescent="0.3">
      <c r="A473" t="s">
        <v>137</v>
      </c>
      <c r="B473" s="2">
        <f>INDEX('vehicles specifications'!$B$3:$CK$86,MATCH(B463,'vehicles specifications'!$A$3:$A$86,0),MATCH("Curb mass [kg]",'vehicles specifications'!$B$2:$CK$2,0))</f>
        <v>117.03699102374857</v>
      </c>
    </row>
    <row r="474" spans="1:2" x14ac:dyDescent="0.3">
      <c r="A474" t="s">
        <v>138</v>
      </c>
      <c r="B474">
        <f>INDEX('vehicles specifications'!$B$3:$CK$86,MATCH(B463,'vehicles specifications'!$A$3:$A$86,0),MATCH("Power [kW]",'vehicles specifications'!$B$2:$CK$2,0))</f>
        <v>9</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s="2">
        <f>INDEX('vehicles specifications'!$B$3:$CK$86,MATCH(B463,'vehicles specifications'!$A$3:$A$86,0),MATCH("Oxydation energy stored [kWh]",'vehicles specifications'!$B$2:$CK$2,0))</f>
        <v>79.5</v>
      </c>
    </row>
    <row r="478" spans="1:2" x14ac:dyDescent="0.3">
      <c r="A478" t="s">
        <v>145</v>
      </c>
      <c r="B478">
        <f>INDEX('vehicles specifications'!$B$3:$CK$86,MATCH(B463,'vehicles specifications'!$A$3:$A$86,0),MATCH("Fuel mass [kg]",'vehicles specifications'!$B$2:$CK$2,0))</f>
        <v>6.75</v>
      </c>
    </row>
    <row r="479" spans="1:2" x14ac:dyDescent="0.3">
      <c r="A479" t="s">
        <v>141</v>
      </c>
      <c r="B479" s="2">
        <f>INDEX('vehicles specifications'!$B$3:$CK$86,MATCH(B463,'vehicles specifications'!$A$3:$A$86,0),MATCH("Range [km]",'vehicles specifications'!$B$2:$CK$2,0))</f>
        <v>287.43476484200397</v>
      </c>
    </row>
    <row r="480" spans="1:2" x14ac:dyDescent="0.3">
      <c r="A480" t="s">
        <v>142</v>
      </c>
      <c r="B480" t="str">
        <f>INDEX('vehicles specifications'!$B$3:$CK$86,MATCH(B463,'vehicles specifications'!$A$3:$A$86,0),MATCH("Emission standard",'vehicles specifications'!$B$2:$CK$2,0))</f>
        <v>EURO-5</v>
      </c>
    </row>
    <row r="481" spans="1:8" x14ac:dyDescent="0.3">
      <c r="A481" t="s">
        <v>144</v>
      </c>
      <c r="B481" s="6">
        <f>INDEX('vehicles specifications'!$B$3:$CK$86,MATCH(B463,'vehicles specifications'!$A$3:$A$86,0),MATCH("Lightweighting rate [%]",'vehicles specifications'!$B$2:$CK$2,0))</f>
        <v>0.03</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9 kW. Lifetime: 39800 km. Annual kilometers: 2758 km. Number of passengers: 1.1. Curb mass: 117 kg. Lightweighting of glider: 3%. Emission standard: EURO-5. Service visits throughout lifetime: 1. Range: 287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Motorbike, gasoline, 4-11kW, EURO-5, 2030</v>
      </c>
      <c r="B485" s="12">
        <v>1</v>
      </c>
      <c r="C485" s="12" t="str">
        <f>B459</f>
        <v>CH</v>
      </c>
      <c r="D485" s="12" t="s">
        <v>172</v>
      </c>
      <c r="E485" s="12"/>
      <c r="F485" s="12" t="s">
        <v>85</v>
      </c>
      <c r="G485" s="12" t="s">
        <v>86</v>
      </c>
      <c r="H485" s="12" t="str">
        <f>B464</f>
        <v>transport, Motorbike, gasoline, 4-11kW, EURO-5</v>
      </c>
    </row>
    <row r="486" spans="1:8" x14ac:dyDescent="0.3">
      <c r="A486" s="12" t="str">
        <f>RIGHT(A485,LEN(A485)-11)</f>
        <v>Motorbike, gasoline, 4-11kW, EURO-5, 2030</v>
      </c>
      <c r="B486" s="12">
        <f>1/B468</f>
        <v>2.5125628140703518E-5</v>
      </c>
      <c r="C486" s="12" t="str">
        <f>B459</f>
        <v>CH</v>
      </c>
      <c r="D486" s="12" t="s">
        <v>77</v>
      </c>
      <c r="E486" s="12"/>
      <c r="F486" s="12" t="s">
        <v>91</v>
      </c>
      <c r="G486" s="12"/>
      <c r="H486" s="12" t="str">
        <f>RIGHT(H485,LEN(H485)-11)</f>
        <v>Motorbike, gasoline, 4-11kW, EURO-5</v>
      </c>
    </row>
    <row r="487" spans="1:8"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1.0741986417975298E-4</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maintenance, motor scooter</v>
      </c>
      <c r="B488" s="16">
        <f>INDEX('vehicles specifications'!$B$3:$CK$86,MATCH(B463,'vehicles specifications'!$A$3:$A$86,0),MATCH(G488,'vehicles specifications'!$B$2:$CK$2,0))*INDEX('ei names mapping'!$B$137:$BK$220,MATCH(B463,'ei names mapping'!$A$137:$A$220,0),MATCH(G488,'ei names mapping'!$B$136:$BK$136,0))</f>
        <v>2.5125628140703518E-5</v>
      </c>
      <c r="C488" s="12" t="str">
        <f>INDEX('ei names mapping'!$B$38:$BK$67,MATCH(B460,'ei names mapping'!$A$4:$A$33,0),MATCH(G488,'ei names mapping'!$B$3:$BK$3,0))</f>
        <v>CH</v>
      </c>
      <c r="D488" s="12" t="str">
        <f>INDEX('ei names mapping'!$B$104:$BK$133,MATCH(B460,'ei names mapping'!$A$4:$A$33,0),MATCH(G488,'ei names mapping'!$B$3:$BK$3,0))</f>
        <v>unit</v>
      </c>
      <c r="F488" s="12" t="s">
        <v>91</v>
      </c>
      <c r="G488" s="12" t="s">
        <v>123</v>
      </c>
      <c r="H488" s="12" t="str">
        <f>INDEX('ei names mapping'!$B$71:$BK$100,MATCH(B460,'ei names mapping'!$A$4:$A$33,0),MATCH(G488,'ei names mapping'!$B$3:$BK$3,0))</f>
        <v>maintenance, motor scooter</v>
      </c>
    </row>
    <row r="489" spans="1:8" x14ac:dyDescent="0.3">
      <c r="A489" s="12" t="str">
        <f>INDEX('ei names mapping'!$B$4:$R$33,MATCH(B460,'ei names mapping'!$A$4:$A$33,0),MATCH(G489,'ei names mapping'!$B$3:$R$3,0))</f>
        <v>market for petrol, low-sulfur</v>
      </c>
      <c r="B489" s="16">
        <f>INDEX('vehicles specifications'!$B$3:$CK$86,MATCH(B463,'vehicles specifications'!$A$3:$A$86,0),MATCH(G489,'vehicles specifications'!$B$2:$CK$2,0))*INDEX('ei names mapping'!$B$137:$BK$220,MATCH(B463,'ei names mapping'!$A$137:$A$220,0),MATCH(G489,'ei names mapping'!$B$136:$BK$136,0))</f>
        <v>2.3483589411010575E-2</v>
      </c>
      <c r="C489" s="12" t="str">
        <f>INDEX('ei names mapping'!$B$38:$BK$67,MATCH(B460,'ei names mapping'!$A$4:$A$33,0),MATCH(G489,'ei names mapping'!$B$3:$BK$3,0))</f>
        <v>CH</v>
      </c>
      <c r="D489" s="12" t="str">
        <f>INDEX('ei names mapping'!$B$104:$BK$133,MATCH(B460,'ei names mapping'!$A$4:$A$33,0),MATCH(G489,'ei names mapping'!$B$3:$BK$3,0))</f>
        <v>kilogram</v>
      </c>
      <c r="F489" s="12" t="s">
        <v>91</v>
      </c>
      <c r="G489" s="12" t="s">
        <v>27</v>
      </c>
      <c r="H489" s="12" t="str">
        <f>INDEX('ei names mapping'!$B$71:$BK$100,MATCH(B460,'ei names mapping'!$A$4:$A$33,0),MATCH(G489,'ei names mapping'!$B$3:$BK$3,0))</f>
        <v>petrol, low-sulfur</v>
      </c>
    </row>
    <row r="490" spans="1:8" s="21" customFormat="1" x14ac:dyDescent="0.3">
      <c r="A490" s="12" t="str">
        <f>INDEX('ei names mapping'!$B$4:$R$33,MATCH(B460,'ei names mapping'!$A$4:$A$33,0),MATCH(G490,'ei names mapping'!$B$3:$R$3,0))</f>
        <v>road maintenance</v>
      </c>
      <c r="B490" s="16">
        <f>INDEX('vehicles specifications'!$B$3:$CK$86,MATCH(B463,'vehicles specifications'!$A$3:$A$86,0),MATCH(G490,'vehicles specifications'!$B$2:$CK$2,0))*INDEX('ei names mapping'!$B$137:$BK$220,MATCH(B463,'ei names mapping'!$A$137:$A$220,0),MATCH(G490,'ei names mapping'!$B$136:$BK$136,0))</f>
        <v>1.2899999999999999E-3</v>
      </c>
      <c r="C490" s="12" t="str">
        <f>INDEX('ei names mapping'!$B$38:$R$67,MATCH(B460,'ei names mapping'!$A$4:$A$33,0),MATCH(G490,'ei names mapping'!$B$3:$R$3,0))</f>
        <v>CH</v>
      </c>
      <c r="D490" s="12" t="str">
        <f>INDEX('ei names mapping'!$B$104:$BK$133,MATCH(B460,'ei names mapping'!$A$4:$A$33,0),MATCH(G490,'ei names mapping'!$B$3:$BK$3,0))</f>
        <v>meter-year</v>
      </c>
      <c r="E490" s="12"/>
      <c r="F490" s="12" t="s">
        <v>91</v>
      </c>
      <c r="G490" s="21" t="s">
        <v>117</v>
      </c>
      <c r="H490" s="12" t="str">
        <f>INDEX('ei names mapping'!$B$71:$BK$100,MATCH(B460,'ei names mapping'!$A$4:$A$33,0),MATCH(G490,'ei names mapping'!$B$3:$BK$3,0))</f>
        <v>road maintenance</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7.4677814327013634E-2</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3.7573743057616917E-7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2.9728265987910503E-6</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5.5186509328161295E-5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7.0529899069459573E-4</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1.9709467617200459E-6</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1.9709467617200459E-6</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1.8132360967609141E-5</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4.9273669043001146E-6</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s="21" customFormat="1"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2.3973382411641201E-5</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s="21" customFormat="1"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1.690430811077264E-6</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s="21" customFormat="1"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3.44445149592546E-7</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s="21" customFormat="1"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2.7767578213306791E-6</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s="21" customFormat="1"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1.1393185717291907E-6</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s="21" customFormat="1"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8.5316413975999859E-7</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s="21" customFormat="1"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6.0410380082384996E-7</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s="21" customFormat="1"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3.921375549207447E-7</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s="21" customFormat="1"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3.868383987731671E-6</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s="21" customFormat="1"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2.0242776483746546E-6</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s="21" customFormat="1"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5.8290717623353947E-8</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s="21" customFormat="1"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5.8184734500402395E-6</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s="21" customFormat="1"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2.8774417881346538E-6</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s="21" customFormat="1"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1.1976092893525445E-6</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s="21" customFormat="1"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9.0085654508819725E-7</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s="21" customFormat="1"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3.9743671106832228E-7</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s="21" customFormat="1"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1.1658143524670789E-7</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s="21" customFormat="1"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3.2324852500223546E-7</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s="21" customFormat="1"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s="21" customFormat="1"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1.0068396680397498E-7</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s="21" customFormat="1"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5.3521477090534066E-7</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s="21" customFormat="1"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3.4650505847734325E-8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s="21" customFormat="1"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2.9871125730805451E-10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s="21" customFormat="1"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1.9914083820536969E-10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s="21" customFormat="1"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2.1507210526179924E-6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s="21" customFormat="1"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4.181957602312763E-8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s="21" customFormat="1"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1.2944154483349029E-8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s="21" customFormat="1"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1.5931267056429578E-8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s="21" customFormat="1"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3.1862534112859149E-11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s="21" customFormat="1"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8.6626264619335813E-9</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s="21" customFormat="1"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1.0753605263089963E-8</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-7.3669999999999991E-6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-8.3499999999999997E-6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Motorbike, gasoline, 4-11kW, EURO-5, 2040</v>
      </c>
    </row>
    <row r="536" spans="1:8" x14ac:dyDescent="0.3">
      <c r="A536" t="s">
        <v>73</v>
      </c>
      <c r="B536" t="s">
        <v>37</v>
      </c>
    </row>
    <row r="537" spans="1:8" x14ac:dyDescent="0.3">
      <c r="A537" t="s">
        <v>87</v>
      </c>
      <c r="B537" t="s">
        <v>714</v>
      </c>
    </row>
    <row r="538" spans="1:8" x14ac:dyDescent="0.3">
      <c r="A538" t="s">
        <v>88</v>
      </c>
      <c r="B538" s="12"/>
    </row>
    <row r="539" spans="1:8" x14ac:dyDescent="0.3">
      <c r="A539" t="s">
        <v>89</v>
      </c>
      <c r="B539" s="12">
        <v>2040</v>
      </c>
    </row>
    <row r="540" spans="1:8" x14ac:dyDescent="0.3">
      <c r="A540" t="s">
        <v>131</v>
      </c>
      <c r="B540" s="12" t="str">
        <f>B537&amp;" - "&amp;B539&amp;" - "&amp;B536</f>
        <v>Motorbike, gasoline, 4-11kW, EURO-5 - 2040 - CH</v>
      </c>
    </row>
    <row r="541" spans="1:8" x14ac:dyDescent="0.3">
      <c r="A541" t="s">
        <v>74</v>
      </c>
      <c r="B541" s="12" t="str">
        <f>"transport, "&amp;B537</f>
        <v>transport, Motorbike, gasoline, 4-11kW, EURO-5</v>
      </c>
    </row>
    <row r="542" spans="1:8" x14ac:dyDescent="0.3">
      <c r="A542" t="s">
        <v>75</v>
      </c>
      <c r="B542" t="s">
        <v>76</v>
      </c>
    </row>
    <row r="543" spans="1:8" x14ac:dyDescent="0.3">
      <c r="A543" t="s">
        <v>77</v>
      </c>
      <c r="B543" t="s">
        <v>172</v>
      </c>
    </row>
    <row r="544" spans="1:8" x14ac:dyDescent="0.3">
      <c r="A544" t="s">
        <v>79</v>
      </c>
      <c r="B544" t="s">
        <v>90</v>
      </c>
    </row>
    <row r="545" spans="1:2" x14ac:dyDescent="0.3">
      <c r="A545" t="s">
        <v>132</v>
      </c>
      <c r="B545">
        <f>INDEX('vehicles specifications'!$B$3:$CK$86,MATCH(B540,'vehicles specifications'!$A$3:$A$86,0),MATCH("Lifetime [km]",'vehicles specifications'!$B$2:$CK$2,0))</f>
        <v>39800</v>
      </c>
    </row>
    <row r="546" spans="1:2" x14ac:dyDescent="0.3">
      <c r="A546" t="s">
        <v>133</v>
      </c>
      <c r="B546">
        <f>INDEX('vehicles specifications'!$B$3:$CK$86,MATCH(B540,'vehicles specifications'!$A$3:$A$86,0),MATCH("Passengers [unit]",'vehicles specifications'!$B$2:$CK$2,0))</f>
        <v>1.1000000000000001</v>
      </c>
    </row>
    <row r="547" spans="1:2" x14ac:dyDescent="0.3">
      <c r="A547" t="s">
        <v>134</v>
      </c>
      <c r="B547">
        <f>INDEX('vehicles specifications'!$B$3:$CK$86,MATCH(B540,'vehicles specifications'!$A$3:$A$86,0),MATCH("Servicing [unit]",'vehicles specifications'!$B$2:$CK$2,0))</f>
        <v>1</v>
      </c>
    </row>
    <row r="548" spans="1:2" x14ac:dyDescent="0.3">
      <c r="A548" t="s">
        <v>135</v>
      </c>
      <c r="B548">
        <f>INDEX('vehicles specifications'!$B$3:$CK$86,MATCH(B540,'vehicles specifications'!$A$3:$A$86,0),MATCH("Energy battery replacement [unit]",'vehicles specifications'!$B$2:$CK$2,0))</f>
        <v>0</v>
      </c>
    </row>
    <row r="549" spans="1:2" x14ac:dyDescent="0.3">
      <c r="A549" t="s">
        <v>136</v>
      </c>
      <c r="B549">
        <f>INDEX('vehicles specifications'!$B$3:$CK$86,MATCH(B540,'vehicles specifications'!$A$3:$A$86,0),MATCH("Annual kilometers [km]",'vehicles specifications'!$B$2:$CK$2,0))</f>
        <v>2758</v>
      </c>
    </row>
    <row r="550" spans="1:2" x14ac:dyDescent="0.3">
      <c r="A550" t="s">
        <v>137</v>
      </c>
      <c r="B550" s="2">
        <f>INDEX('vehicles specifications'!$B$3:$CK$86,MATCH(B540,'vehicles specifications'!$A$3:$A$86,0),MATCH("Curb mass [kg]",'vehicles specifications'!$B$2:$CK$2,0))</f>
        <v>115.728314484542</v>
      </c>
    </row>
    <row r="551" spans="1:2" x14ac:dyDescent="0.3">
      <c r="A551" t="s">
        <v>138</v>
      </c>
      <c r="B551">
        <f>INDEX('vehicles specifications'!$B$3:$CK$86,MATCH(B540,'vehicles specifications'!$A$3:$A$86,0),MATCH("Power [kW]",'vehicles specifications'!$B$2:$CK$2,0))</f>
        <v>9</v>
      </c>
    </row>
    <row r="552" spans="1:2" x14ac:dyDescent="0.3">
      <c r="A552" t="s">
        <v>139</v>
      </c>
      <c r="B552">
        <f>INDEX('vehicles specifications'!$B$3:$CK$86,MATCH(B540,'vehicles specifications'!$A$3:$A$86,0),MATCH("Energy battery mass [kg]",'vehicles specifications'!$B$2:$CK$2,0))</f>
        <v>0</v>
      </c>
    </row>
    <row r="553" spans="1:2" x14ac:dyDescent="0.3">
      <c r="A553" t="s">
        <v>140</v>
      </c>
      <c r="B553">
        <f>INDEX('vehicles specifications'!$B$3:$CK$86,MATCH(B540,'vehicles specifications'!$A$3:$A$86,0),MATCH("Electric energy available [kWh]",'vehicles specifications'!$B$2:$CK$2,0))</f>
        <v>0</v>
      </c>
    </row>
    <row r="554" spans="1:2" x14ac:dyDescent="0.3">
      <c r="A554" t="s">
        <v>143</v>
      </c>
      <c r="B554" s="2">
        <f>INDEX('vehicles specifications'!$B$3:$CK$86,MATCH(B540,'vehicles specifications'!$A$3:$A$86,0),MATCH("Oxydation energy stored [kWh]",'vehicles specifications'!$B$2:$CK$2,0))</f>
        <v>79.5</v>
      </c>
    </row>
    <row r="555" spans="1:2" x14ac:dyDescent="0.3">
      <c r="A555" t="s">
        <v>145</v>
      </c>
      <c r="B555">
        <f>INDEX('vehicles specifications'!$B$3:$CK$86,MATCH(B540,'vehicles specifications'!$A$3:$A$86,0),MATCH("Fuel mass [kg]",'vehicles specifications'!$B$2:$CK$2,0))</f>
        <v>6.75</v>
      </c>
    </row>
    <row r="556" spans="1:2" x14ac:dyDescent="0.3">
      <c r="A556" t="s">
        <v>141</v>
      </c>
      <c r="B556" s="2">
        <f>INDEX('vehicles specifications'!$B$3:$CK$86,MATCH(B540,'vehicles specifications'!$A$3:$A$86,0),MATCH("Range [km]",'vehicles specifications'!$B$2:$CK$2,0))</f>
        <v>290.33814630505458</v>
      </c>
    </row>
    <row r="557" spans="1:2" x14ac:dyDescent="0.3">
      <c r="A557" t="s">
        <v>142</v>
      </c>
      <c r="B557" t="str">
        <f>INDEX('vehicles specifications'!$B$3:$CK$86,MATCH(B540,'vehicles specifications'!$A$3:$A$86,0),MATCH("Emission standard",'vehicles specifications'!$B$2:$CK$2,0))</f>
        <v>EURO-5</v>
      </c>
    </row>
    <row r="558" spans="1:2" x14ac:dyDescent="0.3">
      <c r="A558" t="s">
        <v>144</v>
      </c>
      <c r="B558" s="6">
        <f>INDEX('vehicles specifications'!$B$3:$CK$86,MATCH(B540,'vehicles specifications'!$A$3:$A$86,0),MATCH("Lightweighting rate [%]",'vehicles specifications'!$B$2:$CK$2,0))</f>
        <v>0.05</v>
      </c>
    </row>
    <row r="559" spans="1:2" x14ac:dyDescent="0.3">
      <c r="A559"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9 kW. Lifetime: 39800 km. Annual kilometers: 2758 km. Number of passengers: 1.1. Curb mass: 115.7 kg. Lightweighting of glider: 5%. Emission standard: EURO-5. Service visits throughout lifetime: 1. Range: 290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t="s">
        <v>81</v>
      </c>
      <c r="B561" t="s">
        <v>82</v>
      </c>
      <c r="C561" t="s">
        <v>73</v>
      </c>
      <c r="D561" t="s">
        <v>77</v>
      </c>
      <c r="E561" t="s">
        <v>83</v>
      </c>
      <c r="F561" t="s">
        <v>75</v>
      </c>
      <c r="G561" t="s">
        <v>84</v>
      </c>
      <c r="H561" t="s">
        <v>74</v>
      </c>
    </row>
    <row r="562" spans="1:8" x14ac:dyDescent="0.3">
      <c r="A562" s="12" t="str">
        <f>B535</f>
        <v>transport, Motorbike, gasoline, 4-11kW, EURO-5, 2040</v>
      </c>
      <c r="B562" s="12">
        <v>1</v>
      </c>
      <c r="C562" s="12" t="str">
        <f>B536</f>
        <v>CH</v>
      </c>
      <c r="D562" s="12" t="s">
        <v>172</v>
      </c>
      <c r="E562" s="12"/>
      <c r="F562" s="12" t="s">
        <v>85</v>
      </c>
      <c r="G562" s="12" t="s">
        <v>86</v>
      </c>
      <c r="H562" s="12" t="str">
        <f>B541</f>
        <v>transport, Motorbike, gasoline, 4-11kW, EURO-5</v>
      </c>
    </row>
    <row r="563" spans="1:8" x14ac:dyDescent="0.3">
      <c r="A563" s="12" t="str">
        <f>RIGHT(A562,LEN(A562)-11)</f>
        <v>Motorbike, gasoline, 4-11kW, EURO-5, 2040</v>
      </c>
      <c r="B563" s="12">
        <f>1/B545</f>
        <v>2.5125628140703518E-5</v>
      </c>
      <c r="C563" s="12" t="str">
        <f>B536</f>
        <v>CH</v>
      </c>
      <c r="D563" s="12" t="s">
        <v>77</v>
      </c>
      <c r="E563" s="12"/>
      <c r="F563" s="12" t="s">
        <v>91</v>
      </c>
      <c r="G563" s="12"/>
      <c r="H563" s="12" t="str">
        <f>RIGHT(H562,LEN(H562)-11)</f>
        <v>Motorbike, gasoline, 4-11kW, EURO-5</v>
      </c>
    </row>
    <row r="564" spans="1:8"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1.0671710487819906E-4</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maintenance, motor scooter</v>
      </c>
      <c r="B565" s="16">
        <f>INDEX('vehicles specifications'!$B$3:$CK$86,MATCH(B540,'vehicles specifications'!$A$3:$A$86,0),MATCH(G565,'vehicles specifications'!$B$2:$CK$2,0))*INDEX('ei names mapping'!$B$137:$BK$220,MATCH(B540,'ei names mapping'!$A$137:$A$220,0),MATCH(G565,'ei names mapping'!$B$136:$BK$136,0))</f>
        <v>2.5125628140703518E-5</v>
      </c>
      <c r="C565" s="12" t="str">
        <f>INDEX('ei names mapping'!$B$38:$BK$67,MATCH(B537,'ei names mapping'!$A$4:$A$33,0),MATCH(G565,'ei names mapping'!$B$3:$BK$3,0))</f>
        <v>CH</v>
      </c>
      <c r="D565" s="12" t="str">
        <f>INDEX('ei names mapping'!$B$104:$BK$133,MATCH(B537,'ei names mapping'!$A$4:$A$33,0),MATCH(G565,'ei names mapping'!$B$3:$BK$3,0))</f>
        <v>unit</v>
      </c>
      <c r="F565" s="12" t="s">
        <v>91</v>
      </c>
      <c r="G565" s="12" t="s">
        <v>123</v>
      </c>
      <c r="H565" s="12" t="str">
        <f>INDEX('ei names mapping'!$B$71:$BK$100,MATCH(B537,'ei names mapping'!$A$4:$A$33,0),MATCH(G565,'ei names mapping'!$B$3:$BK$3,0))</f>
        <v>maintenance, motor scooter</v>
      </c>
    </row>
    <row r="566" spans="1:8" x14ac:dyDescent="0.3">
      <c r="A566" s="12" t="str">
        <f>INDEX('ei names mapping'!$B$4:$R$33,MATCH(B537,'ei names mapping'!$A$4:$A$33,0),MATCH(G566,'ei names mapping'!$B$3:$R$3,0))</f>
        <v>market for petrol, low-sulfur</v>
      </c>
      <c r="B566" s="16">
        <f>INDEX('vehicles specifications'!$B$3:$CK$86,MATCH(B540,'vehicles specifications'!$A$3:$A$86,0),MATCH(G566,'vehicles specifications'!$B$2:$CK$2,0))*INDEX('ei names mapping'!$B$137:$BK$220,MATCH(B540,'ei names mapping'!$A$137:$A$220,0),MATCH(G566,'ei names mapping'!$B$136:$BK$136,0))</f>
        <v>2.3248753516900471E-2</v>
      </c>
      <c r="C566" s="12" t="str">
        <f>INDEX('ei names mapping'!$B$38:$BK$67,MATCH(B537,'ei names mapping'!$A$4:$A$33,0),MATCH(G566,'ei names mapping'!$B$3:$BK$3,0))</f>
        <v>CH</v>
      </c>
      <c r="D566" s="12" t="str">
        <f>INDEX('ei names mapping'!$B$104:$BK$133,MATCH(B537,'ei names mapping'!$A$4:$A$33,0),MATCH(G566,'ei names mapping'!$B$3:$BK$3,0))</f>
        <v>kilogram</v>
      </c>
      <c r="F566" s="12" t="s">
        <v>91</v>
      </c>
      <c r="G566" s="12" t="s">
        <v>27</v>
      </c>
      <c r="H566" s="12" t="str">
        <f>INDEX('ei names mapping'!$B$71:$BK$100,MATCH(B537,'ei names mapping'!$A$4:$A$33,0),MATCH(G566,'ei names mapping'!$B$3:$BK$3,0))</f>
        <v>petrol, low-sulfur</v>
      </c>
    </row>
    <row r="567" spans="1:8" s="21" customFormat="1" x14ac:dyDescent="0.3">
      <c r="A567" s="12" t="str">
        <f>INDEX('ei names mapping'!$B$4:$R$33,MATCH(B537,'ei names mapping'!$A$4:$A$33,0),MATCH(G567,'ei names mapping'!$B$3:$R$3,0))</f>
        <v>road maintenance</v>
      </c>
      <c r="B567" s="16">
        <f>INDEX('vehicles specifications'!$B$3:$CK$86,MATCH(B540,'vehicles specifications'!$A$3:$A$86,0),MATCH(G567,'vehicles specifications'!$B$2:$CK$2,0))*INDEX('ei names mapping'!$B$137:$BK$220,MATCH(B540,'ei names mapping'!$A$137:$A$220,0),MATCH(G567,'ei names mapping'!$B$136:$BK$136,0))</f>
        <v>1.2899999999999999E-3</v>
      </c>
      <c r="C567" s="12" t="str">
        <f>INDEX('ei names mapping'!$B$38:$R$67,MATCH(B537,'ei names mapping'!$A$4:$A$33,0),MATCH(G567,'ei names mapping'!$B$3:$R$3,0))</f>
        <v>CH</v>
      </c>
      <c r="D567" s="12" t="str">
        <f>INDEX('ei names mapping'!$B$104:$BK$133,MATCH(B537,'ei names mapping'!$A$4:$A$33,0),MATCH(G567,'ei names mapping'!$B$3:$BK$3,0))</f>
        <v>meter-year</v>
      </c>
      <c r="E567" s="12"/>
      <c r="F567" s="12" t="s">
        <v>91</v>
      </c>
      <c r="G567" s="21" t="s">
        <v>117</v>
      </c>
      <c r="H567" s="12" t="str">
        <f>INDEX('ei names mapping'!$B$71:$BK$100,MATCH(B537,'ei names mapping'!$A$4:$A$33,0),MATCH(G567,'ei names mapping'!$B$3:$BK$3,0))</f>
        <v>road maintenance</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7.3931036183743498E-2</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3.719800562704075E-7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2.9430983328031398E-6</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5.4634644234879682E-5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6.982460007876497E-4</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1.9512372941028455E-6</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1.9512372941028455E-6</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1.795103735793305E-5</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4.8780932352571135E-6</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s="21" customFormat="1"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2.3733648587524791E-5</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s="21" customFormat="1"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1.6735265029664914E-6</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s="21" customFormat="1"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3.4100069809662051E-7</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s="21" customFormat="1"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2.7489902431173722E-6</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s="21" customFormat="1"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1.1279253860118987E-6</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s="21" customFormat="1"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8.4463249836239867E-7</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s="21" customFormat="1"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5.9806276281561148E-7</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s="21" customFormat="1"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3.8821617937153727E-7</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s="21" customFormat="1"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3.8297001478543544E-6</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s="21" customFormat="1"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2.0040348718909082E-6</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s="21" customFormat="1"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5.7707810447120405E-8</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s="21" customFormat="1"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5.7602887155398365E-6</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s="21" customFormat="1"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2.8486673702533073E-6</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s="21" customFormat="1"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1.1856331964590191E-6</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s="21" customFormat="1"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8.9184797963731528E-7</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s="21" customFormat="1"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3.9346234395763905E-7</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s="21" customFormat="1"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1.1541562089424081E-7</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s="21" customFormat="1"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3.2001603975221312E-7</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s="21" customFormat="1"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s="21" customFormat="1"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9.9677127135935233E-8</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s="21" customFormat="1"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5.2986262319628733E-7</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s="21" customFormat="1"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3.4304000789256983E-8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s="21" customFormat="1"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2.9572414473497396E-10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s="21" customFormat="1"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1.9714942982331598E-10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s="21" customFormat="1"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2.1292138420918128E-6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s="21" customFormat="1"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4.1401380262896352E-8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s="21" customFormat="1"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1.281471293851554E-8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s="21" customFormat="1"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1.5771954385865283E-8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s="21" customFormat="1"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3.1543908771730556E-11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s="21" customFormat="1"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8.5760001973142457E-9</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s="21" customFormat="1"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1.0646069210459064E-8</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-7.3669999999999991E-6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-8.3499999999999997E-6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Motorbike, gasoline, 4-11kW, EURO-5, 2050</v>
      </c>
    </row>
    <row r="613" spans="1:8" x14ac:dyDescent="0.3">
      <c r="A613" t="s">
        <v>73</v>
      </c>
      <c r="B613" t="s">
        <v>37</v>
      </c>
    </row>
    <row r="614" spans="1:8" x14ac:dyDescent="0.3">
      <c r="A614" t="s">
        <v>87</v>
      </c>
      <c r="B614" t="s">
        <v>714</v>
      </c>
    </row>
    <row r="615" spans="1:8" x14ac:dyDescent="0.3">
      <c r="A615" t="s">
        <v>88</v>
      </c>
      <c r="B615" s="12"/>
    </row>
    <row r="616" spans="1:8" x14ac:dyDescent="0.3">
      <c r="A616" t="s">
        <v>89</v>
      </c>
      <c r="B616" s="12">
        <v>2050</v>
      </c>
    </row>
    <row r="617" spans="1:8" x14ac:dyDescent="0.3">
      <c r="A617" t="s">
        <v>131</v>
      </c>
      <c r="B617" s="12" t="str">
        <f>B614&amp;" - "&amp;B616&amp;" - "&amp;B613</f>
        <v>Motorbike, gasoline, 4-11kW, EURO-5 - 2050 - CH</v>
      </c>
    </row>
    <row r="618" spans="1:8" x14ac:dyDescent="0.3">
      <c r="A618" t="s">
        <v>74</v>
      </c>
      <c r="B618" s="12" t="str">
        <f>"transport, "&amp;B614</f>
        <v>transport, Motorbike, gasoline, 4-11kW, EURO-5</v>
      </c>
    </row>
    <row r="619" spans="1:8" x14ac:dyDescent="0.3">
      <c r="A619" t="s">
        <v>75</v>
      </c>
      <c r="B619" t="s">
        <v>76</v>
      </c>
    </row>
    <row r="620" spans="1:8" x14ac:dyDescent="0.3">
      <c r="A620" t="s">
        <v>77</v>
      </c>
      <c r="B620" t="s">
        <v>172</v>
      </c>
    </row>
    <row r="621" spans="1:8" x14ac:dyDescent="0.3">
      <c r="A621" t="s">
        <v>79</v>
      </c>
      <c r="B621" t="s">
        <v>90</v>
      </c>
    </row>
    <row r="622" spans="1:8" x14ac:dyDescent="0.3">
      <c r="A622" t="s">
        <v>132</v>
      </c>
      <c r="B622">
        <f>INDEX('vehicles specifications'!$B$3:$CK$86,MATCH(B617,'vehicles specifications'!$A$3:$A$86,0),MATCH("Lifetime [km]",'vehicles specifications'!$B$2:$CK$2,0))</f>
        <v>39800</v>
      </c>
    </row>
    <row r="623" spans="1:8" x14ac:dyDescent="0.3">
      <c r="A623" t="s">
        <v>133</v>
      </c>
      <c r="B623">
        <f>INDEX('vehicles specifications'!$B$3:$CK$86,MATCH(B617,'vehicles specifications'!$A$3:$A$86,0),MATCH("Passengers [unit]",'vehicles specifications'!$B$2:$CK$2,0))</f>
        <v>1.1000000000000001</v>
      </c>
    </row>
    <row r="624" spans="1:8" x14ac:dyDescent="0.3">
      <c r="A624" t="s">
        <v>134</v>
      </c>
      <c r="B624">
        <f>INDEX('vehicles specifications'!$B$3:$CK$86,MATCH(B617,'vehicles specifications'!$A$3:$A$86,0),MATCH("Servicing [unit]",'vehicles specifications'!$B$2:$CK$2,0))</f>
        <v>1</v>
      </c>
    </row>
    <row r="625" spans="1:8" x14ac:dyDescent="0.3">
      <c r="A625" t="s">
        <v>135</v>
      </c>
      <c r="B625">
        <f>INDEX('vehicles specifications'!$B$3:$CK$86,MATCH(B617,'vehicles specifications'!$A$3:$A$86,0),MATCH("Energy battery replacement [unit]",'vehicles specifications'!$B$2:$CK$2,0))</f>
        <v>0</v>
      </c>
    </row>
    <row r="626" spans="1:8" x14ac:dyDescent="0.3">
      <c r="A626" t="s">
        <v>136</v>
      </c>
      <c r="B626">
        <f>INDEX('vehicles specifications'!$B$3:$CK$86,MATCH(B617,'vehicles specifications'!$A$3:$A$86,0),MATCH("Annual kilometers [km]",'vehicles specifications'!$B$2:$CK$2,0))</f>
        <v>2758</v>
      </c>
    </row>
    <row r="627" spans="1:8" x14ac:dyDescent="0.3">
      <c r="A627" t="s">
        <v>137</v>
      </c>
      <c r="B627" s="2">
        <f>INDEX('vehicles specifications'!$B$3:$CK$86,MATCH(B617,'vehicles specifications'!$A$3:$A$86,0),MATCH("Curb mass [kg]",'vehicles specifications'!$B$2:$CK$2,0))</f>
        <v>114.41963794533542</v>
      </c>
    </row>
    <row r="628" spans="1:8" x14ac:dyDescent="0.3">
      <c r="A628" t="s">
        <v>138</v>
      </c>
      <c r="B628">
        <f>INDEX('vehicles specifications'!$B$3:$CK$86,MATCH(B617,'vehicles specifications'!$A$3:$A$86,0),MATCH("Power [kW]",'vehicles specifications'!$B$2:$CK$2,0))</f>
        <v>9</v>
      </c>
    </row>
    <row r="629" spans="1:8" x14ac:dyDescent="0.3">
      <c r="A629" t="s">
        <v>139</v>
      </c>
      <c r="B629">
        <f>INDEX('vehicles specifications'!$B$3:$CK$86,MATCH(B617,'vehicles specifications'!$A$3:$A$86,0),MATCH("Energy battery mass [kg]",'vehicles specifications'!$B$2:$CK$2,0))</f>
        <v>0</v>
      </c>
    </row>
    <row r="630" spans="1:8" x14ac:dyDescent="0.3">
      <c r="A630" t="s">
        <v>140</v>
      </c>
      <c r="B630">
        <f>INDEX('vehicles specifications'!$B$3:$CK$86,MATCH(B617,'vehicles specifications'!$A$3:$A$86,0),MATCH("Electric energy available [kWh]",'vehicles specifications'!$B$2:$CK$2,0))</f>
        <v>0</v>
      </c>
    </row>
    <row r="631" spans="1:8" x14ac:dyDescent="0.3">
      <c r="A631" t="s">
        <v>143</v>
      </c>
      <c r="B631" s="2">
        <f>INDEX('vehicles specifications'!$B$3:$CK$86,MATCH(B617,'vehicles specifications'!$A$3:$A$86,0),MATCH("Oxydation energy stored [kWh]",'vehicles specifications'!$B$2:$CK$2,0))</f>
        <v>79.5</v>
      </c>
    </row>
    <row r="632" spans="1:8" x14ac:dyDescent="0.3">
      <c r="A632" t="s">
        <v>145</v>
      </c>
      <c r="B632">
        <f>INDEX('vehicles specifications'!$B$3:$CK$86,MATCH(B617,'vehicles specifications'!$A$3:$A$86,0),MATCH("Fuel mass [kg]",'vehicles specifications'!$B$2:$CK$2,0))</f>
        <v>6.75</v>
      </c>
    </row>
    <row r="633" spans="1:8" x14ac:dyDescent="0.3">
      <c r="A633" t="s">
        <v>141</v>
      </c>
      <c r="B633" s="2">
        <f>INDEX('vehicles specifications'!$B$3:$CK$86,MATCH(B617,'vehicles specifications'!$A$3:$A$86,0),MATCH("Range [km]",'vehicles specifications'!$B$2:$CK$2,0))</f>
        <v>293.27085485359044</v>
      </c>
    </row>
    <row r="634" spans="1:8" x14ac:dyDescent="0.3">
      <c r="A634" t="s">
        <v>142</v>
      </c>
      <c r="B634" t="str">
        <f>INDEX('vehicles specifications'!$B$3:$CK$86,MATCH(B617,'vehicles specifications'!$A$3:$A$86,0),MATCH("Emission standard",'vehicles specifications'!$B$2:$CK$2,0))</f>
        <v>EURO-5</v>
      </c>
    </row>
    <row r="635" spans="1:8" x14ac:dyDescent="0.3">
      <c r="A635" t="s">
        <v>144</v>
      </c>
      <c r="B635" s="6">
        <f>INDEX('vehicles specifications'!$B$3:$CK$86,MATCH(B617,'vehicles specifications'!$A$3:$A$86,0),MATCH("Lightweighting rate [%]",'vehicles specifications'!$B$2:$CK$2,0))</f>
        <v>7.0000000000000007E-2</v>
      </c>
    </row>
    <row r="636" spans="1:8" x14ac:dyDescent="0.3">
      <c r="A636"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9 kW. Lifetime: 39800 km. Annual kilometers: 2758 km. Number of passengers: 1.1. Curb mass: 114.4 kg. Lightweighting of glider: 7%. Emission standard: EURO-5. Service visits throughout lifetime: 1. Range: 293 km. Battery capacity: 0 kWh. Battery mass: 0 kg. Battery replacement throughout lifetime: 0. Fuel tank capacity: 79.5 kWh. Fuel mass: 6.8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t="s">
        <v>81</v>
      </c>
      <c r="B638" t="s">
        <v>82</v>
      </c>
      <c r="C638" t="s">
        <v>73</v>
      </c>
      <c r="D638" t="s">
        <v>77</v>
      </c>
      <c r="E638" t="s">
        <v>83</v>
      </c>
      <c r="F638" t="s">
        <v>75</v>
      </c>
      <c r="G638" t="s">
        <v>84</v>
      </c>
      <c r="H638" t="s">
        <v>74</v>
      </c>
    </row>
    <row r="639" spans="1:8" x14ac:dyDescent="0.3">
      <c r="A639" s="12" t="str">
        <f>B612</f>
        <v>transport, Motorbike, gasoline, 4-11kW, EURO-5, 2050</v>
      </c>
      <c r="B639" s="12">
        <v>1</v>
      </c>
      <c r="C639" s="12" t="str">
        <f>B613</f>
        <v>CH</v>
      </c>
      <c r="D639" s="12" t="s">
        <v>172</v>
      </c>
      <c r="E639" s="12"/>
      <c r="F639" s="12" t="s">
        <v>85</v>
      </c>
      <c r="G639" s="12" t="s">
        <v>86</v>
      </c>
      <c r="H639" s="12" t="str">
        <f>B618</f>
        <v>transport, Motorbike, gasoline, 4-11kW, EURO-5</v>
      </c>
    </row>
    <row r="640" spans="1:8" x14ac:dyDescent="0.3">
      <c r="A640" s="12" t="str">
        <f>RIGHT(A639,LEN(A639)-11)</f>
        <v>Motorbike, gasoline, 4-11kW, EURO-5, 2050</v>
      </c>
      <c r="B640" s="12">
        <f>1/B622</f>
        <v>2.5125628140703518E-5</v>
      </c>
      <c r="C640" s="12" t="str">
        <f>B613</f>
        <v>CH</v>
      </c>
      <c r="D640" s="12" t="s">
        <v>77</v>
      </c>
      <c r="E640" s="12"/>
      <c r="F640" s="12" t="s">
        <v>91</v>
      </c>
      <c r="G640" s="12"/>
      <c r="H640" s="12" t="str">
        <f>RIGHT(H639,LEN(H639)-11)</f>
        <v>Motorbike, gasoline, 4-11kW, EURO-5</v>
      </c>
    </row>
    <row r="641" spans="1:8"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1.0601434557664512E-4</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maintenance, motor scooter</v>
      </c>
      <c r="B642" s="16">
        <f>INDEX('vehicles specifications'!$B$3:$CK$86,MATCH(B617,'vehicles specifications'!$A$3:$A$86,0),MATCH(G642,'vehicles specifications'!$B$2:$CK$2,0))*INDEX('ei names mapping'!$B$137:$BK$220,MATCH(B617,'ei names mapping'!$A$137:$A$220,0),MATCH(G642,'ei names mapping'!$B$136:$BK$136,0))</f>
        <v>2.5125628140703518E-5</v>
      </c>
      <c r="C642" s="12" t="str">
        <f>INDEX('ei names mapping'!$B$38:$BK$67,MATCH(B614,'ei names mapping'!$A$4:$A$33,0),MATCH(G642,'ei names mapping'!$B$3:$BK$3,0))</f>
        <v>CH</v>
      </c>
      <c r="D642" s="12" t="str">
        <f>INDEX('ei names mapping'!$B$104:$BK$133,MATCH(B614,'ei names mapping'!$A$4:$A$33,0),MATCH(G642,'ei names mapping'!$B$3:$BK$3,0))</f>
        <v>unit</v>
      </c>
      <c r="F642" s="12" t="s">
        <v>91</v>
      </c>
      <c r="G642" s="12" t="s">
        <v>123</v>
      </c>
      <c r="H642" s="12" t="str">
        <f>INDEX('ei names mapping'!$B$71:$BK$100,MATCH(B614,'ei names mapping'!$A$4:$A$33,0),MATCH(G642,'ei names mapping'!$B$3:$BK$3,0))</f>
        <v>maintenance, motor scooter</v>
      </c>
    </row>
    <row r="643" spans="1:8" x14ac:dyDescent="0.3">
      <c r="A643" s="12" t="str">
        <f>INDEX('ei names mapping'!$B$4:$R$33,MATCH(B614,'ei names mapping'!$A$4:$A$33,0),MATCH(G643,'ei names mapping'!$B$3:$R$3,0))</f>
        <v>market for petrol, low-sulfur</v>
      </c>
      <c r="B643" s="16">
        <f>INDEX('vehicles specifications'!$B$3:$CK$86,MATCH(B617,'vehicles specifications'!$A$3:$A$86,0),MATCH(G643,'vehicles specifications'!$B$2:$CK$2,0))*INDEX('ei names mapping'!$B$137:$BK$220,MATCH(B617,'ei names mapping'!$A$137:$A$220,0),MATCH(G643,'ei names mapping'!$B$136:$BK$136,0))</f>
        <v>2.3016265981731468E-2</v>
      </c>
      <c r="C643" s="12" t="str">
        <f>INDEX('ei names mapping'!$B$38:$BK$67,MATCH(B614,'ei names mapping'!$A$4:$A$33,0),MATCH(G643,'ei names mapping'!$B$3:$BK$3,0))</f>
        <v>CH</v>
      </c>
      <c r="D643" s="12" t="str">
        <f>INDEX('ei names mapping'!$B$104:$BK$133,MATCH(B614,'ei names mapping'!$A$4:$A$33,0),MATCH(G643,'ei names mapping'!$B$3:$BK$3,0))</f>
        <v>kilogram</v>
      </c>
      <c r="F643" s="12" t="s">
        <v>91</v>
      </c>
      <c r="G643" s="12" t="s">
        <v>27</v>
      </c>
      <c r="H643" s="12" t="str">
        <f>INDEX('ei names mapping'!$B$71:$BK$100,MATCH(B614,'ei names mapping'!$A$4:$A$33,0),MATCH(G643,'ei names mapping'!$B$3:$BK$3,0))</f>
        <v>petrol, low-sulfur</v>
      </c>
    </row>
    <row r="644" spans="1:8" s="21" customFormat="1" x14ac:dyDescent="0.3">
      <c r="A644" s="12" t="str">
        <f>INDEX('ei names mapping'!$B$4:$R$33,MATCH(B614,'ei names mapping'!$A$4:$A$33,0),MATCH(G644,'ei names mapping'!$B$3:$R$3,0))</f>
        <v>road maintenance</v>
      </c>
      <c r="B644" s="16">
        <f>INDEX('vehicles specifications'!$B$3:$CK$86,MATCH(B617,'vehicles specifications'!$A$3:$A$86,0),MATCH(G644,'vehicles specifications'!$B$2:$CK$2,0))*INDEX('ei names mapping'!$B$137:$BK$220,MATCH(B617,'ei names mapping'!$A$137:$A$220,0),MATCH(G644,'ei names mapping'!$B$136:$BK$136,0))</f>
        <v>1.2899999999999999E-3</v>
      </c>
      <c r="C644" s="12" t="str">
        <f>INDEX('ei names mapping'!$B$38:$R$67,MATCH(B614,'ei names mapping'!$A$4:$A$33,0),MATCH(G644,'ei names mapping'!$B$3:$R$3,0))</f>
        <v>CH</v>
      </c>
      <c r="D644" s="12" t="str">
        <f>INDEX('ei names mapping'!$B$104:$BK$133,MATCH(B614,'ei names mapping'!$A$4:$A$33,0),MATCH(G644,'ei names mapping'!$B$3:$BK$3,0))</f>
        <v>meter-year</v>
      </c>
      <c r="E644" s="12"/>
      <c r="F644" s="12" t="s">
        <v>91</v>
      </c>
      <c r="G644" s="21" t="s">
        <v>117</v>
      </c>
      <c r="H644" s="12" t="str">
        <f>INDEX('ei names mapping'!$B$71:$BK$100,MATCH(B614,'ei names mapping'!$A$4:$A$33,0),MATCH(G644,'ei names mapping'!$B$3:$BK$3,0))</f>
        <v>road maintenance</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7.3191725821906056E-2</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3.682602557077034E-7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2.9136673494751086E-6</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5.4088297792530884E-5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6.912635407797733E-4</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1.9317249211618169E-6</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1.9317249211618169E-6</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1.7771526984353721E-5</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4.8293123029045427E-6</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s="21" customFormat="1"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2.3496312101649541E-5</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s="21" customFormat="1"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1.6567912379368265E-6</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s="21" customFormat="1"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3.3759069111565431E-7</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s="21" customFormat="1"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2.7215003406861984E-6</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s="21" customFormat="1"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1.1166461321517797E-6</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s="21" customFormat="1"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8.3618617337877467E-7</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s="21" customFormat="1"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5.9208213518745539E-7</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s="21" customFormat="1"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3.8433401757782191E-7</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s="21" customFormat="1"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3.7914031463758107E-6</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s="21" customFormat="1"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1.9839945231719991E-6</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s="21" customFormat="1"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5.7130732342649204E-8</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s="21" customFormat="1"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5.7026858283844389E-6</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s="21" customFormat="1"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2.8201806965507743E-6</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s="21" customFormat="1"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1.173776864494429E-6</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s="21" customFormat="1"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8.8292949984094216E-7</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s="21" customFormat="1"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3.8952772051806267E-7</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s="21" customFormat="1"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1.1426146468529841E-7</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s="21" customFormat="1"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3.16815879354691E-7</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s="21" customFormat="1"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s="21" customFormat="1"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9.8680355864575885E-8</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s="21" customFormat="1"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5.2456399696432443E-7</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s="21" customFormat="1"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3.3960960781364411E-8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s="21" customFormat="1"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2.9276690328762423E-10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s="21" customFormat="1"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1.9517793552508282E-10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s="21" customFormat="1"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2.1079217036708944E-6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s="21" customFormat="1"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4.0987366460267393E-8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s="21" customFormat="1"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1.2686565809130383E-8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s="21" customFormat="1"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1.5614234842006629E-8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s="21" customFormat="1"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3.1228469684013252E-11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s="21" customFormat="1"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8.4902401953411028E-9</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s="21" customFormat="1"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1.0539608518354472E-8</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-7.3669999999999991E-6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-8.3499999999999997E-6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topLeftCell="A325" workbookViewId="0">
      <selection activeCell="G36" sqref="G36"/>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gasoline, 11-35kW, EURO-3, 2006</v>
      </c>
    </row>
    <row r="2" spans="1:2" x14ac:dyDescent="0.3">
      <c r="A2" t="s">
        <v>73</v>
      </c>
      <c r="B2" t="s">
        <v>37</v>
      </c>
    </row>
    <row r="3" spans="1:2" x14ac:dyDescent="0.3">
      <c r="A3" t="s">
        <v>87</v>
      </c>
      <c r="B3" t="s">
        <v>694</v>
      </c>
    </row>
    <row r="4" spans="1:2" x14ac:dyDescent="0.3">
      <c r="A4" t="s">
        <v>88</v>
      </c>
      <c r="B4" s="12"/>
    </row>
    <row r="5" spans="1:2" x14ac:dyDescent="0.3">
      <c r="A5" t="s">
        <v>89</v>
      </c>
      <c r="B5" s="12">
        <v>2006</v>
      </c>
    </row>
    <row r="6" spans="1:2" x14ac:dyDescent="0.3">
      <c r="A6" t="s">
        <v>131</v>
      </c>
      <c r="B6" s="12" t="str">
        <f>B3&amp;" - "&amp;B5&amp;" - "&amp;B2</f>
        <v>Motorbike, gasoline, 11-35kW, EURO-3 - 2006 - CH</v>
      </c>
    </row>
    <row r="7" spans="1:2" x14ac:dyDescent="0.3">
      <c r="A7" t="s">
        <v>74</v>
      </c>
      <c r="B7" t="str">
        <f>B3</f>
        <v>Motorbike, gasoline, 11-35kW, EURO-3</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62100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1.242</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4592</v>
      </c>
    </row>
    <row r="16" spans="1:2" x14ac:dyDescent="0.3">
      <c r="A16" t="s">
        <v>137</v>
      </c>
      <c r="B16" s="2">
        <f>INDEX('vehicles specifications'!$B$3:$CK$86,MATCH(B6,'vehicles specifications'!$A$3:$A$86,0),MATCH("Curb mass [kg]",'vehicles specifications'!$B$2:$CK$2,0))</f>
        <v>159.98750000000001</v>
      </c>
    </row>
    <row r="17" spans="1:8" x14ac:dyDescent="0.3">
      <c r="A17" t="s">
        <v>138</v>
      </c>
      <c r="B17">
        <f>INDEX('vehicles specifications'!$B$3:$CK$86,MATCH(B6,'vehicles specifications'!$A$3:$A$86,0),MATCH("Power [kW]",'vehicles specifications'!$B$2:$CK$2,0))</f>
        <v>20</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s="2">
        <f>INDEX('vehicles specifications'!$B$3:$CK$86,MATCH(B6,'vehicles specifications'!$A$3:$A$86,0),MATCH("Oxydation energy stored [kWh]",'vehicles specifications'!$B$2:$CK$2,0))</f>
        <v>132.5</v>
      </c>
    </row>
    <row r="21" spans="1:8" x14ac:dyDescent="0.3">
      <c r="A21" t="s">
        <v>145</v>
      </c>
      <c r="B21">
        <f>INDEX('vehicles specifications'!$B$3:$CK$86,MATCH(B6,'vehicles specifications'!$A$3:$A$86,0),MATCH("Fuel mass [kg]",'vehicles specifications'!$B$2:$CK$2,0))</f>
        <v>11.25</v>
      </c>
    </row>
    <row r="22" spans="1:8" x14ac:dyDescent="0.3">
      <c r="A22" t="s">
        <v>141</v>
      </c>
      <c r="B22" s="2">
        <f>INDEX('vehicles specifications'!$B$3:$CK$86,MATCH(B6,'vehicles specifications'!$A$3:$A$86,0),MATCH("Range [km]",'vehicles specifications'!$B$2:$CK$2,0))</f>
        <v>320.51106557529852</v>
      </c>
    </row>
    <row r="23" spans="1:8" x14ac:dyDescent="0.3">
      <c r="A23" t="s">
        <v>142</v>
      </c>
      <c r="B23" t="str">
        <f>INDEX('vehicles specifications'!$B$3:$CK$86,MATCH(B6,'vehicles specifications'!$A$3:$A$86,0),MATCH("Emission standard",'vehicles specifications'!$B$2:$CK$2,0))</f>
        <v>EURO-3</v>
      </c>
    </row>
    <row r="24" spans="1:8" ht="15" customHeight="1" x14ac:dyDescent="0.3">
      <c r="A24" t="s">
        <v>144</v>
      </c>
      <c r="B24" s="6">
        <f>INDEX('vehicles specifications'!$B$3:$CK$86,MATCH(B6,'vehicles specifications'!$A$3:$A$86,0),MATCH("Lightweighting rate [%]",'vehicles specifications'!$B$2:$CK$2,0))</f>
        <v>-0.05</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20 kW. Lifetime: 62100 km. Annual kilometers: 4592 km. Number of passengers: 1.1. Curb mass: 160 kg. Lightweighting of glider: -5%. Emission standard: EURO-3. Service visits throughout lifetime: 1.2. Range: 321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Motorbike, gasoline, 11-35kW, EURO-3, 2006</v>
      </c>
      <c r="B31" s="12">
        <v>1</v>
      </c>
      <c r="C31" s="12" t="str">
        <f>B2</f>
        <v>CH</v>
      </c>
      <c r="D31" s="12" t="str">
        <f>B9</f>
        <v>unit</v>
      </c>
      <c r="E31" s="12"/>
      <c r="F31" s="12" t="s">
        <v>85</v>
      </c>
      <c r="G31" s="12" t="s">
        <v>86</v>
      </c>
      <c r="H31" s="12" t="str">
        <f>B3</f>
        <v>Motorbike, gasoline, 11-35kW,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0.9</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0.68888888888888888</v>
      </c>
      <c r="C33" s="12" t="str">
        <f>INDEX('ei names mapping'!$B$38:$R$67,MATCH(B3,'ei names mapping'!$A$4:$A$33,0),MATCH(G33,'ei names mapping'!$B$3:$R$3,0))</f>
        <v>RER</v>
      </c>
      <c r="D33" s="12" t="str">
        <f>INDEX('ei names mapping'!$B$104:$R$133,MATCH(B3,'ei names mapping'!$A$104:$A$133,0),MATCH(G33,'ei names mapping'!$B$3:$R$3,0))</f>
        <v>unit</v>
      </c>
      <c r="E33" s="12"/>
      <c r="F33" s="12" t="s">
        <v>91</v>
      </c>
      <c r="G33"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1.6875</v>
      </c>
      <c r="C34" s="12" t="str">
        <f>INDEX('ei names mapping'!$B$38:$R$67,MATCH(B3,'ei names mapping'!$A$4:$A$33,0),MATCH(G34,'ei names mapping'!$B$3:$R$3,0))</f>
        <v>RER</v>
      </c>
      <c r="D34" s="12" t="str">
        <f>INDEX('ei names mapping'!$B$104:$R$133,MATCH(B3,'ei names mapping'!$A$104:$A$133,0),MATCH(G34,'ei names mapping'!$B$3:$R$3,0))</f>
        <v>kilogram</v>
      </c>
      <c r="E34" s="12"/>
      <c r="F34" s="12" t="s">
        <v>91</v>
      </c>
      <c r="G34" t="s">
        <v>24</v>
      </c>
      <c r="H34" s="12" t="str">
        <f>INDEX('ei names mapping'!$B$71:$R$100,MATCH(B3,'ei names mapping'!$A$4:$A$33,0),MATCH(G34,'ei names mapping'!$B$3:$R$3,0))</f>
        <v>polyethylene, high density, granulate</v>
      </c>
    </row>
    <row r="35" spans="1:8" s="21" customFormat="1" x14ac:dyDescent="0.3">
      <c r="A35" s="22" t="s">
        <v>468</v>
      </c>
      <c r="B35" s="21">
        <f>(B16/1000)*B27</f>
        <v>159.98750000000001</v>
      </c>
      <c r="C35" s="21" t="s">
        <v>94</v>
      </c>
      <c r="D35" s="21" t="s">
        <v>243</v>
      </c>
      <c r="F35" s="21" t="s">
        <v>91</v>
      </c>
      <c r="H35" s="22" t="s">
        <v>469</v>
      </c>
    </row>
    <row r="36" spans="1:8" s="21" customFormat="1" x14ac:dyDescent="0.3">
      <c r="A36" s="22" t="s">
        <v>467</v>
      </c>
      <c r="B36" s="2">
        <f>(B16/1000)*B26</f>
        <v>2543.80125</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Motorbike, gasoline, 11-35kW, EURO-4, 2016</v>
      </c>
    </row>
    <row r="39" spans="1:8" x14ac:dyDescent="0.3">
      <c r="A39" t="s">
        <v>73</v>
      </c>
      <c r="B39" t="s">
        <v>37</v>
      </c>
    </row>
    <row r="40" spans="1:8" x14ac:dyDescent="0.3">
      <c r="A40" t="s">
        <v>87</v>
      </c>
      <c r="B40" t="s">
        <v>695</v>
      </c>
    </row>
    <row r="41" spans="1:8" x14ac:dyDescent="0.3">
      <c r="A41" t="s">
        <v>88</v>
      </c>
      <c r="B41" s="12"/>
    </row>
    <row r="42" spans="1:8" x14ac:dyDescent="0.3">
      <c r="A42" t="s">
        <v>89</v>
      </c>
      <c r="B42" s="12">
        <v>2016</v>
      </c>
    </row>
    <row r="43" spans="1:8" x14ac:dyDescent="0.3">
      <c r="A43" t="s">
        <v>131</v>
      </c>
      <c r="B43" s="12" t="str">
        <f>B40&amp;" - "&amp;B42&amp;" - "&amp;B39</f>
        <v>Motorbike, gasoline, 11-35kW, EURO-4 - 2016 - CH</v>
      </c>
    </row>
    <row r="44" spans="1:8" x14ac:dyDescent="0.3">
      <c r="A44" t="s">
        <v>74</v>
      </c>
      <c r="B44" t="str">
        <f>B40</f>
        <v>Motorbike, gasoline, 11-35kW, EURO-4</v>
      </c>
    </row>
    <row r="45" spans="1:8" x14ac:dyDescent="0.3">
      <c r="A45" t="s">
        <v>75</v>
      </c>
      <c r="B45" t="s">
        <v>76</v>
      </c>
    </row>
    <row r="46" spans="1:8" x14ac:dyDescent="0.3">
      <c r="A46" t="s">
        <v>77</v>
      </c>
      <c r="B46" t="s">
        <v>77</v>
      </c>
    </row>
    <row r="47" spans="1:8" x14ac:dyDescent="0.3">
      <c r="A47" t="s">
        <v>79</v>
      </c>
      <c r="B47" t="s">
        <v>90</v>
      </c>
    </row>
    <row r="48" spans="1:8" x14ac:dyDescent="0.3">
      <c r="A48" t="s">
        <v>132</v>
      </c>
      <c r="B48">
        <f>INDEX('vehicles specifications'!$B$3:$CK$86,MATCH(B43,'vehicles specifications'!$A$3:$A$86,0),MATCH("Lifetime [km]",'vehicles specifications'!$B$2:$CK$2,0))</f>
        <v>62100</v>
      </c>
    </row>
    <row r="49" spans="1:2" x14ac:dyDescent="0.3">
      <c r="A49" t="s">
        <v>133</v>
      </c>
      <c r="B49">
        <f>INDEX('vehicles specifications'!$B$3:$CK$86,MATCH(B43,'vehicles specifications'!$A$3:$A$86,0),MATCH("Passengers [unit]",'vehicles specifications'!$B$2:$CK$2,0))</f>
        <v>1.1000000000000001</v>
      </c>
    </row>
    <row r="50" spans="1:2" x14ac:dyDescent="0.3">
      <c r="A50" t="s">
        <v>134</v>
      </c>
      <c r="B50">
        <f>INDEX('vehicles specifications'!$B$3:$CK$86,MATCH(B43,'vehicles specifications'!$A$3:$A$86,0),MATCH("Servicing [unit]",'vehicles specifications'!$B$2:$CK$2,0))</f>
        <v>1.242</v>
      </c>
    </row>
    <row r="51" spans="1:2" x14ac:dyDescent="0.3">
      <c r="A51" t="s">
        <v>135</v>
      </c>
      <c r="B51">
        <f>INDEX('vehicles specifications'!$B$3:$CK$86,MATCH(B43,'vehicles specifications'!$A$3:$A$86,0),MATCH("Energy battery replacement [unit]",'vehicles specifications'!$B$2:$CK$2,0))</f>
        <v>0</v>
      </c>
    </row>
    <row r="52" spans="1:2" x14ac:dyDescent="0.3">
      <c r="A52" t="s">
        <v>136</v>
      </c>
      <c r="B52">
        <f>INDEX('vehicles specifications'!$B$3:$CK$86,MATCH(B43,'vehicles specifications'!$A$3:$A$86,0),MATCH("Annual kilometers [km]",'vehicles specifications'!$B$2:$CK$2,0))</f>
        <v>4592</v>
      </c>
    </row>
    <row r="53" spans="1:2" x14ac:dyDescent="0.3">
      <c r="A53" t="s">
        <v>137</v>
      </c>
      <c r="B53" s="2">
        <f>INDEX('vehicles specifications'!$B$3:$CK$86,MATCH(B43,'vehicles specifications'!$A$3:$A$86,0),MATCH("Curb mass [kg]",'vehicles specifications'!$B$2:$CK$2,0))</f>
        <v>157.5575</v>
      </c>
    </row>
    <row r="54" spans="1:2" x14ac:dyDescent="0.3">
      <c r="A54" t="s">
        <v>138</v>
      </c>
      <c r="B54">
        <f>INDEX('vehicles specifications'!$B$3:$CK$86,MATCH(B43,'vehicles specifications'!$A$3:$A$86,0),MATCH("Power [kW]",'vehicles specifications'!$B$2:$CK$2,0))</f>
        <v>20</v>
      </c>
    </row>
    <row r="55" spans="1:2" x14ac:dyDescent="0.3">
      <c r="A55" t="s">
        <v>139</v>
      </c>
      <c r="B55">
        <f>INDEX('vehicles specifications'!$B$3:$CK$86,MATCH(B43,'vehicles specifications'!$A$3:$A$86,0),MATCH("Energy battery mass [kg]",'vehicles specifications'!$B$2:$CK$2,0))</f>
        <v>0</v>
      </c>
    </row>
    <row r="56" spans="1:2" x14ac:dyDescent="0.3">
      <c r="A56" t="s">
        <v>140</v>
      </c>
      <c r="B56">
        <f>INDEX('vehicles specifications'!$B$3:$CK$86,MATCH(B43,'vehicles specifications'!$A$3:$A$86,0),MATCH("Electric energy available [kWh]",'vehicles specifications'!$B$2:$CK$2,0))</f>
        <v>0</v>
      </c>
    </row>
    <row r="57" spans="1:2" x14ac:dyDescent="0.3">
      <c r="A57" t="s">
        <v>143</v>
      </c>
      <c r="B57" s="2">
        <f>INDEX('vehicles specifications'!$B$3:$CK$86,MATCH(B43,'vehicles specifications'!$A$3:$A$86,0),MATCH("Oxydation energy stored [kWh]",'vehicles specifications'!$B$2:$CK$2,0))</f>
        <v>132.5</v>
      </c>
    </row>
    <row r="58" spans="1:2" x14ac:dyDescent="0.3">
      <c r="A58" t="s">
        <v>145</v>
      </c>
      <c r="B58">
        <f>INDEX('vehicles specifications'!$B$3:$CK$86,MATCH(B43,'vehicles specifications'!$A$3:$A$86,0),MATCH("Fuel mass [kg]",'vehicles specifications'!$B$2:$CK$2,0))</f>
        <v>11.25</v>
      </c>
    </row>
    <row r="59" spans="1:2" x14ac:dyDescent="0.3">
      <c r="A59" t="s">
        <v>141</v>
      </c>
      <c r="B59" s="2">
        <f>INDEX('vehicles specifications'!$B$3:$CK$86,MATCH(B43,'vehicles specifications'!$A$3:$A$86,0),MATCH("Range [km]",'vehicles specifications'!$B$2:$CK$2,0))</f>
        <v>323.71617623105146</v>
      </c>
    </row>
    <row r="60" spans="1:2" x14ac:dyDescent="0.3">
      <c r="A60" t="s">
        <v>142</v>
      </c>
      <c r="B60" t="str">
        <f>INDEX('vehicles specifications'!$B$3:$CK$86,MATCH(B43,'vehicles specifications'!$A$3:$A$86,0),MATCH("Emission standard",'vehicles specifications'!$B$2:$CK$2,0))</f>
        <v>EURO-4</v>
      </c>
    </row>
    <row r="61" spans="1:2" x14ac:dyDescent="0.3">
      <c r="A61" t="s">
        <v>144</v>
      </c>
      <c r="B61" s="6">
        <f>INDEX('vehicles specifications'!$B$3:$CK$86,MATCH(B43,'vehicles specifications'!$A$3:$A$86,0),MATCH("Lightweighting rate [%]",'vehicles specifications'!$B$2:$CK$2,0))</f>
        <v>-0.02</v>
      </c>
    </row>
    <row r="62" spans="1:2" s="21" customFormat="1" x14ac:dyDescent="0.3">
      <c r="A62" s="21" t="s">
        <v>513</v>
      </c>
      <c r="B62" s="6" t="s">
        <v>514</v>
      </c>
    </row>
    <row r="63" spans="1:2" s="21" customFormat="1" x14ac:dyDescent="0.3">
      <c r="A63" s="21" t="s">
        <v>515</v>
      </c>
      <c r="B63" s="2">
        <v>15900</v>
      </c>
    </row>
    <row r="64" spans="1:2" s="21" customFormat="1" x14ac:dyDescent="0.3">
      <c r="A64" s="21" t="s">
        <v>516</v>
      </c>
      <c r="B64" s="2">
        <v>1000</v>
      </c>
    </row>
    <row r="65" spans="1:8" s="21" customFormat="1"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20 kW. Lifetime: 62100 km. Annual kilometers: 4592 km. Number of passengers: 1.1. Curb mass: 157.6 kg. Lightweighting of glider: -2%. Emission standard: EURO-4. Service visits throughout lifetime: 1.2. Range: 324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t="s">
        <v>81</v>
      </c>
      <c r="B67" t="s">
        <v>82</v>
      </c>
      <c r="C67" t="s">
        <v>73</v>
      </c>
      <c r="D67" t="s">
        <v>77</v>
      </c>
      <c r="E67" t="s">
        <v>83</v>
      </c>
      <c r="F67" t="s">
        <v>75</v>
      </c>
      <c r="G67" t="s">
        <v>84</v>
      </c>
      <c r="H67" t="s">
        <v>74</v>
      </c>
    </row>
    <row r="68" spans="1:8" x14ac:dyDescent="0.3">
      <c r="A68" s="12" t="str">
        <f>B38</f>
        <v>Motorbike, gasoline, 11-35kW, EURO-4, 2016</v>
      </c>
      <c r="B68" s="12">
        <v>1</v>
      </c>
      <c r="C68" s="12" t="str">
        <f>B39</f>
        <v>CH</v>
      </c>
      <c r="D68" s="12" t="str">
        <f>B46</f>
        <v>unit</v>
      </c>
      <c r="E68" s="12"/>
      <c r="F68" s="12" t="s">
        <v>85</v>
      </c>
      <c r="G68" s="12" t="s">
        <v>86</v>
      </c>
      <c r="H68" s="12" t="str">
        <f>B40</f>
        <v>Motorbike, gasoline, 11-35kW,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0.9</v>
      </c>
      <c r="C69" s="12" t="str">
        <f>INDEX('ei names mapping'!$B$38:$R$67,MATCH(B40,'ei names mapping'!$A$4:$A$33,0),MATCH(G69,'ei names mapping'!$B$3:$R$3,0))</f>
        <v>RER</v>
      </c>
      <c r="D69" s="12" t="str">
        <f>INDEX('ei names mapping'!$B$104:$R$133,MATCH(B40,'ei names mapping'!$A$104:$A$133,0),MATCH(G69,'ei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0.68888888888888888</v>
      </c>
      <c r="C70" s="12" t="str">
        <f>INDEX('ei names mapping'!$B$38:$R$67,MATCH(B40,'ei names mapping'!$A$4:$A$33,0),MATCH(G70,'ei names mapping'!$B$3:$R$3,0))</f>
        <v>RER</v>
      </c>
      <c r="D70" s="12" t="str">
        <f>INDEX('ei names mapping'!$B$104:$R$133,MATCH(B40,'ei names mapping'!$A$104:$A$133,0),MATCH(G70,'ei names mapping'!$B$3:$R$3,0))</f>
        <v>unit</v>
      </c>
      <c r="E70" s="12"/>
      <c r="F70" s="12" t="s">
        <v>91</v>
      </c>
      <c r="G70"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1.6875</v>
      </c>
      <c r="C71" s="12" t="str">
        <f>INDEX('ei names mapping'!$B$38:$R$67,MATCH(B40,'ei names mapping'!$A$4:$A$33,0),MATCH(G71,'ei names mapping'!$B$3:$R$3,0))</f>
        <v>RER</v>
      </c>
      <c r="D71" s="12" t="str">
        <f>INDEX('ei names mapping'!$B$104:$R$133,MATCH(B40,'ei names mapping'!$A$104:$A$133,0),MATCH(G71,'ei names mapping'!$B$3:$R$3,0))</f>
        <v>kilogram</v>
      </c>
      <c r="E71" s="12"/>
      <c r="F71" s="12" t="s">
        <v>91</v>
      </c>
      <c r="G71" t="s">
        <v>24</v>
      </c>
      <c r="H71" s="12" t="str">
        <f>INDEX('ei names mapping'!$B$71:$R$100,MATCH(B40,'ei names mapping'!$A$4:$A$33,0),MATCH(G71,'ei names mapping'!$B$3:$R$3,0))</f>
        <v>polyethylene, high density, granulate</v>
      </c>
    </row>
    <row r="72" spans="1:8" s="21" customFormat="1" x14ac:dyDescent="0.3">
      <c r="A72" s="22" t="s">
        <v>468</v>
      </c>
      <c r="B72" s="21">
        <f>(B53/1000)*B64</f>
        <v>157.5575</v>
      </c>
      <c r="C72" s="21" t="s">
        <v>94</v>
      </c>
      <c r="D72" s="21" t="s">
        <v>243</v>
      </c>
      <c r="F72" s="21" t="s">
        <v>91</v>
      </c>
      <c r="H72" s="22" t="s">
        <v>469</v>
      </c>
    </row>
    <row r="73" spans="1:8" s="21" customFormat="1" x14ac:dyDescent="0.3">
      <c r="A73" s="22" t="s">
        <v>467</v>
      </c>
      <c r="B73" s="2">
        <f>(B53/1000)*B63</f>
        <v>2505.1642500000003</v>
      </c>
      <c r="C73" s="21" t="s">
        <v>98</v>
      </c>
      <c r="D73" s="21" t="s">
        <v>243</v>
      </c>
      <c r="F73" s="21" t="s">
        <v>91</v>
      </c>
      <c r="H73" s="22" t="s">
        <v>467</v>
      </c>
    </row>
    <row r="75" spans="1:8" ht="15.6" x14ac:dyDescent="0.3">
      <c r="A75" s="11" t="s">
        <v>72</v>
      </c>
      <c r="B75" s="9" t="str">
        <f>B77&amp;", "&amp;B79</f>
        <v>Motorbike, gasoline, 11-35kW, EURO-5, 2020</v>
      </c>
    </row>
    <row r="76" spans="1:8" x14ac:dyDescent="0.3">
      <c r="A76" t="s">
        <v>73</v>
      </c>
      <c r="B76" t="s">
        <v>37</v>
      </c>
    </row>
    <row r="77" spans="1:8" x14ac:dyDescent="0.3">
      <c r="A77" t="s">
        <v>87</v>
      </c>
      <c r="B77" t="s">
        <v>696</v>
      </c>
    </row>
    <row r="78" spans="1:8" x14ac:dyDescent="0.3">
      <c r="A78" t="s">
        <v>88</v>
      </c>
      <c r="B78" s="12"/>
    </row>
    <row r="79" spans="1:8" x14ac:dyDescent="0.3">
      <c r="A79" t="s">
        <v>89</v>
      </c>
      <c r="B79" s="12">
        <v>2020</v>
      </c>
    </row>
    <row r="80" spans="1:8" x14ac:dyDescent="0.3">
      <c r="A80" t="s">
        <v>131</v>
      </c>
      <c r="B80" s="12" t="str">
        <f>B77&amp;" - "&amp;B79&amp;" - "&amp;B76</f>
        <v>Motorbike, gasoline, 11-35kW, EURO-5 - 2020 - CH</v>
      </c>
    </row>
    <row r="81" spans="1:2" x14ac:dyDescent="0.3">
      <c r="A81" t="s">
        <v>74</v>
      </c>
      <c r="B81" t="str">
        <f>B77</f>
        <v>Motorbike, gasoline, 11-35kW, EURO-5</v>
      </c>
    </row>
    <row r="82" spans="1:2" x14ac:dyDescent="0.3">
      <c r="A82" t="s">
        <v>75</v>
      </c>
      <c r="B82" t="s">
        <v>76</v>
      </c>
    </row>
    <row r="83" spans="1:2" x14ac:dyDescent="0.3">
      <c r="A83" t="s">
        <v>77</v>
      </c>
      <c r="B83" t="s">
        <v>77</v>
      </c>
    </row>
    <row r="84" spans="1:2" x14ac:dyDescent="0.3">
      <c r="A84" t="s">
        <v>79</v>
      </c>
      <c r="B84" t="s">
        <v>90</v>
      </c>
    </row>
    <row r="85" spans="1:2" x14ac:dyDescent="0.3">
      <c r="A85" t="s">
        <v>132</v>
      </c>
      <c r="B85">
        <f>INDEX('vehicles specifications'!$B$3:$CK$86,MATCH(B80,'vehicles specifications'!$A$3:$A$86,0),MATCH("Lifetime [km]",'vehicles specifications'!$B$2:$CK$2,0))</f>
        <v>62100</v>
      </c>
    </row>
    <row r="86" spans="1:2" x14ac:dyDescent="0.3">
      <c r="A86" t="s">
        <v>133</v>
      </c>
      <c r="B86">
        <f>INDEX('vehicles specifications'!$B$3:$CK$86,MATCH(B80,'vehicles specifications'!$A$3:$A$86,0),MATCH("Passengers [unit]",'vehicles specifications'!$B$2:$CK$2,0))</f>
        <v>1.1000000000000001</v>
      </c>
    </row>
    <row r="87" spans="1:2" x14ac:dyDescent="0.3">
      <c r="A87" t="s">
        <v>134</v>
      </c>
      <c r="B87">
        <f>INDEX('vehicles specifications'!$B$3:$CK$86,MATCH(B80,'vehicles specifications'!$A$3:$A$86,0),MATCH("Servicing [unit]",'vehicles specifications'!$B$2:$CK$2,0))</f>
        <v>1.242</v>
      </c>
    </row>
    <row r="88" spans="1:2" x14ac:dyDescent="0.3">
      <c r="A88" t="s">
        <v>135</v>
      </c>
      <c r="B88">
        <f>INDEX('vehicles specifications'!$B$3:$CK$86,MATCH(B80,'vehicles specifications'!$A$3:$A$86,0),MATCH("Energy battery replacement [unit]",'vehicles specifications'!$B$2:$CK$2,0))</f>
        <v>0</v>
      </c>
    </row>
    <row r="89" spans="1:2" x14ac:dyDescent="0.3">
      <c r="A89" t="s">
        <v>136</v>
      </c>
      <c r="B89">
        <f>INDEX('vehicles specifications'!$B$3:$CK$86,MATCH(B80,'vehicles specifications'!$A$3:$A$86,0),MATCH("Annual kilometers [km]",'vehicles specifications'!$B$2:$CK$2,0))</f>
        <v>4592</v>
      </c>
    </row>
    <row r="90" spans="1:2" x14ac:dyDescent="0.3">
      <c r="A90" t="s">
        <v>137</v>
      </c>
      <c r="B90" s="2">
        <f>INDEX('vehicles specifications'!$B$3:$CK$86,MATCH(B80,'vehicles specifications'!$A$3:$A$86,0),MATCH("Curb mass [kg]",'vehicles specifications'!$B$2:$CK$2,0))</f>
        <v>155.9375</v>
      </c>
    </row>
    <row r="91" spans="1:2" x14ac:dyDescent="0.3">
      <c r="A91" t="s">
        <v>138</v>
      </c>
      <c r="B91">
        <f>INDEX('vehicles specifications'!$B$3:$CK$86,MATCH(B80,'vehicles specifications'!$A$3:$A$86,0),MATCH("Power [kW]",'vehicles specifications'!$B$2:$CK$2,0))</f>
        <v>20</v>
      </c>
    </row>
    <row r="92" spans="1:2" x14ac:dyDescent="0.3">
      <c r="A92" t="s">
        <v>139</v>
      </c>
      <c r="B92">
        <f>INDEX('vehicles specifications'!$B$3:$CK$86,MATCH(B80,'vehicles specifications'!$A$3:$A$86,0),MATCH("Energy battery mass [kg]",'vehicles specifications'!$B$2:$CK$2,0))</f>
        <v>0</v>
      </c>
    </row>
    <row r="93" spans="1:2" x14ac:dyDescent="0.3">
      <c r="A93" t="s">
        <v>140</v>
      </c>
      <c r="B93">
        <f>INDEX('vehicles specifications'!$B$3:$CK$86,MATCH(B80,'vehicles specifications'!$A$3:$A$86,0),MATCH("Electric energy available [kWh]",'vehicles specifications'!$B$2:$CK$2,0))</f>
        <v>0</v>
      </c>
    </row>
    <row r="94" spans="1:2" x14ac:dyDescent="0.3">
      <c r="A94" t="s">
        <v>143</v>
      </c>
      <c r="B94" s="2">
        <f>INDEX('vehicles specifications'!$B$3:$CK$86,MATCH(B80,'vehicles specifications'!$A$3:$A$86,0),MATCH("Oxydation energy stored [kWh]",'vehicles specifications'!$B$2:$CK$2,0))</f>
        <v>132.5</v>
      </c>
    </row>
    <row r="95" spans="1:2" x14ac:dyDescent="0.3">
      <c r="A95" t="s">
        <v>145</v>
      </c>
      <c r="B95">
        <f>INDEX('vehicles specifications'!$B$3:$CK$86,MATCH(B80,'vehicles specifications'!$A$3:$A$86,0),MATCH("Fuel mass [kg]",'vehicles specifications'!$B$2:$CK$2,0))</f>
        <v>11.25</v>
      </c>
    </row>
    <row r="96" spans="1:2" x14ac:dyDescent="0.3">
      <c r="A96" t="s">
        <v>141</v>
      </c>
      <c r="B96" s="2">
        <f>INDEX('vehicles specifications'!$B$3:$CK$86,MATCH(B80,'vehicles specifications'!$A$3:$A$86,0),MATCH("Range [km]",'vehicles specifications'!$B$2:$CK$2,0))</f>
        <v>326.98603659702172</v>
      </c>
    </row>
    <row r="97" spans="1:8" x14ac:dyDescent="0.3">
      <c r="A97" t="s">
        <v>142</v>
      </c>
      <c r="B97" t="str">
        <f>INDEX('vehicles specifications'!$B$3:$CK$86,MATCH(B80,'vehicles specifications'!$A$3:$A$86,0),MATCH("Emission standard",'vehicles specifications'!$B$2:$CK$2,0))</f>
        <v>EURO-5</v>
      </c>
    </row>
    <row r="98" spans="1:8" x14ac:dyDescent="0.3">
      <c r="A98" t="s">
        <v>144</v>
      </c>
      <c r="B98" s="6">
        <f>INDEX('vehicles specifications'!$B$3:$CK$86,MATCH(B80,'vehicles specifications'!$A$3:$A$86,0),MATCH("Lightweighting rate [%]",'vehicles specifications'!$B$2:$CK$2,0))</f>
        <v>0</v>
      </c>
    </row>
    <row r="99" spans="1:8" s="21" customFormat="1" x14ac:dyDescent="0.3">
      <c r="A99" s="21" t="s">
        <v>513</v>
      </c>
      <c r="B99" s="6" t="s">
        <v>514</v>
      </c>
    </row>
    <row r="100" spans="1:8" s="21" customFormat="1" x14ac:dyDescent="0.3">
      <c r="A100" s="21" t="s">
        <v>515</v>
      </c>
      <c r="B100" s="2">
        <v>15900</v>
      </c>
    </row>
    <row r="101" spans="1:8" s="21" customFormat="1" x14ac:dyDescent="0.3">
      <c r="A101" s="21" t="s">
        <v>516</v>
      </c>
      <c r="B101" s="2">
        <v>1000</v>
      </c>
    </row>
    <row r="102" spans="1:8" s="21" customFormat="1"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20 kW. Lifetime: 62100 km. Annual kilometers: 4592 km. Number of passengers: 1.1. Curb mass: 155.9 kg. Lightweighting of glider: 0%. Emission standard: EURO-5. Service visits throughout lifetime: 1.2. Range: 327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t="s">
        <v>81</v>
      </c>
      <c r="B104" t="s">
        <v>82</v>
      </c>
      <c r="C104" t="s">
        <v>73</v>
      </c>
      <c r="D104" t="s">
        <v>77</v>
      </c>
      <c r="E104" t="s">
        <v>83</v>
      </c>
      <c r="F104" t="s">
        <v>75</v>
      </c>
      <c r="G104" t="s">
        <v>84</v>
      </c>
      <c r="H104" t="s">
        <v>74</v>
      </c>
    </row>
    <row r="105" spans="1:8" x14ac:dyDescent="0.3">
      <c r="A105" s="12" t="str">
        <f>B75</f>
        <v>Motorbike, gasoline, 11-35kW, EURO-5, 2020</v>
      </c>
      <c r="B105" s="12">
        <v>1</v>
      </c>
      <c r="C105" s="12" t="str">
        <f>B76</f>
        <v>CH</v>
      </c>
      <c r="D105" s="12" t="str">
        <f>B83</f>
        <v>unit</v>
      </c>
      <c r="E105" s="12"/>
      <c r="F105" s="12" t="s">
        <v>85</v>
      </c>
      <c r="G105" s="12" t="s">
        <v>86</v>
      </c>
      <c r="H105" s="12" t="str">
        <f>B77</f>
        <v>Motorbike, gasoline, 11-35kW,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0.9</v>
      </c>
      <c r="C106" s="12" t="str">
        <f>INDEX('ei names mapping'!$B$38:$R$67,MATCH(B77,'ei names mapping'!$A$4:$A$33,0),MATCH(G106,'ei names mapping'!$B$3:$R$3,0))</f>
        <v>RER</v>
      </c>
      <c r="D106" s="12" t="str">
        <f>INDEX('ei names mapping'!$B$104:$R$133,MATCH(B77,'ei names mapping'!$A$104:$A$133,0),MATCH(G106,'ei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0.68888888888888888</v>
      </c>
      <c r="C107" s="12" t="str">
        <f>INDEX('ei names mapping'!$B$38:$R$67,MATCH(B77,'ei names mapping'!$A$4:$A$33,0),MATCH(G107,'ei names mapping'!$B$3:$R$3,0))</f>
        <v>RER</v>
      </c>
      <c r="D107" s="12" t="str">
        <f>INDEX('ei names mapping'!$B$104:$R$133,MATCH(B77,'ei names mapping'!$A$104:$A$133,0),MATCH(G107,'ei names mapping'!$B$3:$R$3,0))</f>
        <v>unit</v>
      </c>
      <c r="E107" s="12"/>
      <c r="F107" s="12" t="s">
        <v>91</v>
      </c>
      <c r="G107" t="s">
        <v>16</v>
      </c>
      <c r="H107" s="12" t="str">
        <f>INDEX('ei names mapping'!$B$71:$R$100,MATCH(B77,'ei names mapping'!$A$4:$A$33,0),MATCH(G107,'ei names mapping'!$B$3:$R$3,0))</f>
        <v>motor scooter, 50 cubic cm engine</v>
      </c>
    </row>
    <row r="108" spans="1:8" s="21" customFormat="1"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mapping'!$A$104:$A$133,0),MATCH(G108,'ei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1.6875</v>
      </c>
      <c r="C109" s="12" t="str">
        <f>INDEX('ei names mapping'!$B$38:$R$67,MATCH(B77,'ei names mapping'!$A$4:$A$33,0),MATCH(G109,'ei names mapping'!$B$3:$R$3,0))</f>
        <v>RER</v>
      </c>
      <c r="D109" s="12" t="str">
        <f>INDEX('ei names mapping'!$B$104:$R$133,MATCH(B77,'ei names mapping'!$A$104:$A$133,0),MATCH(G109,'ei names mapping'!$B$3:$R$3,0))</f>
        <v>kilogram</v>
      </c>
      <c r="E109" s="12"/>
      <c r="F109" s="12" t="s">
        <v>91</v>
      </c>
      <c r="G109" t="s">
        <v>24</v>
      </c>
      <c r="H109" s="12" t="str">
        <f>INDEX('ei names mapping'!$B$71:$R$100,MATCH(B77,'ei names mapping'!$A$4:$A$33,0),MATCH(G109,'ei names mapping'!$B$3:$R$3,0))</f>
        <v>polyethylene, high density, granulate</v>
      </c>
    </row>
    <row r="110" spans="1:8" s="21" customFormat="1" x14ac:dyDescent="0.3">
      <c r="A110" s="22" t="s">
        <v>468</v>
      </c>
      <c r="B110" s="21">
        <f>(B90/1000)*B101</f>
        <v>155.9375</v>
      </c>
      <c r="C110" s="21" t="s">
        <v>94</v>
      </c>
      <c r="D110" s="21" t="s">
        <v>243</v>
      </c>
      <c r="F110" s="21" t="s">
        <v>91</v>
      </c>
      <c r="H110" s="22" t="s">
        <v>469</v>
      </c>
    </row>
    <row r="111" spans="1:8" s="21" customFormat="1" x14ac:dyDescent="0.3">
      <c r="A111" s="22" t="s">
        <v>467</v>
      </c>
      <c r="B111" s="2">
        <f>(B90/1000)*B100</f>
        <v>2479.40625</v>
      </c>
      <c r="C111" s="21" t="s">
        <v>98</v>
      </c>
      <c r="D111" s="21" t="s">
        <v>243</v>
      </c>
      <c r="F111" s="21" t="s">
        <v>91</v>
      </c>
      <c r="H111" s="22" t="s">
        <v>467</v>
      </c>
    </row>
    <row r="113" spans="1:2" ht="15.6" x14ac:dyDescent="0.3">
      <c r="A113" s="11" t="s">
        <v>72</v>
      </c>
      <c r="B113" s="9" t="str">
        <f>B115&amp;", "&amp;B117</f>
        <v>Motorbike, gasoline, 11-35kW, EURO-5, 2030</v>
      </c>
    </row>
    <row r="114" spans="1:2" x14ac:dyDescent="0.3">
      <c r="A114" t="s">
        <v>73</v>
      </c>
      <c r="B114" t="s">
        <v>37</v>
      </c>
    </row>
    <row r="115" spans="1:2" x14ac:dyDescent="0.3">
      <c r="A115" t="s">
        <v>87</v>
      </c>
      <c r="B115" t="s">
        <v>696</v>
      </c>
    </row>
    <row r="116" spans="1:2" x14ac:dyDescent="0.3">
      <c r="A116" t="s">
        <v>88</v>
      </c>
      <c r="B116" s="12"/>
    </row>
    <row r="117" spans="1:2" x14ac:dyDescent="0.3">
      <c r="A117" t="s">
        <v>89</v>
      </c>
      <c r="B117" s="12">
        <v>2030</v>
      </c>
    </row>
    <row r="118" spans="1:2" x14ac:dyDescent="0.3">
      <c r="A118" t="s">
        <v>131</v>
      </c>
      <c r="B118" s="12" t="str">
        <f>B115&amp;" - "&amp;B117&amp;" - "&amp;B114</f>
        <v>Motorbike, gasoline, 11-35kW, EURO-5 - 2030 - CH</v>
      </c>
    </row>
    <row r="119" spans="1:2" x14ac:dyDescent="0.3">
      <c r="A119" t="s">
        <v>74</v>
      </c>
      <c r="B119" t="str">
        <f>B115</f>
        <v>Motorbike, gasoline, 11-35kW, EURO-5</v>
      </c>
    </row>
    <row r="120" spans="1:2" x14ac:dyDescent="0.3">
      <c r="A120" t="s">
        <v>75</v>
      </c>
      <c r="B120" t="s">
        <v>76</v>
      </c>
    </row>
    <row r="121" spans="1:2" x14ac:dyDescent="0.3">
      <c r="A121" t="s">
        <v>77</v>
      </c>
      <c r="B121" t="s">
        <v>77</v>
      </c>
    </row>
    <row r="122" spans="1:2" x14ac:dyDescent="0.3">
      <c r="A122" t="s">
        <v>79</v>
      </c>
      <c r="B122" t="s">
        <v>90</v>
      </c>
    </row>
    <row r="123" spans="1:2" x14ac:dyDescent="0.3">
      <c r="A123" t="s">
        <v>132</v>
      </c>
      <c r="B123">
        <f>INDEX('vehicles specifications'!$B$3:$CK$86,MATCH(B118,'vehicles specifications'!$A$3:$A$86,0),MATCH("Lifetime [km]",'vehicles specifications'!$B$2:$CK$2,0))</f>
        <v>62100</v>
      </c>
    </row>
    <row r="124" spans="1:2" x14ac:dyDescent="0.3">
      <c r="A124" t="s">
        <v>133</v>
      </c>
      <c r="B124">
        <f>INDEX('vehicles specifications'!$B$3:$CK$86,MATCH(B118,'vehicles specifications'!$A$3:$A$86,0),MATCH("Passengers [unit]",'vehicles specifications'!$B$2:$CK$2,0))</f>
        <v>1.1000000000000001</v>
      </c>
    </row>
    <row r="125" spans="1:2" x14ac:dyDescent="0.3">
      <c r="A125" t="s">
        <v>134</v>
      </c>
      <c r="B125">
        <f>INDEX('vehicles specifications'!$B$3:$CK$86,MATCH(B118,'vehicles specifications'!$A$3:$A$86,0),MATCH("Servicing [unit]",'vehicles specifications'!$B$2:$CK$2,0))</f>
        <v>1.242</v>
      </c>
    </row>
    <row r="126" spans="1:2" x14ac:dyDescent="0.3">
      <c r="A126" t="s">
        <v>135</v>
      </c>
      <c r="B126">
        <f>INDEX('vehicles specifications'!$B$3:$CK$86,MATCH(B118,'vehicles specifications'!$A$3:$A$86,0),MATCH("Energy battery replacement [unit]",'vehicles specifications'!$B$2:$CK$2,0))</f>
        <v>0</v>
      </c>
    </row>
    <row r="127" spans="1:2" x14ac:dyDescent="0.3">
      <c r="A127" t="s">
        <v>136</v>
      </c>
      <c r="B127">
        <f>INDEX('vehicles specifications'!$B$3:$CK$86,MATCH(B118,'vehicles specifications'!$A$3:$A$86,0),MATCH("Annual kilometers [km]",'vehicles specifications'!$B$2:$CK$2,0))</f>
        <v>4592</v>
      </c>
    </row>
    <row r="128" spans="1:2" x14ac:dyDescent="0.3">
      <c r="A128" t="s">
        <v>137</v>
      </c>
      <c r="B128" s="2">
        <f>INDEX('vehicles specifications'!$B$3:$CK$86,MATCH(B118,'vehicles specifications'!$A$3:$A$86,0),MATCH("Curb mass [kg]",'vehicles specifications'!$B$2:$CK$2,0))</f>
        <v>153.50749999999999</v>
      </c>
    </row>
    <row r="129" spans="1:8" x14ac:dyDescent="0.3">
      <c r="A129" t="s">
        <v>138</v>
      </c>
      <c r="B129">
        <f>INDEX('vehicles specifications'!$B$3:$CK$86,MATCH(B118,'vehicles specifications'!$A$3:$A$86,0),MATCH("Power [kW]",'vehicles specifications'!$B$2:$CK$2,0))</f>
        <v>20</v>
      </c>
    </row>
    <row r="130" spans="1:8" x14ac:dyDescent="0.3">
      <c r="A130" t="s">
        <v>139</v>
      </c>
      <c r="B130">
        <f>INDEX('vehicles specifications'!$B$3:$CK$86,MATCH(B118,'vehicles specifications'!$A$3:$A$86,0),MATCH("Energy battery mass [kg]",'vehicles specifications'!$B$2:$CK$2,0))</f>
        <v>0</v>
      </c>
    </row>
    <row r="131" spans="1:8" x14ac:dyDescent="0.3">
      <c r="A131" t="s">
        <v>140</v>
      </c>
      <c r="B131">
        <f>INDEX('vehicles specifications'!$B$3:$CK$86,MATCH(B118,'vehicles specifications'!$A$3:$A$86,0),MATCH("Electric energy available [kWh]",'vehicles specifications'!$B$2:$CK$2,0))</f>
        <v>0</v>
      </c>
    </row>
    <row r="132" spans="1:8" x14ac:dyDescent="0.3">
      <c r="A132" t="s">
        <v>143</v>
      </c>
      <c r="B132" s="2">
        <f>INDEX('vehicles specifications'!$B$3:$CK$86,MATCH(B118,'vehicles specifications'!$A$3:$A$86,0),MATCH("Oxydation energy stored [kWh]",'vehicles specifications'!$B$2:$CK$2,0))</f>
        <v>132.5</v>
      </c>
    </row>
    <row r="133" spans="1:8" x14ac:dyDescent="0.3">
      <c r="A133" t="s">
        <v>145</v>
      </c>
      <c r="B133">
        <f>INDEX('vehicles specifications'!$B$3:$CK$86,MATCH(B118,'vehicles specifications'!$A$3:$A$86,0),MATCH("Fuel mass [kg]",'vehicles specifications'!$B$2:$CK$2,0))</f>
        <v>11.25</v>
      </c>
    </row>
    <row r="134" spans="1:8" x14ac:dyDescent="0.3">
      <c r="A134" t="s">
        <v>141</v>
      </c>
      <c r="B134" s="2">
        <f>INDEX('vehicles specifications'!$B$3:$CK$86,MATCH(B118,'vehicles specifications'!$A$3:$A$86,0),MATCH("Range [km]",'vehicles specifications'!$B$2:$CK$2,0))</f>
        <v>330.28892585557753</v>
      </c>
    </row>
    <row r="135" spans="1:8" x14ac:dyDescent="0.3">
      <c r="A135" t="s">
        <v>142</v>
      </c>
      <c r="B135" t="str">
        <f>INDEX('vehicles specifications'!$B$3:$CK$86,MATCH(B118,'vehicles specifications'!$A$3:$A$86,0),MATCH("Emission standard",'vehicles specifications'!$B$2:$CK$2,0))</f>
        <v>EURO-5</v>
      </c>
    </row>
    <row r="136" spans="1:8" x14ac:dyDescent="0.3">
      <c r="A136" t="s">
        <v>144</v>
      </c>
      <c r="B136" s="6">
        <f>INDEX('vehicles specifications'!$B$3:$CK$86,MATCH(B118,'vehicles specifications'!$A$3:$A$86,0),MATCH("Lightweighting rate [%]",'vehicles specifications'!$B$2:$CK$2,0))</f>
        <v>0.03</v>
      </c>
    </row>
    <row r="137" spans="1:8" s="21" customFormat="1" x14ac:dyDescent="0.3">
      <c r="A137" s="21" t="s">
        <v>513</v>
      </c>
      <c r="B137" s="6" t="s">
        <v>514</v>
      </c>
    </row>
    <row r="138" spans="1:8" s="21" customFormat="1" x14ac:dyDescent="0.3">
      <c r="A138" s="21" t="s">
        <v>515</v>
      </c>
      <c r="B138" s="2">
        <v>15900</v>
      </c>
    </row>
    <row r="139" spans="1:8" s="21" customFormat="1" x14ac:dyDescent="0.3">
      <c r="A139" s="21" t="s">
        <v>516</v>
      </c>
      <c r="B139" s="2">
        <v>1000</v>
      </c>
    </row>
    <row r="140" spans="1:8" s="21" customFormat="1"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20 kW. Lifetime: 62100 km. Annual kilometers: 4592 km. Number of passengers: 1.1. Curb mass: 153.5 kg. Lightweighting of glider: 3%. Emission standard: EURO-5. Service visits throughout lifetime: 1.2. Range: 330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t="s">
        <v>81</v>
      </c>
      <c r="B142" t="s">
        <v>82</v>
      </c>
      <c r="C142" t="s">
        <v>73</v>
      </c>
      <c r="D142" t="s">
        <v>77</v>
      </c>
      <c r="E142" t="s">
        <v>83</v>
      </c>
      <c r="F142" t="s">
        <v>75</v>
      </c>
      <c r="G142" t="s">
        <v>84</v>
      </c>
      <c r="H142" t="s">
        <v>74</v>
      </c>
    </row>
    <row r="143" spans="1:8" x14ac:dyDescent="0.3">
      <c r="A143" s="12" t="str">
        <f>B113</f>
        <v>Motorbike, gasoline, 11-35kW, EURO-5, 2030</v>
      </c>
      <c r="B143" s="12">
        <v>1</v>
      </c>
      <c r="C143" s="12" t="str">
        <f>B114</f>
        <v>CH</v>
      </c>
      <c r="D143" s="12" t="str">
        <f>B121</f>
        <v>unit</v>
      </c>
      <c r="E143" s="12"/>
      <c r="F143" s="12" t="s">
        <v>85</v>
      </c>
      <c r="G143" s="12" t="s">
        <v>86</v>
      </c>
      <c r="H143" s="12" t="str">
        <f>B115</f>
        <v>Motorbike, gasoline, 11-35kW,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0.9</v>
      </c>
      <c r="C144" s="12" t="str">
        <f>INDEX('ei names mapping'!$B$38:$R$67,MATCH(B115,'ei names mapping'!$A$4:$A$33,0),MATCH(G144,'ei names mapping'!$B$3:$R$3,0))</f>
        <v>RER</v>
      </c>
      <c r="D144" s="12" t="str">
        <f>INDEX('ei names mapping'!$B$104:$R$133,MATCH(B115,'ei names mapping'!$A$104:$A$133,0),MATCH(G144,'ei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0.68888888888888888</v>
      </c>
      <c r="C145" s="12" t="str">
        <f>INDEX('ei names mapping'!$B$38:$R$67,MATCH(B115,'ei names mapping'!$A$4:$A$33,0),MATCH(G145,'ei names mapping'!$B$3:$R$3,0))</f>
        <v>RER</v>
      </c>
      <c r="D145" s="12" t="str">
        <f>INDEX('ei names mapping'!$B$104:$R$133,MATCH(B115,'ei names mapping'!$A$104:$A$133,0),MATCH(G145,'ei names mapping'!$B$3:$R$3,0))</f>
        <v>unit</v>
      </c>
      <c r="E145" s="12"/>
      <c r="F145" s="12" t="s">
        <v>91</v>
      </c>
      <c r="G145" t="s">
        <v>16</v>
      </c>
      <c r="H145" s="12" t="str">
        <f>INDEX('ei names mapping'!$B$71:$R$100,MATCH(B115,'ei names mapping'!$A$4:$A$33,0),MATCH(G145,'ei names mapping'!$B$3:$R$3,0))</f>
        <v>motor scooter, 50 cubic cm engine</v>
      </c>
    </row>
    <row r="146" spans="1:8" s="21" customFormat="1"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2.4299999999999997</v>
      </c>
      <c r="C146" s="12" t="str">
        <f>INDEX('ei names mapping'!$B$38:$R$67,MATCH(B115,'ei names mapping'!$A$4:$A$33,0),MATCH(G146,'ei names mapping'!$B$3:$R$3,0))</f>
        <v>GLO</v>
      </c>
      <c r="D146" s="12" t="str">
        <f>INDEX('ei names mapping'!$B$104:$R$133,MATCH(B115,'ei names mapping'!$A$104:$A$133,0),MATCH(G146,'ei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1.6875</v>
      </c>
      <c r="C147" s="12" t="str">
        <f>INDEX('ei names mapping'!$B$38:$R$67,MATCH(B115,'ei names mapping'!$A$4:$A$33,0),MATCH(G147,'ei names mapping'!$B$3:$R$3,0))</f>
        <v>RER</v>
      </c>
      <c r="D147" s="12" t="str">
        <f>INDEX('ei names mapping'!$B$104:$R$133,MATCH(B115,'ei names mapping'!$A$104:$A$133,0),MATCH(G147,'ei names mapping'!$B$3:$R$3,0))</f>
        <v>kilogram</v>
      </c>
      <c r="E147" s="12"/>
      <c r="F147" s="12" t="s">
        <v>91</v>
      </c>
      <c r="G147" t="s">
        <v>24</v>
      </c>
      <c r="H147" s="12" t="str">
        <f>INDEX('ei names mapping'!$B$71:$R$100,MATCH(B115,'ei names mapping'!$A$4:$A$33,0),MATCH(G147,'ei names mapping'!$B$3:$R$3,0))</f>
        <v>polyethylene, high density, granulate</v>
      </c>
    </row>
    <row r="148" spans="1:8" s="21" customFormat="1" x14ac:dyDescent="0.3">
      <c r="A148" s="22" t="s">
        <v>468</v>
      </c>
      <c r="B148" s="21">
        <f>(B128/1000)*B139</f>
        <v>153.50749999999999</v>
      </c>
      <c r="C148" s="21" t="s">
        <v>94</v>
      </c>
      <c r="D148" s="21" t="s">
        <v>243</v>
      </c>
      <c r="F148" s="21" t="s">
        <v>91</v>
      </c>
      <c r="H148" s="22" t="s">
        <v>469</v>
      </c>
    </row>
    <row r="149" spans="1:8" s="21" customFormat="1" x14ac:dyDescent="0.3">
      <c r="A149" s="22" t="s">
        <v>467</v>
      </c>
      <c r="B149" s="2">
        <f>(B128/1000)*B138</f>
        <v>2440.7692499999998</v>
      </c>
      <c r="C149" s="21" t="s">
        <v>98</v>
      </c>
      <c r="D149" s="21" t="s">
        <v>243</v>
      </c>
      <c r="F149" s="21" t="s">
        <v>91</v>
      </c>
      <c r="H149" s="22" t="s">
        <v>467</v>
      </c>
    </row>
    <row r="151" spans="1:8" ht="15.6" x14ac:dyDescent="0.3">
      <c r="A151" s="11" t="s">
        <v>72</v>
      </c>
      <c r="B151" s="9" t="str">
        <f>B153&amp;", "&amp;B155</f>
        <v>Motorbike, gasoline, 11-35kW, EURO-5, 2040</v>
      </c>
    </row>
    <row r="152" spans="1:8" x14ac:dyDescent="0.3">
      <c r="A152" t="s">
        <v>73</v>
      </c>
      <c r="B152" t="s">
        <v>37</v>
      </c>
    </row>
    <row r="153" spans="1:8" x14ac:dyDescent="0.3">
      <c r="A153" t="s">
        <v>87</v>
      </c>
      <c r="B153" t="s">
        <v>696</v>
      </c>
    </row>
    <row r="154" spans="1:8" x14ac:dyDescent="0.3">
      <c r="A154" t="s">
        <v>88</v>
      </c>
      <c r="B154" s="12"/>
    </row>
    <row r="155" spans="1:8" x14ac:dyDescent="0.3">
      <c r="A155" t="s">
        <v>89</v>
      </c>
      <c r="B155" s="12">
        <v>2040</v>
      </c>
    </row>
    <row r="156" spans="1:8" x14ac:dyDescent="0.3">
      <c r="A156" t="s">
        <v>131</v>
      </c>
      <c r="B156" s="12" t="str">
        <f>B153&amp;" - "&amp;B155&amp;" - "&amp;B152</f>
        <v>Motorbike, gasoline, 11-35kW, EURO-5 - 2040 - CH</v>
      </c>
    </row>
    <row r="157" spans="1:8" x14ac:dyDescent="0.3">
      <c r="A157" t="s">
        <v>74</v>
      </c>
      <c r="B157" t="str">
        <f>B153</f>
        <v>Motorbike, gasoline, 11-35kW, EURO-5</v>
      </c>
    </row>
    <row r="158" spans="1:8" x14ac:dyDescent="0.3">
      <c r="A158" t="s">
        <v>75</v>
      </c>
      <c r="B158" t="s">
        <v>76</v>
      </c>
    </row>
    <row r="159" spans="1:8" x14ac:dyDescent="0.3">
      <c r="A159" t="s">
        <v>77</v>
      </c>
      <c r="B159" t="s">
        <v>77</v>
      </c>
    </row>
    <row r="160" spans="1:8" x14ac:dyDescent="0.3">
      <c r="A160" t="s">
        <v>79</v>
      </c>
      <c r="B160" t="s">
        <v>90</v>
      </c>
    </row>
    <row r="161" spans="1:2" x14ac:dyDescent="0.3">
      <c r="A161" t="s">
        <v>132</v>
      </c>
      <c r="B161">
        <f>INDEX('vehicles specifications'!$B$3:$CK$86,MATCH(B156,'vehicles specifications'!$A$3:$A$86,0),MATCH("Lifetime [km]",'vehicles specifications'!$B$2:$CK$2,0))</f>
        <v>62100</v>
      </c>
    </row>
    <row r="162" spans="1:2" x14ac:dyDescent="0.3">
      <c r="A162" t="s">
        <v>133</v>
      </c>
      <c r="B162">
        <f>INDEX('vehicles specifications'!$B$3:$CK$86,MATCH(B156,'vehicles specifications'!$A$3:$A$86,0),MATCH("Passengers [unit]",'vehicles specifications'!$B$2:$CK$2,0))</f>
        <v>1.1000000000000001</v>
      </c>
    </row>
    <row r="163" spans="1:2" x14ac:dyDescent="0.3">
      <c r="A163" t="s">
        <v>134</v>
      </c>
      <c r="B163">
        <f>INDEX('vehicles specifications'!$B$3:$CK$86,MATCH(B156,'vehicles specifications'!$A$3:$A$86,0),MATCH("Servicing [unit]",'vehicles specifications'!$B$2:$CK$2,0))</f>
        <v>1.242</v>
      </c>
    </row>
    <row r="164" spans="1:2" x14ac:dyDescent="0.3">
      <c r="A164" t="s">
        <v>135</v>
      </c>
      <c r="B164">
        <f>INDEX('vehicles specifications'!$B$3:$CK$86,MATCH(B156,'vehicles specifications'!$A$3:$A$86,0),MATCH("Energy battery replacement [unit]",'vehicles specifications'!$B$2:$CK$2,0))</f>
        <v>0</v>
      </c>
    </row>
    <row r="165" spans="1:2" x14ac:dyDescent="0.3">
      <c r="A165" t="s">
        <v>136</v>
      </c>
      <c r="B165">
        <f>INDEX('vehicles specifications'!$B$3:$CK$86,MATCH(B156,'vehicles specifications'!$A$3:$A$86,0),MATCH("Annual kilometers [km]",'vehicles specifications'!$B$2:$CK$2,0))</f>
        <v>4592</v>
      </c>
    </row>
    <row r="166" spans="1:2" x14ac:dyDescent="0.3">
      <c r="A166" t="s">
        <v>137</v>
      </c>
      <c r="B166" s="2">
        <f>INDEX('vehicles specifications'!$B$3:$CK$86,MATCH(B156,'vehicles specifications'!$A$3:$A$86,0),MATCH("Curb mass [kg]",'vehicles specifications'!$B$2:$CK$2,0))</f>
        <v>151.88749999999999</v>
      </c>
    </row>
    <row r="167" spans="1:2" x14ac:dyDescent="0.3">
      <c r="A167" t="s">
        <v>138</v>
      </c>
      <c r="B167">
        <f>INDEX('vehicles specifications'!$B$3:$CK$86,MATCH(B156,'vehicles specifications'!$A$3:$A$86,0),MATCH("Power [kW]",'vehicles specifications'!$B$2:$CK$2,0))</f>
        <v>20</v>
      </c>
    </row>
    <row r="168" spans="1:2" x14ac:dyDescent="0.3">
      <c r="A168" t="s">
        <v>139</v>
      </c>
      <c r="B168">
        <f>INDEX('vehicles specifications'!$B$3:$CK$86,MATCH(B156,'vehicles specifications'!$A$3:$A$86,0),MATCH("Energy battery mass [kg]",'vehicles specifications'!$B$2:$CK$2,0))</f>
        <v>0</v>
      </c>
    </row>
    <row r="169" spans="1:2" x14ac:dyDescent="0.3">
      <c r="A169" t="s">
        <v>140</v>
      </c>
      <c r="B169">
        <f>INDEX('vehicles specifications'!$B$3:$CK$86,MATCH(B156,'vehicles specifications'!$A$3:$A$86,0),MATCH("Electric energy available [kWh]",'vehicles specifications'!$B$2:$CK$2,0))</f>
        <v>0</v>
      </c>
    </row>
    <row r="170" spans="1:2" x14ac:dyDescent="0.3">
      <c r="A170" t="s">
        <v>143</v>
      </c>
      <c r="B170" s="2">
        <f>INDEX('vehicles specifications'!$B$3:$CK$86,MATCH(B156,'vehicles specifications'!$A$3:$A$86,0),MATCH("Oxydation energy stored [kWh]",'vehicles specifications'!$B$2:$CK$2,0))</f>
        <v>132.5</v>
      </c>
    </row>
    <row r="171" spans="1:2" x14ac:dyDescent="0.3">
      <c r="A171" t="s">
        <v>145</v>
      </c>
      <c r="B171">
        <f>INDEX('vehicles specifications'!$B$3:$CK$86,MATCH(B156,'vehicles specifications'!$A$3:$A$86,0),MATCH("Fuel mass [kg]",'vehicles specifications'!$B$2:$CK$2,0))</f>
        <v>11.25</v>
      </c>
    </row>
    <row r="172" spans="1:2" x14ac:dyDescent="0.3">
      <c r="A172" t="s">
        <v>141</v>
      </c>
      <c r="B172" s="2">
        <f>INDEX('vehicles specifications'!$B$3:$CK$86,MATCH(B156,'vehicles specifications'!$A$3:$A$86,0),MATCH("Range [km]",'vehicles specifications'!$B$2:$CK$2,0))</f>
        <v>333.62517763189646</v>
      </c>
    </row>
    <row r="173" spans="1:2" x14ac:dyDescent="0.3">
      <c r="A173" t="s">
        <v>142</v>
      </c>
      <c r="B173" t="str">
        <f>INDEX('vehicles specifications'!$B$3:$CK$86,MATCH(B156,'vehicles specifications'!$A$3:$A$86,0),MATCH("Emission standard",'vehicles specifications'!$B$2:$CK$2,0))</f>
        <v>EURO-5</v>
      </c>
    </row>
    <row r="174" spans="1:2" x14ac:dyDescent="0.3">
      <c r="A174" t="s">
        <v>144</v>
      </c>
      <c r="B174" s="6">
        <f>INDEX('vehicles specifications'!$B$3:$CK$86,MATCH(B156,'vehicles specifications'!$A$3:$A$86,0),MATCH("Lightweighting rate [%]",'vehicles specifications'!$B$2:$CK$2,0))</f>
        <v>0.05</v>
      </c>
    </row>
    <row r="175" spans="1:2" s="21" customFormat="1" x14ac:dyDescent="0.3">
      <c r="A175" s="21" t="s">
        <v>513</v>
      </c>
      <c r="B175" s="6" t="s">
        <v>514</v>
      </c>
    </row>
    <row r="176" spans="1:2" s="21" customFormat="1" x14ac:dyDescent="0.3">
      <c r="A176" s="21" t="s">
        <v>515</v>
      </c>
      <c r="B176" s="2">
        <v>15900</v>
      </c>
    </row>
    <row r="177" spans="1:8" s="21" customFormat="1" x14ac:dyDescent="0.3">
      <c r="A177" s="21" t="s">
        <v>516</v>
      </c>
      <c r="B177" s="2">
        <v>1000</v>
      </c>
    </row>
    <row r="178" spans="1:8" s="21" customFormat="1"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20 kW. Lifetime: 62100 km. Annual kilometers: 4592 km. Number of passengers: 1.1. Curb mass: 151.9 kg. Lightweighting of glider: 5%. Emission standard: EURO-5. Service visits throughout lifetime: 1.2. Range: 334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t="s">
        <v>81</v>
      </c>
      <c r="B180" t="s">
        <v>82</v>
      </c>
      <c r="C180" t="s">
        <v>73</v>
      </c>
      <c r="D180" t="s">
        <v>77</v>
      </c>
      <c r="E180" t="s">
        <v>83</v>
      </c>
      <c r="F180" t="s">
        <v>75</v>
      </c>
      <c r="G180" t="s">
        <v>84</v>
      </c>
      <c r="H180" t="s">
        <v>74</v>
      </c>
    </row>
    <row r="181" spans="1:8" x14ac:dyDescent="0.3">
      <c r="A181" s="12" t="str">
        <f>B151</f>
        <v>Motorbike, gasoline, 11-35kW, EURO-5, 2040</v>
      </c>
      <c r="B181" s="12">
        <v>1</v>
      </c>
      <c r="C181" s="12" t="str">
        <f>B152</f>
        <v>CH</v>
      </c>
      <c r="D181" s="12" t="str">
        <f>B159</f>
        <v>unit</v>
      </c>
      <c r="E181" s="12"/>
      <c r="F181" s="12" t="s">
        <v>85</v>
      </c>
      <c r="G181" s="12" t="s">
        <v>86</v>
      </c>
      <c r="H181" s="12" t="str">
        <f>B153</f>
        <v>Motorbike, gasoline, 11-35kW,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0.9</v>
      </c>
      <c r="C182" s="12" t="str">
        <f>INDEX('ei names mapping'!$B$38:$R$67,MATCH(B153,'ei names mapping'!$A$4:$A$33,0),MATCH(G182,'ei names mapping'!$B$3:$R$3,0))</f>
        <v>RER</v>
      </c>
      <c r="D182" s="12" t="str">
        <f>INDEX('ei names mapping'!$B$104:$R$133,MATCH(B153,'ei names mapping'!$A$104:$A$133,0),MATCH(G182,'ei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0.68888888888888888</v>
      </c>
      <c r="C183" s="12" t="str">
        <f>INDEX('ei names mapping'!$B$38:$R$67,MATCH(B153,'ei names mapping'!$A$4:$A$33,0),MATCH(G183,'ei names mapping'!$B$3:$R$3,0))</f>
        <v>RER</v>
      </c>
      <c r="D183" s="12" t="str">
        <f>INDEX('ei names mapping'!$B$104:$R$133,MATCH(B153,'ei names mapping'!$A$104:$A$133,0),MATCH(G183,'ei names mapping'!$B$3:$R$3,0))</f>
        <v>unit</v>
      </c>
      <c r="E183" s="12"/>
      <c r="F183" s="12" t="s">
        <v>91</v>
      </c>
      <c r="G183" t="s">
        <v>16</v>
      </c>
      <c r="H183" s="12" t="str">
        <f>INDEX('ei names mapping'!$B$71:$R$100,MATCH(B153,'ei names mapping'!$A$4:$A$33,0),MATCH(G183,'ei names mapping'!$B$3:$R$3,0))</f>
        <v>motor scooter, 50 cubic cm engine</v>
      </c>
    </row>
    <row r="184" spans="1:8" s="21" customFormat="1"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4.05</v>
      </c>
      <c r="C184" s="12" t="str">
        <f>INDEX('ei names mapping'!$B$38:$R$67,MATCH(B153,'ei names mapping'!$A$4:$A$33,0),MATCH(G184,'ei names mapping'!$B$3:$R$3,0))</f>
        <v>GLO</v>
      </c>
      <c r="D184" s="12" t="str">
        <f>INDEX('ei names mapping'!$B$104:$R$133,MATCH(B153,'ei names mapping'!$A$104:$A$133,0),MATCH(G184,'ei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1.6875</v>
      </c>
      <c r="C185" s="12" t="str">
        <f>INDEX('ei names mapping'!$B$38:$R$67,MATCH(B153,'ei names mapping'!$A$4:$A$33,0),MATCH(G185,'ei names mapping'!$B$3:$R$3,0))</f>
        <v>RER</v>
      </c>
      <c r="D185" s="12" t="str">
        <f>INDEX('ei names mapping'!$B$104:$R$133,MATCH(B153,'ei names mapping'!$A$104:$A$133,0),MATCH(G185,'ei names mapping'!$B$3:$R$3,0))</f>
        <v>kilogram</v>
      </c>
      <c r="E185" s="12"/>
      <c r="F185" s="12" t="s">
        <v>91</v>
      </c>
      <c r="G185" t="s">
        <v>24</v>
      </c>
      <c r="H185" s="12" t="str">
        <f>INDEX('ei names mapping'!$B$71:$R$100,MATCH(B153,'ei names mapping'!$A$4:$A$33,0),MATCH(G185,'ei names mapping'!$B$3:$R$3,0))</f>
        <v>polyethylene, high density, granulate</v>
      </c>
    </row>
    <row r="186" spans="1:8" s="21" customFormat="1" x14ac:dyDescent="0.3">
      <c r="A186" s="22" t="s">
        <v>468</v>
      </c>
      <c r="B186" s="21">
        <f>(B166/1000)*B177</f>
        <v>151.88749999999999</v>
      </c>
      <c r="C186" s="21" t="s">
        <v>94</v>
      </c>
      <c r="D186" s="21" t="s">
        <v>243</v>
      </c>
      <c r="F186" s="21" t="s">
        <v>91</v>
      </c>
      <c r="H186" s="22" t="s">
        <v>469</v>
      </c>
    </row>
    <row r="187" spans="1:8" s="21" customFormat="1" x14ac:dyDescent="0.3">
      <c r="A187" s="22" t="s">
        <v>467</v>
      </c>
      <c r="B187" s="2">
        <f>(B166/1000)*B176</f>
        <v>2415.0112499999996</v>
      </c>
      <c r="C187" s="21" t="s">
        <v>98</v>
      </c>
      <c r="D187" s="21" t="s">
        <v>243</v>
      </c>
      <c r="F187" s="21" t="s">
        <v>91</v>
      </c>
      <c r="H187" s="22" t="s">
        <v>467</v>
      </c>
    </row>
    <row r="189" spans="1:8" ht="15.6" x14ac:dyDescent="0.3">
      <c r="A189" s="11" t="s">
        <v>72</v>
      </c>
      <c r="B189" s="9" t="str">
        <f>B191&amp;", "&amp;B193</f>
        <v>Motorbike, gasoline, 11-35kW, EURO-5, 2050</v>
      </c>
    </row>
    <row r="190" spans="1:8" x14ac:dyDescent="0.3">
      <c r="A190" t="s">
        <v>73</v>
      </c>
      <c r="B190" t="s">
        <v>37</v>
      </c>
    </row>
    <row r="191" spans="1:8" x14ac:dyDescent="0.3">
      <c r="A191" t="s">
        <v>87</v>
      </c>
      <c r="B191" t="s">
        <v>696</v>
      </c>
    </row>
    <row r="192" spans="1:8" x14ac:dyDescent="0.3">
      <c r="A192" t="s">
        <v>88</v>
      </c>
      <c r="B192" s="12"/>
    </row>
    <row r="193" spans="1:2" x14ac:dyDescent="0.3">
      <c r="A193" t="s">
        <v>89</v>
      </c>
      <c r="B193" s="12">
        <v>2050</v>
      </c>
    </row>
    <row r="194" spans="1:2" x14ac:dyDescent="0.3">
      <c r="A194" t="s">
        <v>131</v>
      </c>
      <c r="B194" s="12" t="str">
        <f>B191&amp;" - "&amp;B193&amp;" - "&amp;B190</f>
        <v>Motorbike, gasoline, 11-35kW, EURO-5 - 2050 - CH</v>
      </c>
    </row>
    <row r="195" spans="1:2" x14ac:dyDescent="0.3">
      <c r="A195" t="s">
        <v>74</v>
      </c>
      <c r="B195" t="str">
        <f>B191</f>
        <v>Motorbike, gasoline, 11-35kW, EURO-5</v>
      </c>
    </row>
    <row r="196" spans="1:2" x14ac:dyDescent="0.3">
      <c r="A196" t="s">
        <v>75</v>
      </c>
      <c r="B196" t="s">
        <v>76</v>
      </c>
    </row>
    <row r="197" spans="1:2" x14ac:dyDescent="0.3">
      <c r="A197" t="s">
        <v>77</v>
      </c>
      <c r="B197" t="s">
        <v>77</v>
      </c>
    </row>
    <row r="198" spans="1:2" x14ac:dyDescent="0.3">
      <c r="A198" t="s">
        <v>79</v>
      </c>
      <c r="B198" t="s">
        <v>90</v>
      </c>
    </row>
    <row r="199" spans="1:2" x14ac:dyDescent="0.3">
      <c r="A199" t="s">
        <v>132</v>
      </c>
      <c r="B199">
        <f>INDEX('vehicles specifications'!$B$3:$CK$86,MATCH(B194,'vehicles specifications'!$A$3:$A$86,0),MATCH("Lifetime [km]",'vehicles specifications'!$B$2:$CK$2,0))</f>
        <v>62100</v>
      </c>
    </row>
    <row r="200" spans="1:2" x14ac:dyDescent="0.3">
      <c r="A200" t="s">
        <v>133</v>
      </c>
      <c r="B200">
        <f>INDEX('vehicles specifications'!$B$3:$CK$86,MATCH(B194,'vehicles specifications'!$A$3:$A$86,0),MATCH("Passengers [unit]",'vehicles specifications'!$B$2:$CK$2,0))</f>
        <v>1.1000000000000001</v>
      </c>
    </row>
    <row r="201" spans="1:2" x14ac:dyDescent="0.3">
      <c r="A201" t="s">
        <v>134</v>
      </c>
      <c r="B201">
        <f>INDEX('vehicles specifications'!$B$3:$CK$86,MATCH(B194,'vehicles specifications'!$A$3:$A$86,0),MATCH("Servicing [unit]",'vehicles specifications'!$B$2:$CK$2,0))</f>
        <v>1.242</v>
      </c>
    </row>
    <row r="202" spans="1:2" x14ac:dyDescent="0.3">
      <c r="A202" t="s">
        <v>135</v>
      </c>
      <c r="B202">
        <f>INDEX('vehicles specifications'!$B$3:$CK$86,MATCH(B194,'vehicles specifications'!$A$3:$A$86,0),MATCH("Energy battery replacement [unit]",'vehicles specifications'!$B$2:$CK$2,0))</f>
        <v>0</v>
      </c>
    </row>
    <row r="203" spans="1:2" x14ac:dyDescent="0.3">
      <c r="A203" t="s">
        <v>136</v>
      </c>
      <c r="B203">
        <f>INDEX('vehicles specifications'!$B$3:$CK$86,MATCH(B194,'vehicles specifications'!$A$3:$A$86,0),MATCH("Annual kilometers [km]",'vehicles specifications'!$B$2:$CK$2,0))</f>
        <v>4592</v>
      </c>
    </row>
    <row r="204" spans="1:2" x14ac:dyDescent="0.3">
      <c r="A204" t="s">
        <v>137</v>
      </c>
      <c r="B204" s="2">
        <f>INDEX('vehicles specifications'!$B$3:$CK$86,MATCH(B194,'vehicles specifications'!$A$3:$A$86,0),MATCH("Curb mass [kg]",'vehicles specifications'!$B$2:$CK$2,0))</f>
        <v>150.26749999999998</v>
      </c>
    </row>
    <row r="205" spans="1:2" x14ac:dyDescent="0.3">
      <c r="A205" t="s">
        <v>138</v>
      </c>
      <c r="B205">
        <f>INDEX('vehicles specifications'!$B$3:$CK$86,MATCH(B194,'vehicles specifications'!$A$3:$A$86,0),MATCH("Power [kW]",'vehicles specifications'!$B$2:$CK$2,0))</f>
        <v>20</v>
      </c>
    </row>
    <row r="206" spans="1:2" x14ac:dyDescent="0.3">
      <c r="A206" t="s">
        <v>139</v>
      </c>
      <c r="B206">
        <f>INDEX('vehicles specifications'!$B$3:$CK$86,MATCH(B194,'vehicles specifications'!$A$3:$A$86,0),MATCH("Energy battery mass [kg]",'vehicles specifications'!$B$2:$CK$2,0))</f>
        <v>0</v>
      </c>
    </row>
    <row r="207" spans="1:2" x14ac:dyDescent="0.3">
      <c r="A207" t="s">
        <v>140</v>
      </c>
      <c r="B207">
        <f>INDEX('vehicles specifications'!$B$3:$CK$86,MATCH(B194,'vehicles specifications'!$A$3:$A$86,0),MATCH("Electric energy available [kWh]",'vehicles specifications'!$B$2:$CK$2,0))</f>
        <v>0</v>
      </c>
    </row>
    <row r="208" spans="1:2" x14ac:dyDescent="0.3">
      <c r="A208" t="s">
        <v>143</v>
      </c>
      <c r="B208" s="2">
        <f>INDEX('vehicles specifications'!$B$3:$CK$86,MATCH(B194,'vehicles specifications'!$A$3:$A$86,0),MATCH("Oxydation energy stored [kWh]",'vehicles specifications'!$B$2:$CK$2,0))</f>
        <v>132.5</v>
      </c>
    </row>
    <row r="209" spans="1:8" x14ac:dyDescent="0.3">
      <c r="A209" t="s">
        <v>145</v>
      </c>
      <c r="B209">
        <f>INDEX('vehicles specifications'!$B$3:$CK$86,MATCH(B194,'vehicles specifications'!$A$3:$A$86,0),MATCH("Fuel mass [kg]",'vehicles specifications'!$B$2:$CK$2,0))</f>
        <v>11.25</v>
      </c>
    </row>
    <row r="210" spans="1:8" x14ac:dyDescent="0.3">
      <c r="A210" t="s">
        <v>141</v>
      </c>
      <c r="B210" s="2">
        <f>INDEX('vehicles specifications'!$B$3:$CK$86,MATCH(B194,'vehicles specifications'!$A$3:$A$86,0),MATCH("Range [km]",'vehicles specifications'!$B$2:$CK$2,0))</f>
        <v>336.99512892110755</v>
      </c>
    </row>
    <row r="211" spans="1:8" x14ac:dyDescent="0.3">
      <c r="A211" t="s">
        <v>142</v>
      </c>
      <c r="B211" t="str">
        <f>INDEX('vehicles specifications'!$B$3:$CK$86,MATCH(B194,'vehicles specifications'!$A$3:$A$86,0),MATCH("Emission standard",'vehicles specifications'!$B$2:$CK$2,0))</f>
        <v>EURO-5</v>
      </c>
    </row>
    <row r="212" spans="1:8" x14ac:dyDescent="0.3">
      <c r="A212" t="s">
        <v>144</v>
      </c>
      <c r="B212" s="6">
        <f>INDEX('vehicles specifications'!$B$3:$CK$86,MATCH(B194,'vehicles specifications'!$A$3:$A$86,0),MATCH("Lightweighting rate [%]",'vehicles specifications'!$B$2:$CK$2,0))</f>
        <v>7.0000000000000007E-2</v>
      </c>
    </row>
    <row r="213" spans="1:8" s="21" customFormat="1" x14ac:dyDescent="0.3">
      <c r="A213" s="21" t="s">
        <v>513</v>
      </c>
      <c r="B213" s="6" t="s">
        <v>514</v>
      </c>
    </row>
    <row r="214" spans="1:8" s="21" customFormat="1" x14ac:dyDescent="0.3">
      <c r="A214" s="21" t="s">
        <v>515</v>
      </c>
      <c r="B214" s="2">
        <v>15900</v>
      </c>
    </row>
    <row r="215" spans="1:8" s="21" customFormat="1" x14ac:dyDescent="0.3">
      <c r="A215" s="21" t="s">
        <v>516</v>
      </c>
      <c r="B215" s="2">
        <v>1000</v>
      </c>
    </row>
    <row r="216" spans="1:8" s="21" customFormat="1"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20 kW. Lifetime: 62100 km. Annual kilometers: 4592 km. Number of passengers: 1.1. Curb mass: 150.3 kg. Lightweighting of glider: 7%. Emission standard: EURO-5. Service visits throughout lifetime: 1.2. Range: 337 km. Battery capacity: 0 kWh. Battery mass: 0 kg. Battery replacement throughout lifetime: 0. Fuel tank capacity: 132.5 kWh. Fuel mass: 11.3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t="s">
        <v>81</v>
      </c>
      <c r="B218" t="s">
        <v>82</v>
      </c>
      <c r="C218" t="s">
        <v>73</v>
      </c>
      <c r="D218" t="s">
        <v>77</v>
      </c>
      <c r="E218" t="s">
        <v>83</v>
      </c>
      <c r="F218" t="s">
        <v>75</v>
      </c>
      <c r="G218" t="s">
        <v>84</v>
      </c>
      <c r="H218" t="s">
        <v>74</v>
      </c>
    </row>
    <row r="219" spans="1:8" x14ac:dyDescent="0.3">
      <c r="A219" s="12" t="str">
        <f>B189</f>
        <v>Motorbike, gasoline, 11-35kW, EURO-5, 2050</v>
      </c>
      <c r="B219" s="12">
        <v>1</v>
      </c>
      <c r="C219" s="12" t="str">
        <f>B190</f>
        <v>CH</v>
      </c>
      <c r="D219" s="12" t="str">
        <f>B197</f>
        <v>unit</v>
      </c>
      <c r="E219" s="12"/>
      <c r="F219" s="12" t="s">
        <v>85</v>
      </c>
      <c r="G219" s="12" t="s">
        <v>86</v>
      </c>
      <c r="H219" s="12" t="str">
        <f>B191</f>
        <v>Motorbike, gasoline, 11-35kW,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0.9</v>
      </c>
      <c r="C220" s="12" t="str">
        <f>INDEX('ei names mapping'!$B$38:$R$67,MATCH(B191,'ei names mapping'!$A$4:$A$33,0),MATCH(G220,'ei names mapping'!$B$3:$R$3,0))</f>
        <v>RER</v>
      </c>
      <c r="D220" s="12" t="str">
        <f>INDEX('ei names mapping'!$B$104:$R$133,MATCH(B191,'ei names mapping'!$A$104:$A$133,0),MATCH(G220,'ei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0.68888888888888888</v>
      </c>
      <c r="C221" s="12" t="str">
        <f>INDEX('ei names mapping'!$B$38:$R$67,MATCH(B191,'ei names mapping'!$A$4:$A$33,0),MATCH(G221,'ei names mapping'!$B$3:$R$3,0))</f>
        <v>RER</v>
      </c>
      <c r="D221" s="12" t="str">
        <f>INDEX('ei names mapping'!$B$104:$R$133,MATCH(B191,'ei names mapping'!$A$104:$A$133,0),MATCH(G221,'ei names mapping'!$B$3:$R$3,0))</f>
        <v>unit</v>
      </c>
      <c r="E221" s="12"/>
      <c r="F221" s="12" t="s">
        <v>91</v>
      </c>
      <c r="G221" t="s">
        <v>16</v>
      </c>
      <c r="H221" s="12" t="str">
        <f>INDEX('ei names mapping'!$B$71:$R$100,MATCH(B191,'ei names mapping'!$A$4:$A$33,0),MATCH(G221,'ei names mapping'!$B$3:$R$3,0))</f>
        <v>motor scooter, 50 cubic cm engine</v>
      </c>
    </row>
    <row r="222" spans="1:8" s="21" customFormat="1"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5.6700000000000008</v>
      </c>
      <c r="C222" s="12" t="str">
        <f>INDEX('ei names mapping'!$B$38:$R$67,MATCH(B191,'ei names mapping'!$A$4:$A$33,0),MATCH(G222,'ei names mapping'!$B$3:$R$3,0))</f>
        <v>GLO</v>
      </c>
      <c r="D222" s="12" t="str">
        <f>INDEX('ei names mapping'!$B$104:$R$133,MATCH(B191,'ei names mapping'!$A$104:$A$133,0),MATCH(G222,'ei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1.6875</v>
      </c>
      <c r="C223" s="12" t="str">
        <f>INDEX('ei names mapping'!$B$38:$R$67,MATCH(B191,'ei names mapping'!$A$4:$A$33,0),MATCH(G223,'ei names mapping'!$B$3:$R$3,0))</f>
        <v>RER</v>
      </c>
      <c r="D223" s="12" t="str">
        <f>INDEX('ei names mapping'!$B$104:$R$133,MATCH(B191,'ei names mapping'!$A$104:$A$133,0),MATCH(G223,'ei names mapping'!$B$3:$R$3,0))</f>
        <v>kilogram</v>
      </c>
      <c r="E223" s="12"/>
      <c r="F223" s="12" t="s">
        <v>91</v>
      </c>
      <c r="G223" t="s">
        <v>24</v>
      </c>
      <c r="H223" s="12" t="str">
        <f>INDEX('ei names mapping'!$B$71:$R$100,MATCH(B191,'ei names mapping'!$A$4:$A$33,0),MATCH(G223,'ei names mapping'!$B$3:$R$3,0))</f>
        <v>polyethylene, high density, granulate</v>
      </c>
    </row>
    <row r="224" spans="1:8" s="21" customFormat="1" x14ac:dyDescent="0.3">
      <c r="A224" s="22" t="s">
        <v>468</v>
      </c>
      <c r="B224" s="21">
        <f>(B204/1000)*B215</f>
        <v>150.26749999999998</v>
      </c>
      <c r="C224" s="21" t="s">
        <v>94</v>
      </c>
      <c r="D224" s="21" t="s">
        <v>243</v>
      </c>
      <c r="F224" s="21" t="s">
        <v>91</v>
      </c>
      <c r="H224" s="22" t="s">
        <v>469</v>
      </c>
    </row>
    <row r="225" spans="1:8" s="21" customFormat="1" x14ac:dyDescent="0.3">
      <c r="A225" s="22" t="s">
        <v>467</v>
      </c>
      <c r="B225" s="2">
        <f>(B204/1000)*B214</f>
        <v>2389.2532499999998</v>
      </c>
      <c r="C225" s="21" t="s">
        <v>98</v>
      </c>
      <c r="D225" s="21" t="s">
        <v>243</v>
      </c>
      <c r="F225" s="21" t="s">
        <v>91</v>
      </c>
      <c r="H225" s="22" t="s">
        <v>467</v>
      </c>
    </row>
    <row r="227" spans="1:8" ht="15.6" x14ac:dyDescent="0.3">
      <c r="A227" s="11" t="s">
        <v>72</v>
      </c>
      <c r="B227" s="9" t="str">
        <f>"transport, "&amp;B229&amp;", "&amp;B231</f>
        <v>transport, Motorbike, gasoline, 11-35kW, EURO-3, 2006</v>
      </c>
    </row>
    <row r="228" spans="1:8" x14ac:dyDescent="0.3">
      <c r="A228" t="s">
        <v>73</v>
      </c>
      <c r="B228" t="s">
        <v>37</v>
      </c>
    </row>
    <row r="229" spans="1:8" x14ac:dyDescent="0.3">
      <c r="A229" t="s">
        <v>87</v>
      </c>
      <c r="B229" t="s">
        <v>694</v>
      </c>
    </row>
    <row r="230" spans="1:8" x14ac:dyDescent="0.3">
      <c r="A230" t="s">
        <v>88</v>
      </c>
      <c r="B230" s="12"/>
    </row>
    <row r="231" spans="1:8" x14ac:dyDescent="0.3">
      <c r="A231" t="s">
        <v>89</v>
      </c>
      <c r="B231" s="12">
        <v>2006</v>
      </c>
    </row>
    <row r="232" spans="1:8" x14ac:dyDescent="0.3">
      <c r="A232" t="s">
        <v>131</v>
      </c>
      <c r="B232" s="12" t="str">
        <f>B229&amp;" - "&amp;B231&amp;" - "&amp;B228</f>
        <v>Motorbike, gasoline, 11-35kW, EURO-3 - 2006 - CH</v>
      </c>
    </row>
    <row r="233" spans="1:8" x14ac:dyDescent="0.3">
      <c r="A233" t="s">
        <v>74</v>
      </c>
      <c r="B233" s="12" t="str">
        <f>"transport, "&amp;B229</f>
        <v>transport, Motorbike, gasoline, 11-35kW, EURO-3</v>
      </c>
    </row>
    <row r="234" spans="1:8" x14ac:dyDescent="0.3">
      <c r="A234" t="s">
        <v>75</v>
      </c>
      <c r="B234" t="s">
        <v>76</v>
      </c>
    </row>
    <row r="235" spans="1:8" x14ac:dyDescent="0.3">
      <c r="A235" t="s">
        <v>77</v>
      </c>
      <c r="B235" t="s">
        <v>172</v>
      </c>
    </row>
    <row r="236" spans="1:8" x14ac:dyDescent="0.3">
      <c r="A236" t="s">
        <v>79</v>
      </c>
      <c r="B236" t="s">
        <v>90</v>
      </c>
    </row>
    <row r="237" spans="1:8" x14ac:dyDescent="0.3">
      <c r="A237" t="s">
        <v>132</v>
      </c>
      <c r="B237">
        <f>INDEX('vehicles specifications'!$B$3:$CK$86,MATCH(B232,'vehicles specifications'!$A$3:$A$86,0),MATCH("Lifetime [km]",'vehicles specifications'!$B$2:$CK$2,0))</f>
        <v>62100</v>
      </c>
    </row>
    <row r="238" spans="1:8" x14ac:dyDescent="0.3">
      <c r="A238" t="s">
        <v>133</v>
      </c>
      <c r="B238">
        <f>INDEX('vehicles specifications'!$B$3:$CK$86,MATCH(B232,'vehicles specifications'!$A$3:$A$86,0),MATCH("Passengers [unit]",'vehicles specifications'!$B$2:$CK$2,0))</f>
        <v>1.1000000000000001</v>
      </c>
    </row>
    <row r="239" spans="1:8" x14ac:dyDescent="0.3">
      <c r="A239" t="s">
        <v>134</v>
      </c>
      <c r="B239">
        <f>INDEX('vehicles specifications'!$B$3:$CK$86,MATCH(B232,'vehicles specifications'!$A$3:$A$86,0),MATCH("Servicing [unit]",'vehicles specifications'!$B$2:$CK$2,0))</f>
        <v>1.242</v>
      </c>
    </row>
    <row r="240" spans="1:8" x14ac:dyDescent="0.3">
      <c r="A240" t="s">
        <v>135</v>
      </c>
      <c r="B240">
        <f>INDEX('vehicles specifications'!$B$3:$CK$86,MATCH(B232,'vehicles specifications'!$A$3:$A$86,0),MATCH("Energy battery replacement [unit]",'vehicles specifications'!$B$2:$CK$2,0))</f>
        <v>0</v>
      </c>
    </row>
    <row r="241" spans="1:8" x14ac:dyDescent="0.3">
      <c r="A241" t="s">
        <v>136</v>
      </c>
      <c r="B241">
        <f>INDEX('vehicles specifications'!$B$3:$CK$86,MATCH(B232,'vehicles specifications'!$A$3:$A$86,0),MATCH("Annual kilometers [km]",'vehicles specifications'!$B$2:$CK$2,0))</f>
        <v>4592</v>
      </c>
    </row>
    <row r="242" spans="1:8" x14ac:dyDescent="0.3">
      <c r="A242" t="s">
        <v>137</v>
      </c>
      <c r="B242" s="2">
        <f>INDEX('vehicles specifications'!$B$3:$CK$86,MATCH(B232,'vehicles specifications'!$A$3:$A$86,0),MATCH("Curb mass [kg]",'vehicles specifications'!$B$2:$CK$2,0))</f>
        <v>159.98750000000001</v>
      </c>
    </row>
    <row r="243" spans="1:8" x14ac:dyDescent="0.3">
      <c r="A243" t="s">
        <v>138</v>
      </c>
      <c r="B243">
        <f>INDEX('vehicles specifications'!$B$3:$CK$86,MATCH(B232,'vehicles specifications'!$A$3:$A$86,0),MATCH("Power [kW]",'vehicles specifications'!$B$2:$CK$2,0))</f>
        <v>20</v>
      </c>
    </row>
    <row r="244" spans="1:8" x14ac:dyDescent="0.3">
      <c r="A244" t="s">
        <v>139</v>
      </c>
      <c r="B244">
        <f>INDEX('vehicles specifications'!$B$3:$CK$86,MATCH(B232,'vehicles specifications'!$A$3:$A$86,0),MATCH("Energy battery mass [kg]",'vehicles specifications'!$B$2:$CK$2,0))</f>
        <v>0</v>
      </c>
    </row>
    <row r="245" spans="1:8" x14ac:dyDescent="0.3">
      <c r="A245" t="s">
        <v>140</v>
      </c>
      <c r="B245">
        <f>INDEX('vehicles specifications'!$B$3:$CK$86,MATCH(B232,'vehicles specifications'!$A$3:$A$86,0),MATCH("Electric energy available [kWh]",'vehicles specifications'!$B$2:$CK$2,0))</f>
        <v>0</v>
      </c>
    </row>
    <row r="246" spans="1:8" x14ac:dyDescent="0.3">
      <c r="A246" t="s">
        <v>143</v>
      </c>
      <c r="B246" s="2">
        <f>INDEX('vehicles specifications'!$B$3:$CK$86,MATCH(B232,'vehicles specifications'!$A$3:$A$86,0),MATCH("Oxydation energy stored [kWh]",'vehicles specifications'!$B$2:$CK$2,0))</f>
        <v>132.5</v>
      </c>
    </row>
    <row r="247" spans="1:8" x14ac:dyDescent="0.3">
      <c r="A247" t="s">
        <v>145</v>
      </c>
      <c r="B247">
        <f>INDEX('vehicles specifications'!$B$3:$CK$86,MATCH(B232,'vehicles specifications'!$A$3:$A$86,0),MATCH("Fuel mass [kg]",'vehicles specifications'!$B$2:$CK$2,0))</f>
        <v>11.25</v>
      </c>
    </row>
    <row r="248" spans="1:8" x14ac:dyDescent="0.3">
      <c r="A248" t="s">
        <v>141</v>
      </c>
      <c r="B248" s="2">
        <f>INDEX('vehicles specifications'!$B$3:$CK$86,MATCH(B232,'vehicles specifications'!$A$3:$A$86,0),MATCH("Range [km]",'vehicles specifications'!$B$2:$CK$2,0))</f>
        <v>320.51106557529852</v>
      </c>
    </row>
    <row r="249" spans="1:8" x14ac:dyDescent="0.3">
      <c r="A249" t="s">
        <v>142</v>
      </c>
      <c r="B249" t="str">
        <f>INDEX('vehicles specifications'!$B$3:$CK$86,MATCH(B232,'vehicles specifications'!$A$3:$A$86,0),MATCH("Emission standard",'vehicles specifications'!$B$2:$CK$2,0))</f>
        <v>EURO-3</v>
      </c>
    </row>
    <row r="250" spans="1:8" x14ac:dyDescent="0.3">
      <c r="A250" t="s">
        <v>144</v>
      </c>
      <c r="B250" s="6">
        <f>INDEX('vehicles specifications'!$B$3:$CK$86,MATCH(B232,'vehicles specifications'!$A$3:$A$86,0),MATCH("Lightweighting rate [%]",'vehicles specifications'!$B$2:$CK$2,0))</f>
        <v>-0.05</v>
      </c>
    </row>
    <row r="251" spans="1:8" x14ac:dyDescent="0.3">
      <c r="A25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20 kW. Lifetime: 62100 km. Annual kilometers: 4592 km. Number of passengers: 1.1. Curb mass: 160 kg. Lightweighting of glider: -5%. Emission standard: EURO-3. Service visits throughout lifetime: 1.2. Range: 321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t="s">
        <v>81</v>
      </c>
      <c r="B253" t="s">
        <v>82</v>
      </c>
      <c r="C253" t="s">
        <v>73</v>
      </c>
      <c r="D253" t="s">
        <v>77</v>
      </c>
      <c r="E253" t="s">
        <v>83</v>
      </c>
      <c r="F253" t="s">
        <v>75</v>
      </c>
      <c r="G253" t="s">
        <v>84</v>
      </c>
      <c r="H253" t="s">
        <v>74</v>
      </c>
    </row>
    <row r="254" spans="1:8" x14ac:dyDescent="0.3">
      <c r="A254" s="12" t="str">
        <f>B227</f>
        <v>transport, Motorbike, gasoline, 11-35kW, EURO-3, 2006</v>
      </c>
      <c r="B254" s="12">
        <v>1</v>
      </c>
      <c r="C254" s="12" t="str">
        <f>B228</f>
        <v>CH</v>
      </c>
      <c r="D254" s="12" t="s">
        <v>172</v>
      </c>
      <c r="E254" s="12"/>
      <c r="F254" s="12" t="s">
        <v>85</v>
      </c>
      <c r="G254" s="12" t="s">
        <v>86</v>
      </c>
      <c r="H254" s="12" t="str">
        <f>B233</f>
        <v>transport, Motorbike, gasoline, 11-35kW, EURO-3</v>
      </c>
    </row>
    <row r="255" spans="1:8" x14ac:dyDescent="0.3">
      <c r="A255" s="12" t="str">
        <f>RIGHT(A254,LEN(A254)-11)</f>
        <v>Motorbike, gasoline, 11-35kW, EURO-3, 2006</v>
      </c>
      <c r="B255" s="15">
        <f>1/B237</f>
        <v>1.6103059581320449E-5</v>
      </c>
      <c r="C255" s="12" t="str">
        <f>B228</f>
        <v>CH</v>
      </c>
      <c r="D255" s="12" t="s">
        <v>77</v>
      </c>
      <c r="E255" s="12"/>
      <c r="F255" s="12" t="s">
        <v>91</v>
      </c>
      <c r="G255" s="12"/>
      <c r="H255" s="12" t="str">
        <f>RIGHT(H254,LEN(H254)-11)</f>
        <v>Motorbike, gasoline, 11-35kW, EURO-3</v>
      </c>
    </row>
    <row r="256" spans="1:8" s="21" customFormat="1"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1.3048428750000001E-4</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road maintenance</v>
      </c>
      <c r="B257" s="16">
        <f>INDEX('vehicles specifications'!$B$3:$CK$86,MATCH(B232,'vehicles specifications'!$A$3:$A$86,0),MATCH(G257,'vehicles specifications'!$B$2:$CK$2,0))*INDEX('ei names mapping'!$B$137:$BK$220,MATCH(B232,'ei names mapping'!$A$137:$A$220,0),MATCH(G257,'ei names mapping'!$B$136:$BK$136,0))</f>
        <v>1.2899999999999999E-3</v>
      </c>
      <c r="C257" s="12" t="str">
        <f>INDEX('ei names mapping'!$B$38:$R$67,MATCH(B229,'ei names mapping'!$A$4:$A$33,0),MATCH(G257,'ei names mapping'!$B$3:$R$3,0))</f>
        <v>CH</v>
      </c>
      <c r="D257" s="12" t="str">
        <f>INDEX('ei names mapping'!$B$104:$BK$133,MATCH(B229,'ei names mapping'!$A$4:$A$33,0),MATCH(G257,'ei names mapping'!$B$3:$BK$3,0))</f>
        <v>meter-year</v>
      </c>
      <c r="E257" s="12"/>
      <c r="F257" s="12" t="s">
        <v>91</v>
      </c>
      <c r="G257" t="s">
        <v>117</v>
      </c>
      <c r="H257" s="12" t="str">
        <f>INDEX('ei names mapping'!$B$71:$BK$100,MATCH(B229,'ei names mapping'!$A$4:$A$33,0),MATCH(G257,'ei names mapping'!$B$3:$BK$3,0))</f>
        <v>road maintenance</v>
      </c>
    </row>
    <row r="258" spans="1:8" x14ac:dyDescent="0.3">
      <c r="A258" s="12" t="str">
        <f>INDEX('ei names mapping'!$B$4:$R$33,MATCH(B229,'ei names mapping'!$A$4:$A$33,0),MATCH(G258,'ei names mapping'!$B$3:$R$3,0))</f>
        <v>maintenance, motor scooter</v>
      </c>
      <c r="B258" s="16">
        <f>INDEX('vehicles specifications'!$B$3:$CK$86,MATCH(B232,'vehicles specifications'!$A$3:$A$86,0),MATCH(G258,'vehicles specifications'!$B$2:$CK$2,0))*INDEX('ei names mapping'!$B$137:$BK$220,MATCH(B232,'ei names mapping'!$A$137:$A$220,0),MATCH(G258,'ei names mapping'!$B$136:$BK$136,0))</f>
        <v>1.9999999999999998E-5</v>
      </c>
      <c r="C258" s="12" t="str">
        <f>INDEX('ei names mapping'!$B$38:$BK$67,MATCH(B229,'ei names mapping'!$A$4:$A$33,0),MATCH(G258,'ei names mapping'!$B$3:$BK$3,0))</f>
        <v>CH</v>
      </c>
      <c r="D258" s="12" t="str">
        <f>INDEX('ei names mapping'!$B$104:$BK$133,MATCH(B229,'ei names mapping'!$A$4:$A$33,0),MATCH(G258,'ei names mapping'!$B$3:$BK$3,0))</f>
        <v>unit</v>
      </c>
      <c r="F258" s="12" t="s">
        <v>91</v>
      </c>
      <c r="G258" s="12" t="s">
        <v>123</v>
      </c>
      <c r="H258" s="12" t="str">
        <f>INDEX('ei names mapping'!$B$71:$BK$100,MATCH(B229,'ei names mapping'!$A$4:$A$33,0),MATCH(G258,'ei names mapping'!$B$3:$BK$3,0))</f>
        <v>maintenance, motor scooter</v>
      </c>
    </row>
    <row r="259" spans="1:8" x14ac:dyDescent="0.3">
      <c r="A259" s="12" t="str">
        <f>INDEX('ei names mapping'!$B$4:$R$33,MATCH(B229,'ei names mapping'!$A$4:$A$33,0),MATCH(G259,'ei names mapping'!$B$3:$R$3,0))</f>
        <v>market for petrol, low-sulfur</v>
      </c>
      <c r="B259" s="16">
        <f>INDEX('vehicles specifications'!$B$3:$CK$86,MATCH(B232,'vehicles specifications'!$A$3:$A$86,0),MATCH(G259,'vehicles specifications'!$B$2:$CK$2,0))*INDEX('ei names mapping'!$B$137:$BK$220,MATCH(B232,'ei names mapping'!$A$137:$A$220,0),MATCH(G259,'ei names mapping'!$B$136:$BK$136,0))</f>
        <v>3.5100192187770218E-2</v>
      </c>
      <c r="C259" s="12" t="str">
        <f>INDEX('ei names mapping'!$B$38:$BK$67,MATCH(B229,'ei names mapping'!$A$4:$A$33,0),MATCH(G259,'ei names mapping'!$B$3:$BK$3,0))</f>
        <v>CH</v>
      </c>
      <c r="D259" s="12" t="str">
        <f>INDEX('ei names mapping'!$B$104:$BK$133,MATCH(B229,'ei names mapping'!$A$4:$A$33,0),MATCH(G259,'ei names mapping'!$B$3:$BK$3,0))</f>
        <v>kilogram</v>
      </c>
      <c r="F259" s="12" t="s">
        <v>91</v>
      </c>
      <c r="G259" s="12" t="s">
        <v>27</v>
      </c>
      <c r="H259" s="12" t="str">
        <f>INDEX('ei names mapping'!$B$71:$BK$100,MATCH(B229,'ei names mapping'!$A$4:$A$33,0),MATCH(G259,'ei names mapping'!$B$3:$BK$3,0))</f>
        <v>petrol, low-sulfur</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0.1116186111571093</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5.6160307500432345E-7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5.4417962719780696E-6</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2.203769637337727E-5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2.2122455045910314E-4</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6.627878608534517E-7</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6.627878608534517E-7</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2.6220817193601416E-5</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1.6569696521336294E-6</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s="21" customFormat="1"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4.3883576353705504E-5</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s="21" customFormat="1"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3.09435474288949E-6</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s="21" customFormat="1"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6.3051115450726299E-7</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s="21" customFormat="1"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5.0828899224893196E-6</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s="21" customFormat="1"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2.0855368956778698E-6</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s="21" customFormat="1"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1.5617276288564514E-6</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s="21" customFormat="1"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1.1058195632896611E-6</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s="21" customFormat="1"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7.1781269897749935E-7</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s="21" customFormat="1"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7.0811252736969535E-6</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s="21" customFormat="1"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3.7054655541811453E-6</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s="21" customFormat="1"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1.0670188768584451E-7</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s="21" customFormat="1"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1.0650788425368842E-5</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s="21" customFormat="1"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5.2671931830375969E-6</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s="21" customFormat="1"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2.192238783363714E-6</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s="21" customFormat="1"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1.649029173326688E-6</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s="21" customFormat="1"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7.2751287058530338E-7</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s="21" customFormat="1"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2.1340377537168902E-7</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s="21" customFormat="1"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5.9171046807604678E-7</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s="21" customFormat="1"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4.8500858039020227E-8</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s="21" customFormat="1"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1.8430326054827685E-7</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s="21" customFormat="1"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9.7971733238820843E-7</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s="21" customFormat="1"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5.1791035576898713E-8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s="21" customFormat="1"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4.4647444462843715E-10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s="21" customFormat="1"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2.9764962975229147E-10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s="21" customFormat="1"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3.2146160013247478E-6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s="21" customFormat="1"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6.2506422247981203E-8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s="21" customFormat="1"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1.9347225933898945E-8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s="21" customFormat="1"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2.3811970380183322E-8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s="21" customFormat="1"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4.7623940760366629E-11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s="21" customFormat="1"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1.2947758894224678E-8</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s="21" customFormat="1"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1.6073080006623738E-8</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-7.3669999999999991E-6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-8.3499999999999997E-6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Motorbike, gasoline, 11-35kW, EURO-4, 2016</v>
      </c>
    </row>
    <row r="305" spans="1:2" x14ac:dyDescent="0.3">
      <c r="A305" t="s">
        <v>73</v>
      </c>
      <c r="B305" t="s">
        <v>37</v>
      </c>
    </row>
    <row r="306" spans="1:2" x14ac:dyDescent="0.3">
      <c r="A306" t="s">
        <v>87</v>
      </c>
      <c r="B306" t="s">
        <v>695</v>
      </c>
    </row>
    <row r="307" spans="1:2" x14ac:dyDescent="0.3">
      <c r="A307" t="s">
        <v>88</v>
      </c>
      <c r="B307" s="12"/>
    </row>
    <row r="308" spans="1:2" x14ac:dyDescent="0.3">
      <c r="A308" t="s">
        <v>89</v>
      </c>
      <c r="B308" s="12">
        <v>2016</v>
      </c>
    </row>
    <row r="309" spans="1:2" x14ac:dyDescent="0.3">
      <c r="A309" t="s">
        <v>131</v>
      </c>
      <c r="B309" s="12" t="str">
        <f>B306&amp;" - "&amp;B308&amp;" - "&amp;B305</f>
        <v>Motorbike, gasoline, 11-35kW, EURO-4 - 2016 - CH</v>
      </c>
    </row>
    <row r="310" spans="1:2" x14ac:dyDescent="0.3">
      <c r="A310" t="s">
        <v>74</v>
      </c>
      <c r="B310" s="12" t="str">
        <f>"transport, "&amp;B306</f>
        <v>transport, Motorbike, gasoline, 11-35kW, EURO-4</v>
      </c>
    </row>
    <row r="311" spans="1:2" x14ac:dyDescent="0.3">
      <c r="A311" t="s">
        <v>75</v>
      </c>
      <c r="B311" t="s">
        <v>76</v>
      </c>
    </row>
    <row r="312" spans="1:2" x14ac:dyDescent="0.3">
      <c r="A312" t="s">
        <v>77</v>
      </c>
      <c r="B312" t="s">
        <v>172</v>
      </c>
    </row>
    <row r="313" spans="1:2" x14ac:dyDescent="0.3">
      <c r="A313" t="s">
        <v>79</v>
      </c>
      <c r="B313" t="s">
        <v>90</v>
      </c>
    </row>
    <row r="314" spans="1:2" x14ac:dyDescent="0.3">
      <c r="A314" t="s">
        <v>132</v>
      </c>
      <c r="B314">
        <f>INDEX('vehicles specifications'!$B$3:$CK$86,MATCH(B309,'vehicles specifications'!$A$3:$A$86,0),MATCH("Lifetime [km]",'vehicles specifications'!$B$2:$CK$2,0))</f>
        <v>62100</v>
      </c>
    </row>
    <row r="315" spans="1:2" x14ac:dyDescent="0.3">
      <c r="A315" t="s">
        <v>133</v>
      </c>
      <c r="B315">
        <f>INDEX('vehicles specifications'!$B$3:$CK$86,MATCH(B309,'vehicles specifications'!$A$3:$A$86,0),MATCH("Passengers [unit]",'vehicles specifications'!$B$2:$CK$2,0))</f>
        <v>1.1000000000000001</v>
      </c>
    </row>
    <row r="316" spans="1:2" x14ac:dyDescent="0.3">
      <c r="A316" t="s">
        <v>134</v>
      </c>
      <c r="B316">
        <f>INDEX('vehicles specifications'!$B$3:$CK$86,MATCH(B309,'vehicles specifications'!$A$3:$A$86,0),MATCH("Servicing [unit]",'vehicles specifications'!$B$2:$CK$2,0))</f>
        <v>1.242</v>
      </c>
    </row>
    <row r="317" spans="1:2" x14ac:dyDescent="0.3">
      <c r="A317" t="s">
        <v>135</v>
      </c>
      <c r="B317">
        <f>INDEX('vehicles specifications'!$B$3:$CK$86,MATCH(B309,'vehicles specifications'!$A$3:$A$86,0),MATCH("Energy battery replacement [unit]",'vehicles specifications'!$B$2:$CK$2,0))</f>
        <v>0</v>
      </c>
    </row>
    <row r="318" spans="1:2" x14ac:dyDescent="0.3">
      <c r="A318" t="s">
        <v>136</v>
      </c>
      <c r="B318">
        <f>INDEX('vehicles specifications'!$B$3:$CK$86,MATCH(B309,'vehicles specifications'!$A$3:$A$86,0),MATCH("Annual kilometers [km]",'vehicles specifications'!$B$2:$CK$2,0))</f>
        <v>4592</v>
      </c>
    </row>
    <row r="319" spans="1:2" x14ac:dyDescent="0.3">
      <c r="A319" t="s">
        <v>137</v>
      </c>
      <c r="B319" s="2">
        <f>INDEX('vehicles specifications'!$B$3:$CK$86,MATCH(B309,'vehicles specifications'!$A$3:$A$86,0),MATCH("Curb mass [kg]",'vehicles specifications'!$B$2:$CK$2,0))</f>
        <v>157.5575</v>
      </c>
    </row>
    <row r="320" spans="1:2" x14ac:dyDescent="0.3">
      <c r="A320" t="s">
        <v>138</v>
      </c>
      <c r="B320">
        <f>INDEX('vehicles specifications'!$B$3:$CK$86,MATCH(B309,'vehicles specifications'!$A$3:$A$86,0),MATCH("Power [kW]",'vehicles specifications'!$B$2:$CK$2,0))</f>
        <v>20</v>
      </c>
    </row>
    <row r="321" spans="1:8" x14ac:dyDescent="0.3">
      <c r="A321" t="s">
        <v>139</v>
      </c>
      <c r="B321">
        <f>INDEX('vehicles specifications'!$B$3:$CK$86,MATCH(B309,'vehicles specifications'!$A$3:$A$86,0),MATCH("Energy battery mass [kg]",'vehicles specifications'!$B$2:$CK$2,0))</f>
        <v>0</v>
      </c>
    </row>
    <row r="322" spans="1:8" x14ac:dyDescent="0.3">
      <c r="A322" t="s">
        <v>140</v>
      </c>
      <c r="B322">
        <f>INDEX('vehicles specifications'!$B$3:$CK$86,MATCH(B309,'vehicles specifications'!$A$3:$A$86,0),MATCH("Electric energy available [kWh]",'vehicles specifications'!$B$2:$CK$2,0))</f>
        <v>0</v>
      </c>
    </row>
    <row r="323" spans="1:8" x14ac:dyDescent="0.3">
      <c r="A323" t="s">
        <v>143</v>
      </c>
      <c r="B323" s="2">
        <f>INDEX('vehicles specifications'!$B$3:$CK$86,MATCH(B309,'vehicles specifications'!$A$3:$A$86,0),MATCH("Oxydation energy stored [kWh]",'vehicles specifications'!$B$2:$CK$2,0))</f>
        <v>132.5</v>
      </c>
    </row>
    <row r="324" spans="1:8" x14ac:dyDescent="0.3">
      <c r="A324" t="s">
        <v>145</v>
      </c>
      <c r="B324">
        <f>INDEX('vehicles specifications'!$B$3:$CK$86,MATCH(B309,'vehicles specifications'!$A$3:$A$86,0),MATCH("Fuel mass [kg]",'vehicles specifications'!$B$2:$CK$2,0))</f>
        <v>11.25</v>
      </c>
    </row>
    <row r="325" spans="1:8" x14ac:dyDescent="0.3">
      <c r="A325" t="s">
        <v>141</v>
      </c>
      <c r="B325" s="2">
        <f>INDEX('vehicles specifications'!$B$3:$CK$86,MATCH(B309,'vehicles specifications'!$A$3:$A$86,0),MATCH("Range [km]",'vehicles specifications'!$B$2:$CK$2,0))</f>
        <v>323.71617623105146</v>
      </c>
    </row>
    <row r="326" spans="1:8" x14ac:dyDescent="0.3">
      <c r="A326" t="s">
        <v>142</v>
      </c>
      <c r="B326" t="str">
        <f>INDEX('vehicles specifications'!$B$3:$CK$86,MATCH(B309,'vehicles specifications'!$A$3:$A$86,0),MATCH("Emission standard",'vehicles specifications'!$B$2:$CK$2,0))</f>
        <v>EURO-4</v>
      </c>
    </row>
    <row r="327" spans="1:8" x14ac:dyDescent="0.3">
      <c r="A327" t="s">
        <v>144</v>
      </c>
      <c r="B327" s="6">
        <f>INDEX('vehicles specifications'!$B$3:$CK$86,MATCH(B309,'vehicles specifications'!$A$3:$A$86,0),MATCH("Lightweighting rate [%]",'vehicles specifications'!$B$2:$CK$2,0))</f>
        <v>-0.02</v>
      </c>
    </row>
    <row r="328" spans="1:8" x14ac:dyDescent="0.3">
      <c r="A328"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20 kW. Lifetime: 62100 km. Annual kilometers: 4592 km. Number of passengers: 1.1. Curb mass: 157.6 kg. Lightweighting of glider: -2%. Emission standard: EURO-4. Service visits throughout lifetime: 1.2. Range: 324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t="s">
        <v>81</v>
      </c>
      <c r="B330" t="s">
        <v>82</v>
      </c>
      <c r="C330" t="s">
        <v>73</v>
      </c>
      <c r="D330" t="s">
        <v>77</v>
      </c>
      <c r="E330" t="s">
        <v>83</v>
      </c>
      <c r="F330" t="s">
        <v>75</v>
      </c>
      <c r="G330" t="s">
        <v>84</v>
      </c>
      <c r="H330" t="s">
        <v>74</v>
      </c>
    </row>
    <row r="331" spans="1:8" x14ac:dyDescent="0.3">
      <c r="A331" s="12" t="str">
        <f>B304</f>
        <v>transport, Motorbike, gasoline, 11-35kW, EURO-4, 2016</v>
      </c>
      <c r="B331" s="12">
        <v>1</v>
      </c>
      <c r="C331" s="12" t="str">
        <f>B305</f>
        <v>CH</v>
      </c>
      <c r="D331" s="12" t="s">
        <v>172</v>
      </c>
      <c r="E331" s="12"/>
      <c r="F331" s="12" t="s">
        <v>85</v>
      </c>
      <c r="G331" s="12" t="s">
        <v>86</v>
      </c>
      <c r="H331" s="12" t="str">
        <f>B310</f>
        <v>transport, Motorbike, gasoline, 11-35kW, EURO-4</v>
      </c>
    </row>
    <row r="332" spans="1:8" x14ac:dyDescent="0.3">
      <c r="A332" s="12" t="str">
        <f>RIGHT(A331,LEN(A331)-11)</f>
        <v>Motorbike, gasoline, 11-35kW, EURO-4, 2016</v>
      </c>
      <c r="B332" s="12">
        <f>1/B314</f>
        <v>1.6103059581320449E-5</v>
      </c>
      <c r="C332" s="12" t="str">
        <f>B305</f>
        <v>CH</v>
      </c>
      <c r="D332" s="12" t="s">
        <v>77</v>
      </c>
      <c r="E332" s="12"/>
      <c r="F332" s="12" t="s">
        <v>91</v>
      </c>
      <c r="G332" s="12"/>
      <c r="H332" s="12" t="str">
        <f>RIGHT(H331,LEN(H331)-11)</f>
        <v>Motorbike, gasoline, 11-35kW, EURO-4</v>
      </c>
    </row>
    <row r="333" spans="1:8" s="21" customFormat="1"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1.291793775E-4</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road maintenance</v>
      </c>
      <c r="B334" s="16">
        <f>INDEX('vehicles specifications'!$B$3:$CK$86,MATCH(B309,'vehicles specifications'!$A$3:$A$86,0),MATCH(G334,'vehicles specifications'!$B$2:$CK$2,0))*INDEX('ei names mapping'!$B$137:$BK$220,MATCH(B309,'ei names mapping'!$A$137:$A$220,0),MATCH(G334,'ei names mapping'!$B$136:$BK$136,0))</f>
        <v>1.2899999999999999E-3</v>
      </c>
      <c r="C334" s="12" t="str">
        <f>INDEX('ei names mapping'!$B$38:$R$67,MATCH(B306,'ei names mapping'!$A$4:$A$33,0),MATCH(G334,'ei names mapping'!$B$3:$R$3,0))</f>
        <v>CH</v>
      </c>
      <c r="D334" s="12" t="str">
        <f>INDEX('ei names mapping'!$B$104:$BK$133,MATCH(B306,'ei names mapping'!$A$4:$A$33,0),MATCH(G334,'ei names mapping'!$B$3:$BK$3,0))</f>
        <v>meter-year</v>
      </c>
      <c r="E334" s="12"/>
      <c r="F334" s="12" t="s">
        <v>91</v>
      </c>
      <c r="G334" t="s">
        <v>117</v>
      </c>
      <c r="H334" s="12" t="str">
        <f>INDEX('ei names mapping'!$B$71:$BK$100,MATCH(B306,'ei names mapping'!$A$4:$A$33,0),MATCH(G334,'ei names mapping'!$B$3:$BK$3,0))</f>
        <v>road maintenance</v>
      </c>
    </row>
    <row r="335" spans="1:8" x14ac:dyDescent="0.3">
      <c r="A335" s="12" t="str">
        <f>INDEX('ei names mapping'!$B$4:$R$33,MATCH(B306,'ei names mapping'!$A$4:$A$33,0),MATCH(G335,'ei names mapping'!$B$3:$R$3,0))</f>
        <v>maintenance, motor scooter</v>
      </c>
      <c r="B335" s="16">
        <f>INDEX('vehicles specifications'!$B$3:$CK$86,MATCH(B309,'vehicles specifications'!$A$3:$A$86,0),MATCH(G335,'vehicles specifications'!$B$2:$CK$2,0))*INDEX('ei names mapping'!$B$137:$BK$220,MATCH(B309,'ei names mapping'!$A$137:$A$220,0),MATCH(G335,'ei names mapping'!$B$136:$BK$136,0))</f>
        <v>1.9999999999999998E-5</v>
      </c>
      <c r="C335" s="12" t="str">
        <f>INDEX('ei names mapping'!$B$38:$BK$67,MATCH(B306,'ei names mapping'!$A$4:$A$33,0),MATCH(G335,'ei names mapping'!$B$3:$BK$3,0))</f>
        <v>CH</v>
      </c>
      <c r="D335" s="12" t="str">
        <f>INDEX('ei names mapping'!$B$104:$BK$133,MATCH(B306,'ei names mapping'!$A$4:$A$33,0),MATCH(G335,'ei names mapping'!$B$3:$BK$3,0))</f>
        <v>unit</v>
      </c>
      <c r="F335" s="12" t="s">
        <v>91</v>
      </c>
      <c r="G335" s="12" t="s">
        <v>123</v>
      </c>
      <c r="H335" s="12" t="str">
        <f>INDEX('ei names mapping'!$B$71:$BK$100,MATCH(B306,'ei names mapping'!$A$4:$A$33,0),MATCH(G335,'ei names mapping'!$B$3:$BK$3,0))</f>
        <v>maintenance, motor scooter</v>
      </c>
    </row>
    <row r="336" spans="1:8" x14ac:dyDescent="0.3">
      <c r="A336" s="12" t="str">
        <f>INDEX('ei names mapping'!$B$4:$R$33,MATCH(B306,'ei names mapping'!$A$4:$A$33,0),MATCH(G336,'ei names mapping'!$B$3:$R$3,0))</f>
        <v>market for petrol, low-sulfur</v>
      </c>
      <c r="B336" s="16">
        <f>INDEX('vehicles specifications'!$B$3:$CK$86,MATCH(B309,'vehicles specifications'!$A$3:$A$86,0),MATCH(G336,'vehicles specifications'!$B$2:$CK$2,0))*INDEX('ei names mapping'!$B$137:$BK$220,MATCH(B309,'ei names mapping'!$A$137:$A$220,0),MATCH(G336,'ei names mapping'!$B$136:$BK$136,0))</f>
        <v>3.4752665532445763E-2</v>
      </c>
      <c r="C336" s="12" t="str">
        <f>INDEX('ei names mapping'!$B$38:$BK$67,MATCH(B306,'ei names mapping'!$A$4:$A$33,0),MATCH(G336,'ei names mapping'!$B$3:$BK$3,0))</f>
        <v>CH</v>
      </c>
      <c r="D336" s="12" t="str">
        <f>INDEX('ei names mapping'!$B$104:$BK$133,MATCH(B306,'ei names mapping'!$A$4:$A$33,0),MATCH(G336,'ei names mapping'!$B$3:$BK$3,0))</f>
        <v>kilogram</v>
      </c>
      <c r="F336" s="12" t="s">
        <v>91</v>
      </c>
      <c r="G336" s="12" t="s">
        <v>27</v>
      </c>
      <c r="H336" s="12" t="str">
        <f>INDEX('ei names mapping'!$B$71:$BK$100,MATCH(B306,'ei names mapping'!$A$4:$A$33,0),MATCH(G336,'ei names mapping'!$B$3:$BK$3,0))</f>
        <v>petrol, low-sulfur</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0.11051347639317753</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5.5604264851913217E-7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1.9073617591137917E-6</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2.7697735778460602E-5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1.4020599038117664E-4</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8.3301460987851437E-7</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8.3301460987851437E-7</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1.3603299444488674E-5</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2.082536524696286E-6</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s="21" customFormat="1"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1.5381291618949722E-5</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s="21" customFormat="1"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1.084578255182352E-6</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s="21" customFormat="1"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2.2099556923778335E-7</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s="21" customFormat="1"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1.7815642812399767E-6</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s="21" customFormat="1"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7.3098534440189867E-7</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s="21" customFormat="1"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5.4738902534281725E-7</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s="21" customFormat="1"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3.875922291247277E-7</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s="21" customFormat="1"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2.5159495574763026E-7</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s="21" customFormat="1"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2.481950239132028E-6</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s="21" customFormat="1"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1.2987739607512805E-6</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s="21" customFormat="1"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3.73992501787018E-8</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s="21" customFormat="1"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3.7331251542013252E-6</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s="21" customFormat="1"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1.8461629860940981E-6</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s="21" customFormat="1"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7.6838459458060058E-7</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s="21" customFormat="1"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5.7798841185266424E-7</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s="21" customFormat="1"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2.5499488758205772E-7</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s="21" customFormat="1"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7.47985003574036E-8</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s="21" customFormat="1"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2.0739584190007364E-7</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s="21" customFormat="1"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s="21" customFormat="1"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6.4598704854121283E-8</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s="21" customFormat="1"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3.4339311527717102E-7</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s="21" customFormat="1"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5.1278253046434368E-8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s="21" customFormat="1"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4.4205390557271004E-10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s="21" customFormat="1"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2.9470260371514004E-10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s="21" customFormat="1"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3.1827881201235126E-6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s="21" customFormat="1"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6.1887546780179402E-8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s="21" customFormat="1"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1.9155669241484104E-8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s="21" customFormat="1"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2.3576208297211208E-8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s="21" customFormat="1"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4.7152416594422404E-11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s="21" customFormat="1"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1.2819563261608592E-8</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s="21" customFormat="1"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1.5913940600617563E-8</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-7.3669999999999991E-6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-8.3499999999999997E-6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Motorbike, gasoline, 11-35kW, EURO-5, 2020</v>
      </c>
    </row>
    <row r="382" spans="1:8" x14ac:dyDescent="0.3">
      <c r="A382" t="s">
        <v>73</v>
      </c>
      <c r="B382" t="s">
        <v>37</v>
      </c>
    </row>
    <row r="383" spans="1:8" x14ac:dyDescent="0.3">
      <c r="A383" t="s">
        <v>87</v>
      </c>
      <c r="B383" t="s">
        <v>696</v>
      </c>
    </row>
    <row r="384" spans="1:8" x14ac:dyDescent="0.3">
      <c r="A384" t="s">
        <v>88</v>
      </c>
      <c r="B384" s="12"/>
    </row>
    <row r="385" spans="1:2" x14ac:dyDescent="0.3">
      <c r="A385" t="s">
        <v>89</v>
      </c>
      <c r="B385" s="12">
        <v>2020</v>
      </c>
    </row>
    <row r="386" spans="1:2" x14ac:dyDescent="0.3">
      <c r="A386" t="s">
        <v>131</v>
      </c>
      <c r="B386" s="12" t="str">
        <f>B383&amp;" - "&amp;B385&amp;" - "&amp;B382</f>
        <v>Motorbike, gasoline, 11-35kW, EURO-5 - 2020 - CH</v>
      </c>
    </row>
    <row r="387" spans="1:2" x14ac:dyDescent="0.3">
      <c r="A387" t="s">
        <v>74</v>
      </c>
      <c r="B387" s="12" t="str">
        <f>"transport, "&amp;B383</f>
        <v>transport, Motorbike, gasoline, 11-35kW, EURO-5</v>
      </c>
    </row>
    <row r="388" spans="1:2" x14ac:dyDescent="0.3">
      <c r="A388" t="s">
        <v>75</v>
      </c>
      <c r="B388" t="s">
        <v>76</v>
      </c>
    </row>
    <row r="389" spans="1:2" x14ac:dyDescent="0.3">
      <c r="A389" t="s">
        <v>77</v>
      </c>
      <c r="B389" t="s">
        <v>172</v>
      </c>
    </row>
    <row r="390" spans="1:2" x14ac:dyDescent="0.3">
      <c r="A390" t="s">
        <v>79</v>
      </c>
      <c r="B390" t="s">
        <v>90</v>
      </c>
    </row>
    <row r="391" spans="1:2" x14ac:dyDescent="0.3">
      <c r="A391" t="s">
        <v>132</v>
      </c>
      <c r="B391">
        <f>INDEX('vehicles specifications'!$B$3:$CK$86,MATCH(B386,'vehicles specifications'!$A$3:$A$86,0),MATCH("Lifetime [km]",'vehicles specifications'!$B$2:$CK$2,0))</f>
        <v>62100</v>
      </c>
    </row>
    <row r="392" spans="1:2" x14ac:dyDescent="0.3">
      <c r="A392" t="s">
        <v>133</v>
      </c>
      <c r="B392">
        <f>INDEX('vehicles specifications'!$B$3:$CK$86,MATCH(B386,'vehicles specifications'!$A$3:$A$86,0),MATCH("Passengers [unit]",'vehicles specifications'!$B$2:$CK$2,0))</f>
        <v>1.1000000000000001</v>
      </c>
    </row>
    <row r="393" spans="1:2" x14ac:dyDescent="0.3">
      <c r="A393" t="s">
        <v>134</v>
      </c>
      <c r="B393">
        <f>INDEX('vehicles specifications'!$B$3:$CK$86,MATCH(B386,'vehicles specifications'!$A$3:$A$86,0),MATCH("Servicing [unit]",'vehicles specifications'!$B$2:$CK$2,0))</f>
        <v>1.242</v>
      </c>
    </row>
    <row r="394" spans="1:2" x14ac:dyDescent="0.3">
      <c r="A394" t="s">
        <v>135</v>
      </c>
      <c r="B394">
        <f>INDEX('vehicles specifications'!$B$3:$CK$86,MATCH(B386,'vehicles specifications'!$A$3:$A$86,0),MATCH("Energy battery replacement [unit]",'vehicles specifications'!$B$2:$CK$2,0))</f>
        <v>0</v>
      </c>
    </row>
    <row r="395" spans="1:2" x14ac:dyDescent="0.3">
      <c r="A395" t="s">
        <v>136</v>
      </c>
      <c r="B395">
        <f>INDEX('vehicles specifications'!$B$3:$CK$86,MATCH(B386,'vehicles specifications'!$A$3:$A$86,0),MATCH("Annual kilometers [km]",'vehicles specifications'!$B$2:$CK$2,0))</f>
        <v>4592</v>
      </c>
    </row>
    <row r="396" spans="1:2" x14ac:dyDescent="0.3">
      <c r="A396" t="s">
        <v>137</v>
      </c>
      <c r="B396" s="2">
        <f>INDEX('vehicles specifications'!$B$3:$CK$86,MATCH(B386,'vehicles specifications'!$A$3:$A$86,0),MATCH("Curb mass [kg]",'vehicles specifications'!$B$2:$CK$2,0))</f>
        <v>155.9375</v>
      </c>
    </row>
    <row r="397" spans="1:2" x14ac:dyDescent="0.3">
      <c r="A397" t="s">
        <v>138</v>
      </c>
      <c r="B397">
        <f>INDEX('vehicles specifications'!$B$3:$CK$86,MATCH(B386,'vehicles specifications'!$A$3:$A$86,0),MATCH("Power [kW]",'vehicles specifications'!$B$2:$CK$2,0))</f>
        <v>20</v>
      </c>
    </row>
    <row r="398" spans="1:2" x14ac:dyDescent="0.3">
      <c r="A398" t="s">
        <v>139</v>
      </c>
      <c r="B398">
        <f>INDEX('vehicles specifications'!$B$3:$CK$86,MATCH(B386,'vehicles specifications'!$A$3:$A$86,0),MATCH("Energy battery mass [kg]",'vehicles specifications'!$B$2:$CK$2,0))</f>
        <v>0</v>
      </c>
    </row>
    <row r="399" spans="1:2" x14ac:dyDescent="0.3">
      <c r="A399" t="s">
        <v>140</v>
      </c>
      <c r="B399">
        <f>INDEX('vehicles specifications'!$B$3:$CK$86,MATCH(B386,'vehicles specifications'!$A$3:$A$86,0),MATCH("Electric energy available [kWh]",'vehicles specifications'!$B$2:$CK$2,0))</f>
        <v>0</v>
      </c>
    </row>
    <row r="400" spans="1:2" x14ac:dyDescent="0.3">
      <c r="A400" t="s">
        <v>143</v>
      </c>
      <c r="B400" s="2">
        <f>INDEX('vehicles specifications'!$B$3:$CK$86,MATCH(B386,'vehicles specifications'!$A$3:$A$86,0),MATCH("Oxydation energy stored [kWh]",'vehicles specifications'!$B$2:$CK$2,0))</f>
        <v>132.5</v>
      </c>
    </row>
    <row r="401" spans="1:8" x14ac:dyDescent="0.3">
      <c r="A401" t="s">
        <v>145</v>
      </c>
      <c r="B401">
        <f>INDEX('vehicles specifications'!$B$3:$CK$86,MATCH(B386,'vehicles specifications'!$A$3:$A$86,0),MATCH("Fuel mass [kg]",'vehicles specifications'!$B$2:$CK$2,0))</f>
        <v>11.25</v>
      </c>
    </row>
    <row r="402" spans="1:8" x14ac:dyDescent="0.3">
      <c r="A402" t="s">
        <v>141</v>
      </c>
      <c r="B402" s="2">
        <f>INDEX('vehicles specifications'!$B$3:$CK$86,MATCH(B386,'vehicles specifications'!$A$3:$A$86,0),MATCH("Range [km]",'vehicles specifications'!$B$2:$CK$2,0))</f>
        <v>326.98603659702172</v>
      </c>
    </row>
    <row r="403" spans="1:8" x14ac:dyDescent="0.3">
      <c r="A403" t="s">
        <v>142</v>
      </c>
      <c r="B403" t="str">
        <f>INDEX('vehicles specifications'!$B$3:$CK$86,MATCH(B386,'vehicles specifications'!$A$3:$A$86,0),MATCH("Emission standard",'vehicles specifications'!$B$2:$CK$2,0))</f>
        <v>EURO-5</v>
      </c>
    </row>
    <row r="404" spans="1:8" x14ac:dyDescent="0.3">
      <c r="A404" t="s">
        <v>144</v>
      </c>
      <c r="B404" s="6">
        <f>INDEX('vehicles specifications'!$B$3:$CK$86,MATCH(B386,'vehicles specifications'!$A$3:$A$86,0),MATCH("Lightweighting rate [%]",'vehicles specifications'!$B$2:$CK$2,0))</f>
        <v>0</v>
      </c>
    </row>
    <row r="405" spans="1:8" x14ac:dyDescent="0.3">
      <c r="A405"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20 kW. Lifetime: 62100 km. Annual kilometers: 4592 km. Number of passengers: 1.1. Curb mass: 155.9 kg. Lightweighting of glider: 0%. Emission standard: EURO-5. Service visits throughout lifetime: 1.2. Range: 327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t="s">
        <v>81</v>
      </c>
      <c r="B407" t="s">
        <v>82</v>
      </c>
      <c r="C407" t="s">
        <v>73</v>
      </c>
      <c r="D407" t="s">
        <v>77</v>
      </c>
      <c r="E407" t="s">
        <v>83</v>
      </c>
      <c r="F407" t="s">
        <v>75</v>
      </c>
      <c r="G407" t="s">
        <v>84</v>
      </c>
      <c r="H407" t="s">
        <v>74</v>
      </c>
    </row>
    <row r="408" spans="1:8" x14ac:dyDescent="0.3">
      <c r="A408" s="12" t="str">
        <f>B381</f>
        <v>transport, Motorbike, gasoline, 11-35kW, EURO-5, 2020</v>
      </c>
      <c r="B408" s="12">
        <v>1</v>
      </c>
      <c r="C408" s="12" t="str">
        <f>B382</f>
        <v>CH</v>
      </c>
      <c r="D408" s="12" t="s">
        <v>172</v>
      </c>
      <c r="E408" s="12"/>
      <c r="F408" s="12" t="s">
        <v>85</v>
      </c>
      <c r="G408" s="12" t="s">
        <v>86</v>
      </c>
      <c r="H408" s="12" t="str">
        <f>B387</f>
        <v>transport, Motorbike, gasoline, 11-35kW, EURO-5</v>
      </c>
    </row>
    <row r="409" spans="1:8" x14ac:dyDescent="0.3">
      <c r="A409" s="12" t="str">
        <f>RIGHT(A408,LEN(A408)-11)</f>
        <v>Motorbike, gasoline, 11-35kW, EURO-5, 2020</v>
      </c>
      <c r="B409" s="12">
        <f>1/B391</f>
        <v>1.6103059581320449E-5</v>
      </c>
      <c r="C409" s="12" t="str">
        <f>B382</f>
        <v>CH</v>
      </c>
      <c r="D409" s="12" t="s">
        <v>77</v>
      </c>
      <c r="E409" s="12"/>
      <c r="F409" s="12" t="s">
        <v>91</v>
      </c>
      <c r="G409" s="12"/>
      <c r="H409" s="12" t="str">
        <f>RIGHT(H408,LEN(H408)-11)</f>
        <v>Motorbike, gasoline, 11-35kW, EURO-5</v>
      </c>
    </row>
    <row r="410" spans="1:8" s="21" customFormat="1"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1.2830943749999999E-4</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road maintenance</v>
      </c>
      <c r="B411" s="16">
        <f>INDEX('vehicles specifications'!$B$3:$CK$86,MATCH(B386,'vehicles specifications'!$A$3:$A$86,0),MATCH(G411,'vehicles specifications'!$B$2:$CK$2,0))*INDEX('ei names mapping'!$B$137:$BK$220,MATCH(B386,'ei names mapping'!$A$137:$A$220,0),MATCH(G411,'ei names mapping'!$B$136:$BK$136,0))</f>
        <v>1.2899999999999999E-3</v>
      </c>
      <c r="C411" s="12" t="str">
        <f>INDEX('ei names mapping'!$B$38:$R$67,MATCH(B383,'ei names mapping'!$A$4:$A$33,0),MATCH(G411,'ei names mapping'!$B$3:$R$3,0))</f>
        <v>CH</v>
      </c>
      <c r="D411" s="12" t="str">
        <f>INDEX('ei names mapping'!$B$104:$BK$133,MATCH(B383,'ei names mapping'!$A$4:$A$33,0),MATCH(G411,'ei names mapping'!$B$3:$BK$3,0))</f>
        <v>meter-year</v>
      </c>
      <c r="E411" s="12"/>
      <c r="F411" s="12" t="s">
        <v>91</v>
      </c>
      <c r="G411" t="s">
        <v>117</v>
      </c>
      <c r="H411" s="12" t="str">
        <f>INDEX('ei names mapping'!$B$71:$BK$100,MATCH(B383,'ei names mapping'!$A$4:$A$33,0),MATCH(G411,'ei names mapping'!$B$3:$BK$3,0))</f>
        <v>road maintenance</v>
      </c>
    </row>
    <row r="412" spans="1:8" x14ac:dyDescent="0.3">
      <c r="A412" s="12" t="str">
        <f>INDEX('ei names mapping'!$B$4:$R$33,MATCH(B383,'ei names mapping'!$A$4:$A$33,0),MATCH(G412,'ei names mapping'!$B$3:$R$3,0))</f>
        <v>maintenance, motor scooter</v>
      </c>
      <c r="B412" s="16">
        <f>INDEX('vehicles specifications'!$B$3:$CK$86,MATCH(B386,'vehicles specifications'!$A$3:$A$86,0),MATCH(G412,'vehicles specifications'!$B$2:$CK$2,0))*INDEX('ei names mapping'!$B$137:$BK$220,MATCH(B386,'ei names mapping'!$A$137:$A$220,0),MATCH(G412,'ei names mapping'!$B$136:$BK$136,0))</f>
        <v>1.9999999999999998E-5</v>
      </c>
      <c r="C412" s="12" t="str">
        <f>INDEX('ei names mapping'!$B$38:$BK$67,MATCH(B383,'ei names mapping'!$A$4:$A$33,0),MATCH(G412,'ei names mapping'!$B$3:$BK$3,0))</f>
        <v>CH</v>
      </c>
      <c r="D412" s="12" t="str">
        <f>INDEX('ei names mapping'!$B$104:$BK$133,MATCH(B383,'ei names mapping'!$A$4:$A$33,0),MATCH(G412,'ei names mapping'!$B$3:$BK$3,0))</f>
        <v>unit</v>
      </c>
      <c r="F412" s="12" t="s">
        <v>91</v>
      </c>
      <c r="G412" s="12" t="s">
        <v>123</v>
      </c>
      <c r="H412" s="12" t="str">
        <f>INDEX('ei names mapping'!$B$71:$BK$100,MATCH(B383,'ei names mapping'!$A$4:$A$33,0),MATCH(G412,'ei names mapping'!$B$3:$BK$3,0))</f>
        <v>maintenance, motor scooter</v>
      </c>
    </row>
    <row r="413" spans="1:8" x14ac:dyDescent="0.3">
      <c r="A413" s="12" t="str">
        <f>INDEX('ei names mapping'!$B$4:$R$33,MATCH(B383,'ei names mapping'!$A$4:$A$33,0),MATCH(G413,'ei names mapping'!$B$3:$R$3,0))</f>
        <v>market for petrol, low-sulfur</v>
      </c>
      <c r="B413" s="16">
        <f>INDEX('vehicles specifications'!$B$3:$CK$86,MATCH(B386,'vehicles specifications'!$A$3:$A$86,0),MATCH(G413,'vehicles specifications'!$B$2:$CK$2,0))*INDEX('ei names mapping'!$B$137:$BK$220,MATCH(B386,'ei names mapping'!$A$137:$A$220,0),MATCH(G413,'ei names mapping'!$B$136:$BK$136,0))</f>
        <v>3.4405138877121301E-2</v>
      </c>
      <c r="C413" s="12" t="str">
        <f>INDEX('ei names mapping'!$B$38:$BK$67,MATCH(B383,'ei names mapping'!$A$4:$A$33,0),MATCH(G413,'ei names mapping'!$B$3:$BK$3,0))</f>
        <v>CH</v>
      </c>
      <c r="D413" s="12" t="str">
        <f>INDEX('ei names mapping'!$B$104:$BK$133,MATCH(B383,'ei names mapping'!$A$4:$A$33,0),MATCH(G413,'ei names mapping'!$B$3:$BK$3,0))</f>
        <v>kilogram</v>
      </c>
      <c r="F413" s="12" t="s">
        <v>91</v>
      </c>
      <c r="G413" s="12" t="s">
        <v>27</v>
      </c>
      <c r="H413" s="12" t="str">
        <f>INDEX('ei names mapping'!$B$71:$BK$100,MATCH(B383,'ei names mapping'!$A$4:$A$33,0),MATCH(G413,'ei names mapping'!$B$3:$BK$3,0))</f>
        <v>petrol, low-sulfur</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0.10940834162924575</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5.5048222203394077E-7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1.1120861815633757E-6</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2.7420758420675998E-5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1.217425302427384E-4</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8.2468446377972918E-7</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8.2468446377972918E-7</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8.9890099189194488E-6</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2.0617111594493231E-6</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s="21" customFormat="1"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8.9680532716447633E-6</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s="21" customFormat="1"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6.3236273069289983E-7</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s="21" customFormat="1"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1.2885134010983853E-7</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s="21" customFormat="1"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1.0387400341162367E-6</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s="21" customFormat="1"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4.2620058651715824E-7</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s="21" customFormat="1"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3.1915485781052317E-7</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s="21" customFormat="1"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2.2598542726956295E-7</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s="21" customFormat="1"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1.4669229489427773E-7</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s="21" customFormat="1"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1.4470996658489557E-6</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s="21" customFormat="1"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7.572494141839741E-7</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s="21" customFormat="1"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2.1805611403203451E-8</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s="21" customFormat="1"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2.1765964837015801E-6</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s="21" customFormat="1"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1.0764042719944975E-6</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s="21" customFormat="1"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4.4800619792036162E-7</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s="21" customFormat="1"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3.3699581259496236E-7</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s="21" customFormat="1"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1.4867462320365984E-7</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s="21" customFormat="1"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4.3611222806406902E-8</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s="21" customFormat="1"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1.2092202687231004E-7</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s="21" customFormat="1"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s="21" customFormat="1"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3.7664237878260496E-8</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s="21" customFormat="1"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2.0021515924759527E-7</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s="21" customFormat="1"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5.0765470515970023E-8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s="21" customFormat="1"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4.3763336651698293E-10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s="21" customFormat="1"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2.9175557767798862E-10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s="21" customFormat="1"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3.1509602389222774E-6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s="21" customFormat="1"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6.1268671312377613E-8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s="21" customFormat="1"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1.8964112549069262E-8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s="21" customFormat="1"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2.3340446214239096E-8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s="21" customFormat="1"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4.6680892428478179E-11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s="21" customFormat="1"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1.2691367628992506E-8</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s="21" customFormat="1"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1.5754801194611389E-8</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-7.3669999999999991E-6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-8.3499999999999997E-6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Motorbike, gasoline, 11-35kW, EURO-5, 2030</v>
      </c>
    </row>
    <row r="459" spans="1:8" x14ac:dyDescent="0.3">
      <c r="A459" t="s">
        <v>73</v>
      </c>
      <c r="B459" t="s">
        <v>37</v>
      </c>
    </row>
    <row r="460" spans="1:8" x14ac:dyDescent="0.3">
      <c r="A460" t="s">
        <v>87</v>
      </c>
      <c r="B460" t="s">
        <v>696</v>
      </c>
    </row>
    <row r="461" spans="1:8" x14ac:dyDescent="0.3">
      <c r="A461" t="s">
        <v>88</v>
      </c>
      <c r="B461" s="12"/>
    </row>
    <row r="462" spans="1:8" x14ac:dyDescent="0.3">
      <c r="A462" t="s">
        <v>89</v>
      </c>
      <c r="B462" s="12">
        <v>2030</v>
      </c>
    </row>
    <row r="463" spans="1:8" x14ac:dyDescent="0.3">
      <c r="A463" t="s">
        <v>131</v>
      </c>
      <c r="B463" s="12" t="str">
        <f>B460&amp;" - "&amp;B462&amp;" - "&amp;B459</f>
        <v>Motorbike, gasoline, 11-35kW, EURO-5 - 2030 - CH</v>
      </c>
    </row>
    <row r="464" spans="1:8" x14ac:dyDescent="0.3">
      <c r="A464" t="s">
        <v>74</v>
      </c>
      <c r="B464" s="12" t="str">
        <f>"transport, "&amp;B460</f>
        <v>transport, Motorbike, gasoline, 11-35kW, EURO-5</v>
      </c>
    </row>
    <row r="465" spans="1:2" x14ac:dyDescent="0.3">
      <c r="A465" t="s">
        <v>75</v>
      </c>
      <c r="B465" t="s">
        <v>76</v>
      </c>
    </row>
    <row r="466" spans="1:2" x14ac:dyDescent="0.3">
      <c r="A466" t="s">
        <v>77</v>
      </c>
      <c r="B466" t="s">
        <v>172</v>
      </c>
    </row>
    <row r="467" spans="1:2" x14ac:dyDescent="0.3">
      <c r="A467" t="s">
        <v>79</v>
      </c>
      <c r="B467" t="s">
        <v>90</v>
      </c>
    </row>
    <row r="468" spans="1:2" x14ac:dyDescent="0.3">
      <c r="A468" t="s">
        <v>132</v>
      </c>
      <c r="B468">
        <f>INDEX('vehicles specifications'!$B$3:$CK$86,MATCH(B463,'vehicles specifications'!$A$3:$A$86,0),MATCH("Lifetime [km]",'vehicles specifications'!$B$2:$CK$2,0))</f>
        <v>62100</v>
      </c>
    </row>
    <row r="469" spans="1:2" x14ac:dyDescent="0.3">
      <c r="A469" t="s">
        <v>133</v>
      </c>
      <c r="B469">
        <f>INDEX('vehicles specifications'!$B$3:$CK$86,MATCH(B463,'vehicles specifications'!$A$3:$A$86,0),MATCH("Passengers [unit]",'vehicles specifications'!$B$2:$CK$2,0))</f>
        <v>1.1000000000000001</v>
      </c>
    </row>
    <row r="470" spans="1:2" x14ac:dyDescent="0.3">
      <c r="A470" t="s">
        <v>134</v>
      </c>
      <c r="B470">
        <f>INDEX('vehicles specifications'!$B$3:$CK$86,MATCH(B463,'vehicles specifications'!$A$3:$A$86,0),MATCH("Servicing [unit]",'vehicles specifications'!$B$2:$CK$2,0))</f>
        <v>1.242</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4592</v>
      </c>
    </row>
    <row r="473" spans="1:2" x14ac:dyDescent="0.3">
      <c r="A473" t="s">
        <v>137</v>
      </c>
      <c r="B473" s="2">
        <f>INDEX('vehicles specifications'!$B$3:$CK$86,MATCH(B463,'vehicles specifications'!$A$3:$A$86,0),MATCH("Curb mass [kg]",'vehicles specifications'!$B$2:$CK$2,0))</f>
        <v>153.50749999999999</v>
      </c>
    </row>
    <row r="474" spans="1:2" x14ac:dyDescent="0.3">
      <c r="A474" t="s">
        <v>138</v>
      </c>
      <c r="B474">
        <f>INDEX('vehicles specifications'!$B$3:$CK$86,MATCH(B463,'vehicles specifications'!$A$3:$A$86,0),MATCH("Power [kW]",'vehicles specifications'!$B$2:$CK$2,0))</f>
        <v>20</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s="2">
        <f>INDEX('vehicles specifications'!$B$3:$CK$86,MATCH(B463,'vehicles specifications'!$A$3:$A$86,0),MATCH("Oxydation energy stored [kWh]",'vehicles specifications'!$B$2:$CK$2,0))</f>
        <v>132.5</v>
      </c>
    </row>
    <row r="478" spans="1:2" x14ac:dyDescent="0.3">
      <c r="A478" t="s">
        <v>145</v>
      </c>
      <c r="B478">
        <f>INDEX('vehicles specifications'!$B$3:$CK$86,MATCH(B463,'vehicles specifications'!$A$3:$A$86,0),MATCH("Fuel mass [kg]",'vehicles specifications'!$B$2:$CK$2,0))</f>
        <v>11.25</v>
      </c>
    </row>
    <row r="479" spans="1:2" x14ac:dyDescent="0.3">
      <c r="A479" t="s">
        <v>141</v>
      </c>
      <c r="B479" s="2">
        <f>INDEX('vehicles specifications'!$B$3:$CK$86,MATCH(B463,'vehicles specifications'!$A$3:$A$86,0),MATCH("Range [km]",'vehicles specifications'!$B$2:$CK$2,0))</f>
        <v>330.28892585557753</v>
      </c>
    </row>
    <row r="480" spans="1:2" x14ac:dyDescent="0.3">
      <c r="A480" t="s">
        <v>142</v>
      </c>
      <c r="B480" t="str">
        <f>INDEX('vehicles specifications'!$B$3:$CK$86,MATCH(B463,'vehicles specifications'!$A$3:$A$86,0),MATCH("Emission standard",'vehicles specifications'!$B$2:$CK$2,0))</f>
        <v>EURO-5</v>
      </c>
    </row>
    <row r="481" spans="1:8" x14ac:dyDescent="0.3">
      <c r="A481" t="s">
        <v>144</v>
      </c>
      <c r="B481" s="6">
        <f>INDEX('vehicles specifications'!$B$3:$CK$86,MATCH(B463,'vehicles specifications'!$A$3:$A$86,0),MATCH("Lightweighting rate [%]",'vehicles specifications'!$B$2:$CK$2,0))</f>
        <v>0.03</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20 kW. Lifetime: 62100 km. Annual kilometers: 4592 km. Number of passengers: 1.1. Curb mass: 153.5 kg. Lightweighting of glider: 3%. Emission standard: EURO-5. Service visits throughout lifetime: 1.2. Range: 330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Motorbike, gasoline, 11-35kW, EURO-5, 2030</v>
      </c>
      <c r="B485" s="12">
        <v>1</v>
      </c>
      <c r="C485" s="12" t="str">
        <f>B459</f>
        <v>CH</v>
      </c>
      <c r="D485" s="12" t="s">
        <v>172</v>
      </c>
      <c r="E485" s="12"/>
      <c r="F485" s="12" t="s">
        <v>85</v>
      </c>
      <c r="G485" s="12" t="s">
        <v>86</v>
      </c>
      <c r="H485" s="12" t="str">
        <f>B464</f>
        <v>transport, Motorbike, gasoline, 11-35kW, EURO-5</v>
      </c>
    </row>
    <row r="486" spans="1:8" x14ac:dyDescent="0.3">
      <c r="A486" s="12" t="str">
        <f>RIGHT(A485,LEN(A485)-11)</f>
        <v>Motorbike, gasoline, 11-35kW, EURO-5, 2030</v>
      </c>
      <c r="B486" s="12">
        <f>1/B468</f>
        <v>1.6103059581320449E-5</v>
      </c>
      <c r="C486" s="12" t="str">
        <f>B459</f>
        <v>CH</v>
      </c>
      <c r="D486" s="12" t="s">
        <v>77</v>
      </c>
      <c r="E486" s="12"/>
      <c r="F486" s="12" t="s">
        <v>91</v>
      </c>
      <c r="G486" s="12"/>
      <c r="H486" s="12" t="str">
        <f>RIGHT(H485,LEN(H485)-11)</f>
        <v>Motorbike, gasoline, 11-35kW, EURO-5</v>
      </c>
    </row>
    <row r="487" spans="1:8" s="21" customFormat="1"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1.2700452749999999E-4</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road maintenance</v>
      </c>
      <c r="B488" s="16">
        <f>INDEX('vehicles specifications'!$B$3:$CK$86,MATCH(B463,'vehicles specifications'!$A$3:$A$86,0),MATCH(G488,'vehicles specifications'!$B$2:$CK$2,0))*INDEX('ei names mapping'!$B$137:$BK$220,MATCH(B463,'ei names mapping'!$A$137:$A$220,0),MATCH(G488,'ei names mapping'!$B$136:$BK$136,0))</f>
        <v>1.2899999999999999E-3</v>
      </c>
      <c r="C488" s="12" t="str">
        <f>INDEX('ei names mapping'!$B$38:$R$67,MATCH(B460,'ei names mapping'!$A$4:$A$33,0),MATCH(G488,'ei names mapping'!$B$3:$R$3,0))</f>
        <v>CH</v>
      </c>
      <c r="D488" s="12" t="str">
        <f>INDEX('ei names mapping'!$B$104:$BK$133,MATCH(B460,'ei names mapping'!$A$4:$A$33,0),MATCH(G488,'ei names mapping'!$B$3:$BK$3,0))</f>
        <v>meter-year</v>
      </c>
      <c r="E488" s="12"/>
      <c r="F488" s="12" t="s">
        <v>91</v>
      </c>
      <c r="G488" t="s">
        <v>117</v>
      </c>
      <c r="H488" s="12" t="str">
        <f>INDEX('ei names mapping'!$B$71:$BK$100,MATCH(B460,'ei names mapping'!$A$4:$A$33,0),MATCH(G488,'ei names mapping'!$B$3:$BK$3,0))</f>
        <v>road maintenance</v>
      </c>
    </row>
    <row r="489" spans="1:8" x14ac:dyDescent="0.3">
      <c r="A489" s="12" t="str">
        <f>INDEX('ei names mapping'!$B$4:$R$33,MATCH(B460,'ei names mapping'!$A$4:$A$33,0),MATCH(G489,'ei names mapping'!$B$3:$R$3,0))</f>
        <v>maintenance, motor scooter</v>
      </c>
      <c r="B489" s="16">
        <f>INDEX('vehicles specifications'!$B$3:$CK$86,MATCH(B463,'vehicles specifications'!$A$3:$A$86,0),MATCH(G489,'vehicles specifications'!$B$2:$CK$2,0))*INDEX('ei names mapping'!$B$137:$BK$220,MATCH(B463,'ei names mapping'!$A$137:$A$220,0),MATCH(G489,'ei names mapping'!$B$136:$BK$136,0))</f>
        <v>1.9999999999999998E-5</v>
      </c>
      <c r="C489" s="12" t="str">
        <f>INDEX('ei names mapping'!$B$38:$BK$67,MATCH(B460,'ei names mapping'!$A$4:$A$33,0),MATCH(G489,'ei names mapping'!$B$3:$BK$3,0))</f>
        <v>CH</v>
      </c>
      <c r="D489" s="12" t="str">
        <f>INDEX('ei names mapping'!$B$104:$BK$133,MATCH(B460,'ei names mapping'!$A$4:$A$33,0),MATCH(G489,'ei names mapping'!$B$3:$BK$3,0))</f>
        <v>unit</v>
      </c>
      <c r="F489" s="12" t="s">
        <v>91</v>
      </c>
      <c r="G489" s="12" t="s">
        <v>123</v>
      </c>
      <c r="H489" s="12" t="str">
        <f>INDEX('ei names mapping'!$B$71:$BK$100,MATCH(B460,'ei names mapping'!$A$4:$A$33,0),MATCH(G489,'ei names mapping'!$B$3:$BK$3,0))</f>
        <v>maintenance, motor scooter</v>
      </c>
    </row>
    <row r="490" spans="1:8" x14ac:dyDescent="0.3">
      <c r="A490" s="12" t="str">
        <f>INDEX('ei names mapping'!$B$4:$R$33,MATCH(B460,'ei names mapping'!$A$4:$A$33,0),MATCH(G490,'ei names mapping'!$B$3:$R$3,0))</f>
        <v>market for petrol, low-sulfur</v>
      </c>
      <c r="B490" s="16">
        <f>INDEX('vehicles specifications'!$B$3:$CK$86,MATCH(B463,'vehicles specifications'!$A$3:$A$86,0),MATCH(G490,'vehicles specifications'!$B$2:$CK$2,0))*INDEX('ei names mapping'!$B$137:$BK$220,MATCH(B463,'ei names mapping'!$A$137:$A$220,0),MATCH(G490,'ei names mapping'!$B$136:$BK$136,0))</f>
        <v>3.4061087488350086E-2</v>
      </c>
      <c r="C490" s="12" t="str">
        <f>INDEX('ei names mapping'!$B$38:$BK$67,MATCH(B460,'ei names mapping'!$A$4:$A$33,0),MATCH(G490,'ei names mapping'!$B$3:$BK$3,0))</f>
        <v>CH</v>
      </c>
      <c r="D490" s="12" t="str">
        <f>INDEX('ei names mapping'!$B$104:$BK$133,MATCH(B460,'ei names mapping'!$A$4:$A$33,0),MATCH(G490,'ei names mapping'!$B$3:$BK$3,0))</f>
        <v>kilogram</v>
      </c>
      <c r="F490" s="12" t="s">
        <v>91</v>
      </c>
      <c r="G490" s="12" t="s">
        <v>27</v>
      </c>
      <c r="H490" s="12" t="str">
        <f>INDEX('ei names mapping'!$B$71:$BK$100,MATCH(B460,'ei names mapping'!$A$4:$A$33,0),MATCH(G490,'ei names mapping'!$B$3:$BK$3,0))</f>
        <v>petrol, low-sulfur</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0.10831425821295328</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5.4497739981360134E-7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1.1009653197477418E-6</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2.7146550836469235E-5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1.2052510494031101E-4</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8.1643761914193182E-7</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8.1643761914193182E-7</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8.8991198197302526E-6</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2.0410940478548298E-6</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s="21" customFormat="1"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8.8783727389283155E-6</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s="21" customFormat="1"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6.2603910338597077E-7</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s="21" customFormat="1"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1.2756282670874015E-7</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s="21" customFormat="1"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1.0283526337750743E-6</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s="21" customFormat="1"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4.2193858065198663E-7</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s="21" customFormat="1"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3.1596330923241792E-7</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s="21" customFormat="1"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2.2372557299686732E-7</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s="21" customFormat="1"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1.4522537194533496E-7</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s="21" customFormat="1"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1.4326286691904661E-6</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s="21" customFormat="1"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7.4967692004213441E-7</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s="21" customFormat="1"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2.1587555289171415E-8</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s="21" customFormat="1"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2.154830518864564E-6</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s="21" customFormat="1"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1.0656402292745523E-6</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s="21" customFormat="1"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4.4352613594115801E-7</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s="21" customFormat="1"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3.3362585446901273E-7</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s="21" customFormat="1"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1.4718787697162324E-7</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s="21" customFormat="1"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4.317511057834283E-8</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s="21" customFormat="1"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1.1971280660358694E-7</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s="21" customFormat="1"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s="21" customFormat="1"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3.7287595499477888E-8</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s="21" customFormat="1"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1.9821300765511932E-7</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s="21" customFormat="1"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5.0257815810810321E-8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s="21" customFormat="1"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4.3325703285181307E-10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s="21" customFormat="1"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2.8883802190120875E-10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s="21" customFormat="1"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3.1194506365330544E-6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s="21" customFormat="1"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6.0655984599253833E-8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s="21" customFormat="1"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1.877447142357857E-8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s="21" customFormat="1"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2.3107041752096703E-8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s="21" customFormat="1"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4.6214083504193395E-11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s="21" customFormat="1"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1.256445395270258E-8</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s="21" customFormat="1"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1.5597253182665274E-8</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-7.3669999999999991E-6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-8.3499999999999997E-6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Motorbike, gasoline, 11-35kW, EURO-5, 2040</v>
      </c>
    </row>
    <row r="536" spans="1:8" x14ac:dyDescent="0.3">
      <c r="A536" t="s">
        <v>73</v>
      </c>
      <c r="B536" t="s">
        <v>37</v>
      </c>
    </row>
    <row r="537" spans="1:8" x14ac:dyDescent="0.3">
      <c r="A537" t="s">
        <v>87</v>
      </c>
      <c r="B537" t="s">
        <v>696</v>
      </c>
    </row>
    <row r="538" spans="1:8" x14ac:dyDescent="0.3">
      <c r="A538" t="s">
        <v>88</v>
      </c>
      <c r="B538" s="12"/>
    </row>
    <row r="539" spans="1:8" x14ac:dyDescent="0.3">
      <c r="A539" t="s">
        <v>89</v>
      </c>
      <c r="B539" s="12">
        <v>2040</v>
      </c>
    </row>
    <row r="540" spans="1:8" x14ac:dyDescent="0.3">
      <c r="A540" t="s">
        <v>131</v>
      </c>
      <c r="B540" s="12" t="str">
        <f>B537&amp;" - "&amp;B539&amp;" - "&amp;B536</f>
        <v>Motorbike, gasoline, 11-35kW, EURO-5 - 2040 - CH</v>
      </c>
    </row>
    <row r="541" spans="1:8" x14ac:dyDescent="0.3">
      <c r="A541" t="s">
        <v>74</v>
      </c>
      <c r="B541" s="12" t="str">
        <f>"transport, "&amp;B537</f>
        <v>transport, Motorbike, gasoline, 11-35kW, EURO-5</v>
      </c>
    </row>
    <row r="542" spans="1:8" x14ac:dyDescent="0.3">
      <c r="A542" t="s">
        <v>75</v>
      </c>
      <c r="B542" t="s">
        <v>76</v>
      </c>
    </row>
    <row r="543" spans="1:8" x14ac:dyDescent="0.3">
      <c r="A543" t="s">
        <v>77</v>
      </c>
      <c r="B543" t="s">
        <v>172</v>
      </c>
    </row>
    <row r="544" spans="1:8" x14ac:dyDescent="0.3">
      <c r="A544" t="s">
        <v>79</v>
      </c>
      <c r="B544" t="s">
        <v>90</v>
      </c>
    </row>
    <row r="545" spans="1:2" x14ac:dyDescent="0.3">
      <c r="A545" t="s">
        <v>132</v>
      </c>
      <c r="B545">
        <f>INDEX('vehicles specifications'!$B$3:$CK$86,MATCH(B540,'vehicles specifications'!$A$3:$A$86,0),MATCH("Lifetime [km]",'vehicles specifications'!$B$2:$CK$2,0))</f>
        <v>62100</v>
      </c>
    </row>
    <row r="546" spans="1:2" x14ac:dyDescent="0.3">
      <c r="A546" t="s">
        <v>133</v>
      </c>
      <c r="B546">
        <f>INDEX('vehicles specifications'!$B$3:$CK$86,MATCH(B540,'vehicles specifications'!$A$3:$A$86,0),MATCH("Passengers [unit]",'vehicles specifications'!$B$2:$CK$2,0))</f>
        <v>1.1000000000000001</v>
      </c>
    </row>
    <row r="547" spans="1:2" x14ac:dyDescent="0.3">
      <c r="A547" t="s">
        <v>134</v>
      </c>
      <c r="B547">
        <f>INDEX('vehicles specifications'!$B$3:$CK$86,MATCH(B540,'vehicles specifications'!$A$3:$A$86,0),MATCH("Servicing [unit]",'vehicles specifications'!$B$2:$CK$2,0))</f>
        <v>1.242</v>
      </c>
    </row>
    <row r="548" spans="1:2" x14ac:dyDescent="0.3">
      <c r="A548" t="s">
        <v>135</v>
      </c>
      <c r="B548">
        <f>INDEX('vehicles specifications'!$B$3:$CK$86,MATCH(B540,'vehicles specifications'!$A$3:$A$86,0),MATCH("Energy battery replacement [unit]",'vehicles specifications'!$B$2:$CK$2,0))</f>
        <v>0</v>
      </c>
    </row>
    <row r="549" spans="1:2" x14ac:dyDescent="0.3">
      <c r="A549" t="s">
        <v>136</v>
      </c>
      <c r="B549">
        <f>INDEX('vehicles specifications'!$B$3:$CK$86,MATCH(B540,'vehicles specifications'!$A$3:$A$86,0),MATCH("Annual kilometers [km]",'vehicles specifications'!$B$2:$CK$2,0))</f>
        <v>4592</v>
      </c>
    </row>
    <row r="550" spans="1:2" x14ac:dyDescent="0.3">
      <c r="A550" t="s">
        <v>137</v>
      </c>
      <c r="B550" s="2">
        <f>INDEX('vehicles specifications'!$B$3:$CK$86,MATCH(B540,'vehicles specifications'!$A$3:$A$86,0),MATCH("Curb mass [kg]",'vehicles specifications'!$B$2:$CK$2,0))</f>
        <v>151.88749999999999</v>
      </c>
    </row>
    <row r="551" spans="1:2" x14ac:dyDescent="0.3">
      <c r="A551" t="s">
        <v>138</v>
      </c>
      <c r="B551">
        <f>INDEX('vehicles specifications'!$B$3:$CK$86,MATCH(B540,'vehicles specifications'!$A$3:$A$86,0),MATCH("Power [kW]",'vehicles specifications'!$B$2:$CK$2,0))</f>
        <v>20</v>
      </c>
    </row>
    <row r="552" spans="1:2" x14ac:dyDescent="0.3">
      <c r="A552" t="s">
        <v>139</v>
      </c>
      <c r="B552">
        <f>INDEX('vehicles specifications'!$B$3:$CK$86,MATCH(B540,'vehicles specifications'!$A$3:$A$86,0),MATCH("Energy battery mass [kg]",'vehicles specifications'!$B$2:$CK$2,0))</f>
        <v>0</v>
      </c>
    </row>
    <row r="553" spans="1:2" x14ac:dyDescent="0.3">
      <c r="A553" t="s">
        <v>140</v>
      </c>
      <c r="B553">
        <f>INDEX('vehicles specifications'!$B$3:$CK$86,MATCH(B540,'vehicles specifications'!$A$3:$A$86,0),MATCH("Electric energy available [kWh]",'vehicles specifications'!$B$2:$CK$2,0))</f>
        <v>0</v>
      </c>
    </row>
    <row r="554" spans="1:2" x14ac:dyDescent="0.3">
      <c r="A554" t="s">
        <v>143</v>
      </c>
      <c r="B554" s="2">
        <f>INDEX('vehicles specifications'!$B$3:$CK$86,MATCH(B540,'vehicles specifications'!$A$3:$A$86,0),MATCH("Oxydation energy stored [kWh]",'vehicles specifications'!$B$2:$CK$2,0))</f>
        <v>132.5</v>
      </c>
    </row>
    <row r="555" spans="1:2" x14ac:dyDescent="0.3">
      <c r="A555" t="s">
        <v>145</v>
      </c>
      <c r="B555">
        <f>INDEX('vehicles specifications'!$B$3:$CK$86,MATCH(B540,'vehicles specifications'!$A$3:$A$86,0),MATCH("Fuel mass [kg]",'vehicles specifications'!$B$2:$CK$2,0))</f>
        <v>11.25</v>
      </c>
    </row>
    <row r="556" spans="1:2" x14ac:dyDescent="0.3">
      <c r="A556" t="s">
        <v>141</v>
      </c>
      <c r="B556" s="2">
        <f>INDEX('vehicles specifications'!$B$3:$CK$86,MATCH(B540,'vehicles specifications'!$A$3:$A$86,0),MATCH("Range [km]",'vehicles specifications'!$B$2:$CK$2,0))</f>
        <v>333.62517763189646</v>
      </c>
    </row>
    <row r="557" spans="1:2" x14ac:dyDescent="0.3">
      <c r="A557" t="s">
        <v>142</v>
      </c>
      <c r="B557" t="str">
        <f>INDEX('vehicles specifications'!$B$3:$CK$86,MATCH(B540,'vehicles specifications'!$A$3:$A$86,0),MATCH("Emission standard",'vehicles specifications'!$B$2:$CK$2,0))</f>
        <v>EURO-5</v>
      </c>
    </row>
    <row r="558" spans="1:2" x14ac:dyDescent="0.3">
      <c r="A558" t="s">
        <v>144</v>
      </c>
      <c r="B558" s="6">
        <f>INDEX('vehicles specifications'!$B$3:$CK$86,MATCH(B540,'vehicles specifications'!$A$3:$A$86,0),MATCH("Lightweighting rate [%]",'vehicles specifications'!$B$2:$CK$2,0))</f>
        <v>0.05</v>
      </c>
    </row>
    <row r="559" spans="1:2" x14ac:dyDescent="0.3">
      <c r="A559"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20 kW. Lifetime: 62100 km. Annual kilometers: 4592 km. Number of passengers: 1.1. Curb mass: 151.9 kg. Lightweighting of glider: 5%. Emission standard: EURO-5. Service visits throughout lifetime: 1.2. Range: 334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t="s">
        <v>81</v>
      </c>
      <c r="B561" t="s">
        <v>82</v>
      </c>
      <c r="C561" t="s">
        <v>73</v>
      </c>
      <c r="D561" t="s">
        <v>77</v>
      </c>
      <c r="E561" t="s">
        <v>83</v>
      </c>
      <c r="F561" t="s">
        <v>75</v>
      </c>
      <c r="G561" t="s">
        <v>84</v>
      </c>
      <c r="H561" t="s">
        <v>74</v>
      </c>
    </row>
    <row r="562" spans="1:8" x14ac:dyDescent="0.3">
      <c r="A562" s="12" t="str">
        <f>B535</f>
        <v>transport, Motorbike, gasoline, 11-35kW, EURO-5, 2040</v>
      </c>
      <c r="B562" s="12">
        <v>1</v>
      </c>
      <c r="C562" s="12" t="str">
        <f>B536</f>
        <v>CH</v>
      </c>
      <c r="D562" s="12" t="s">
        <v>172</v>
      </c>
      <c r="E562" s="12"/>
      <c r="F562" s="12" t="s">
        <v>85</v>
      </c>
      <c r="G562" s="12" t="s">
        <v>86</v>
      </c>
      <c r="H562" s="12" t="str">
        <f>B541</f>
        <v>transport, Motorbike, gasoline, 11-35kW, EURO-5</v>
      </c>
    </row>
    <row r="563" spans="1:8" x14ac:dyDescent="0.3">
      <c r="A563" s="12" t="str">
        <f>RIGHT(A562,LEN(A562)-11)</f>
        <v>Motorbike, gasoline, 11-35kW, EURO-5, 2040</v>
      </c>
      <c r="B563" s="12">
        <f>1/B545</f>
        <v>1.6103059581320449E-5</v>
      </c>
      <c r="C563" s="12" t="str">
        <f>B536</f>
        <v>CH</v>
      </c>
      <c r="D563" s="12" t="s">
        <v>77</v>
      </c>
      <c r="E563" s="12"/>
      <c r="F563" s="12" t="s">
        <v>91</v>
      </c>
      <c r="G563" s="12"/>
      <c r="H563" s="12" t="str">
        <f>RIGHT(H562,LEN(H562)-11)</f>
        <v>Motorbike, gasoline, 11-35kW, EURO-5</v>
      </c>
    </row>
    <row r="564" spans="1:8" s="21" customFormat="1"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1.2613458750000001E-4</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road maintenance</v>
      </c>
      <c r="B565" s="16">
        <f>INDEX('vehicles specifications'!$B$3:$CK$86,MATCH(B540,'vehicles specifications'!$A$3:$A$86,0),MATCH(G565,'vehicles specifications'!$B$2:$CK$2,0))*INDEX('ei names mapping'!$B$137:$BK$220,MATCH(B540,'ei names mapping'!$A$137:$A$220,0),MATCH(G565,'ei names mapping'!$B$136:$BK$136,0))</f>
        <v>1.2899999999999999E-3</v>
      </c>
      <c r="C565" s="12" t="str">
        <f>INDEX('ei names mapping'!$B$38:$R$67,MATCH(B537,'ei names mapping'!$A$4:$A$33,0),MATCH(G565,'ei names mapping'!$B$3:$R$3,0))</f>
        <v>CH</v>
      </c>
      <c r="D565" s="12" t="str">
        <f>INDEX('ei names mapping'!$B$104:$BK$133,MATCH(B537,'ei names mapping'!$A$4:$A$33,0),MATCH(G565,'ei names mapping'!$B$3:$BK$3,0))</f>
        <v>meter-year</v>
      </c>
      <c r="E565" s="12"/>
      <c r="F565" s="12" t="s">
        <v>91</v>
      </c>
      <c r="G565" t="s">
        <v>117</v>
      </c>
      <c r="H565" s="12" t="str">
        <f>INDEX('ei names mapping'!$B$71:$BK$100,MATCH(B537,'ei names mapping'!$A$4:$A$33,0),MATCH(G565,'ei names mapping'!$B$3:$BK$3,0))</f>
        <v>road maintenance</v>
      </c>
    </row>
    <row r="566" spans="1:8" x14ac:dyDescent="0.3">
      <c r="A566" s="12" t="str">
        <f>INDEX('ei names mapping'!$B$4:$R$33,MATCH(B537,'ei names mapping'!$A$4:$A$33,0),MATCH(G566,'ei names mapping'!$B$3:$R$3,0))</f>
        <v>maintenance, motor scooter</v>
      </c>
      <c r="B566" s="16">
        <f>INDEX('vehicles specifications'!$B$3:$CK$86,MATCH(B540,'vehicles specifications'!$A$3:$A$86,0),MATCH(G566,'vehicles specifications'!$B$2:$CK$2,0))*INDEX('ei names mapping'!$B$137:$BK$220,MATCH(B540,'ei names mapping'!$A$137:$A$220,0),MATCH(G566,'ei names mapping'!$B$136:$BK$136,0))</f>
        <v>1.9999999999999998E-5</v>
      </c>
      <c r="C566" s="12" t="str">
        <f>INDEX('ei names mapping'!$B$38:$BK$67,MATCH(B537,'ei names mapping'!$A$4:$A$33,0),MATCH(G566,'ei names mapping'!$B$3:$BK$3,0))</f>
        <v>CH</v>
      </c>
      <c r="D566" s="12" t="str">
        <f>INDEX('ei names mapping'!$B$104:$BK$133,MATCH(B537,'ei names mapping'!$A$4:$A$33,0),MATCH(G566,'ei names mapping'!$B$3:$BK$3,0))</f>
        <v>unit</v>
      </c>
      <c r="F566" s="12" t="s">
        <v>91</v>
      </c>
      <c r="G566" s="12" t="s">
        <v>123</v>
      </c>
      <c r="H566" s="12" t="str">
        <f>INDEX('ei names mapping'!$B$71:$BK$100,MATCH(B537,'ei names mapping'!$A$4:$A$33,0),MATCH(G566,'ei names mapping'!$B$3:$BK$3,0))</f>
        <v>maintenance, motor scooter</v>
      </c>
    </row>
    <row r="567" spans="1:8" x14ac:dyDescent="0.3">
      <c r="A567" s="12" t="str">
        <f>INDEX('ei names mapping'!$B$4:$R$33,MATCH(B537,'ei names mapping'!$A$4:$A$33,0),MATCH(G567,'ei names mapping'!$B$3:$R$3,0))</f>
        <v>market for petrol, low-sulfur</v>
      </c>
      <c r="B567" s="16">
        <f>INDEX('vehicles specifications'!$B$3:$CK$86,MATCH(B540,'vehicles specifications'!$A$3:$A$86,0),MATCH(G567,'vehicles specifications'!$B$2:$CK$2,0))*INDEX('ei names mapping'!$B$137:$BK$220,MATCH(B540,'ei names mapping'!$A$137:$A$220,0),MATCH(G567,'ei names mapping'!$B$136:$BK$136,0))</f>
        <v>3.3720476613466589E-2</v>
      </c>
      <c r="C567" s="12" t="str">
        <f>INDEX('ei names mapping'!$B$38:$BK$67,MATCH(B537,'ei names mapping'!$A$4:$A$33,0),MATCH(G567,'ei names mapping'!$B$3:$BK$3,0))</f>
        <v>CH</v>
      </c>
      <c r="D567" s="12" t="str">
        <f>INDEX('ei names mapping'!$B$104:$BK$133,MATCH(B537,'ei names mapping'!$A$4:$A$33,0),MATCH(G567,'ei names mapping'!$B$3:$BK$3,0))</f>
        <v>kilogram</v>
      </c>
      <c r="F567" s="12" t="s">
        <v>91</v>
      </c>
      <c r="G567" s="12" t="s">
        <v>27</v>
      </c>
      <c r="H567" s="12" t="str">
        <f>INDEX('ei names mapping'!$B$71:$BK$100,MATCH(B537,'ei names mapping'!$A$4:$A$33,0),MATCH(G567,'ei names mapping'!$B$3:$BK$3,0))</f>
        <v>petrol, low-sulfur</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0.10723111563082374</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5.3952762581546533E-7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1.0899556665502644E-6</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2.6875085328104543E-5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1.1931985389090789E-4</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8.0827324295051251E-7</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8.0827324295051251E-7</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8.8101286215329498E-6</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2.0206831073762815E-6</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s="21" customFormat="1"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8.7895890115390312E-6</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s="21" customFormat="1"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6.1977871235211111E-7</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s="21" customFormat="1"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1.2628719844165272E-7</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s="21" customFormat="1"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1.0180691074373236E-6</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s="21" customFormat="1"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4.1771919484546673E-7</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s="21" customFormat="1"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3.1280367614009373E-7</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s="21" customFormat="1"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2.2148831726689864E-7</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s="21" customFormat="1"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1.4377311822588159E-7</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s="21" customFormat="1"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1.4183023824985615E-6</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s="21" customFormat="1"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7.4218015084171301E-7</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s="21" customFormat="1"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2.1371679736279698E-8</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s="21" customFormat="1"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2.1332822136759185E-6</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s="21" customFormat="1"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1.0549838269818067E-6</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s="21" customFormat="1"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4.390908745817464E-7</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s="21" customFormat="1"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3.3028959592432257E-7</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s="21" customFormat="1"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1.45715998201907E-7</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s="21" customFormat="1"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4.2743359472559396E-8</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s="21" customFormat="1"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1.1851567853755105E-7</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s="21" customFormat="1"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s="21" customFormat="1"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3.6914719544483105E-8</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s="21" customFormat="1"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1.9623087757856811E-7</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s="21" customFormat="1"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4.9755237652702212E-8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s="21" customFormat="1"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4.2892446252329494E-10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s="21" customFormat="1"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2.8594964168219666E-10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s="21" customFormat="1"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3.0882561301677236E-6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s="21" customFormat="1"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6.0049424753261291E-8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s="21" customFormat="1"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1.8586726709342784E-8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s="21" customFormat="1"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2.2875971334575738E-8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s="21" customFormat="1"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4.575194266915146E-11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s="21" customFormat="1"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1.2438809413175553E-8</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s="21" customFormat="1"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1.5441280650838619E-8</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-7.3669999999999991E-6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-8.3499999999999997E-6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Motorbike, gasoline, 11-35kW, EURO-5, 2050</v>
      </c>
    </row>
    <row r="613" spans="1:8" x14ac:dyDescent="0.3">
      <c r="A613" t="s">
        <v>73</v>
      </c>
      <c r="B613" t="s">
        <v>37</v>
      </c>
    </row>
    <row r="614" spans="1:8" x14ac:dyDescent="0.3">
      <c r="A614" t="s">
        <v>87</v>
      </c>
      <c r="B614" t="s">
        <v>696</v>
      </c>
    </row>
    <row r="615" spans="1:8" x14ac:dyDescent="0.3">
      <c r="A615" t="s">
        <v>88</v>
      </c>
      <c r="B615" s="12"/>
    </row>
    <row r="616" spans="1:8" x14ac:dyDescent="0.3">
      <c r="A616" t="s">
        <v>89</v>
      </c>
      <c r="B616" s="12">
        <v>2050</v>
      </c>
    </row>
    <row r="617" spans="1:8" x14ac:dyDescent="0.3">
      <c r="A617" t="s">
        <v>131</v>
      </c>
      <c r="B617" s="12" t="str">
        <f>B614&amp;" - "&amp;B616&amp;" - "&amp;B613</f>
        <v>Motorbike, gasoline, 11-35kW, EURO-5 - 2050 - CH</v>
      </c>
    </row>
    <row r="618" spans="1:8" x14ac:dyDescent="0.3">
      <c r="A618" t="s">
        <v>74</v>
      </c>
      <c r="B618" s="12" t="str">
        <f>"transport, "&amp;B614</f>
        <v>transport, Motorbike, gasoline, 11-35kW, EURO-5</v>
      </c>
    </row>
    <row r="619" spans="1:8" x14ac:dyDescent="0.3">
      <c r="A619" t="s">
        <v>75</v>
      </c>
      <c r="B619" t="s">
        <v>76</v>
      </c>
    </row>
    <row r="620" spans="1:8" x14ac:dyDescent="0.3">
      <c r="A620" t="s">
        <v>77</v>
      </c>
      <c r="B620" t="s">
        <v>172</v>
      </c>
    </row>
    <row r="621" spans="1:8" x14ac:dyDescent="0.3">
      <c r="A621" t="s">
        <v>79</v>
      </c>
      <c r="B621" t="s">
        <v>90</v>
      </c>
    </row>
    <row r="622" spans="1:8" x14ac:dyDescent="0.3">
      <c r="A622" t="s">
        <v>132</v>
      </c>
      <c r="B622">
        <f>INDEX('vehicles specifications'!$B$3:$CK$86,MATCH(B617,'vehicles specifications'!$A$3:$A$86,0),MATCH("Lifetime [km]",'vehicles specifications'!$B$2:$CK$2,0))</f>
        <v>62100</v>
      </c>
    </row>
    <row r="623" spans="1:8" x14ac:dyDescent="0.3">
      <c r="A623" t="s">
        <v>133</v>
      </c>
      <c r="B623">
        <f>INDEX('vehicles specifications'!$B$3:$CK$86,MATCH(B617,'vehicles specifications'!$A$3:$A$86,0),MATCH("Passengers [unit]",'vehicles specifications'!$B$2:$CK$2,0))</f>
        <v>1.1000000000000001</v>
      </c>
    </row>
    <row r="624" spans="1:8" x14ac:dyDescent="0.3">
      <c r="A624" t="s">
        <v>134</v>
      </c>
      <c r="B624">
        <f>INDEX('vehicles specifications'!$B$3:$CK$86,MATCH(B617,'vehicles specifications'!$A$3:$A$86,0),MATCH("Servicing [unit]",'vehicles specifications'!$B$2:$CK$2,0))</f>
        <v>1.242</v>
      </c>
    </row>
    <row r="625" spans="1:8" x14ac:dyDescent="0.3">
      <c r="A625" t="s">
        <v>135</v>
      </c>
      <c r="B625">
        <f>INDEX('vehicles specifications'!$B$3:$CK$86,MATCH(B617,'vehicles specifications'!$A$3:$A$86,0),MATCH("Energy battery replacement [unit]",'vehicles specifications'!$B$2:$CK$2,0))</f>
        <v>0</v>
      </c>
    </row>
    <row r="626" spans="1:8" x14ac:dyDescent="0.3">
      <c r="A626" t="s">
        <v>136</v>
      </c>
      <c r="B626">
        <f>INDEX('vehicles specifications'!$B$3:$CK$86,MATCH(B617,'vehicles specifications'!$A$3:$A$86,0),MATCH("Annual kilometers [km]",'vehicles specifications'!$B$2:$CK$2,0))</f>
        <v>4592</v>
      </c>
    </row>
    <row r="627" spans="1:8" x14ac:dyDescent="0.3">
      <c r="A627" t="s">
        <v>137</v>
      </c>
      <c r="B627" s="2">
        <f>INDEX('vehicles specifications'!$B$3:$CK$86,MATCH(B617,'vehicles specifications'!$A$3:$A$86,0),MATCH("Curb mass [kg]",'vehicles specifications'!$B$2:$CK$2,0))</f>
        <v>150.26749999999998</v>
      </c>
    </row>
    <row r="628" spans="1:8" x14ac:dyDescent="0.3">
      <c r="A628" t="s">
        <v>138</v>
      </c>
      <c r="B628">
        <f>INDEX('vehicles specifications'!$B$3:$CK$86,MATCH(B617,'vehicles specifications'!$A$3:$A$86,0),MATCH("Power [kW]",'vehicles specifications'!$B$2:$CK$2,0))</f>
        <v>20</v>
      </c>
    </row>
    <row r="629" spans="1:8" x14ac:dyDescent="0.3">
      <c r="A629" t="s">
        <v>139</v>
      </c>
      <c r="B629">
        <f>INDEX('vehicles specifications'!$B$3:$CK$86,MATCH(B617,'vehicles specifications'!$A$3:$A$86,0),MATCH("Energy battery mass [kg]",'vehicles specifications'!$B$2:$CK$2,0))</f>
        <v>0</v>
      </c>
    </row>
    <row r="630" spans="1:8" x14ac:dyDescent="0.3">
      <c r="A630" t="s">
        <v>140</v>
      </c>
      <c r="B630">
        <f>INDEX('vehicles specifications'!$B$3:$CK$86,MATCH(B617,'vehicles specifications'!$A$3:$A$86,0),MATCH("Electric energy available [kWh]",'vehicles specifications'!$B$2:$CK$2,0))</f>
        <v>0</v>
      </c>
    </row>
    <row r="631" spans="1:8" x14ac:dyDescent="0.3">
      <c r="A631" t="s">
        <v>143</v>
      </c>
      <c r="B631" s="2">
        <f>INDEX('vehicles specifications'!$B$3:$CK$86,MATCH(B617,'vehicles specifications'!$A$3:$A$86,0),MATCH("Oxydation energy stored [kWh]",'vehicles specifications'!$B$2:$CK$2,0))</f>
        <v>132.5</v>
      </c>
    </row>
    <row r="632" spans="1:8" x14ac:dyDescent="0.3">
      <c r="A632" t="s">
        <v>145</v>
      </c>
      <c r="B632">
        <f>INDEX('vehicles specifications'!$B$3:$CK$86,MATCH(B617,'vehicles specifications'!$A$3:$A$86,0),MATCH("Fuel mass [kg]",'vehicles specifications'!$B$2:$CK$2,0))</f>
        <v>11.25</v>
      </c>
    </row>
    <row r="633" spans="1:8" x14ac:dyDescent="0.3">
      <c r="A633" t="s">
        <v>141</v>
      </c>
      <c r="B633" s="2">
        <f>INDEX('vehicles specifications'!$B$3:$CK$86,MATCH(B617,'vehicles specifications'!$A$3:$A$86,0),MATCH("Range [km]",'vehicles specifications'!$B$2:$CK$2,0))</f>
        <v>336.99512892110755</v>
      </c>
    </row>
    <row r="634" spans="1:8" x14ac:dyDescent="0.3">
      <c r="A634" t="s">
        <v>142</v>
      </c>
      <c r="B634" t="str">
        <f>INDEX('vehicles specifications'!$B$3:$CK$86,MATCH(B617,'vehicles specifications'!$A$3:$A$86,0),MATCH("Emission standard",'vehicles specifications'!$B$2:$CK$2,0))</f>
        <v>EURO-5</v>
      </c>
    </row>
    <row r="635" spans="1:8" x14ac:dyDescent="0.3">
      <c r="A635" t="s">
        <v>144</v>
      </c>
      <c r="B635" s="6">
        <f>INDEX('vehicles specifications'!$B$3:$CK$86,MATCH(B617,'vehicles specifications'!$A$3:$A$86,0),MATCH("Lightweighting rate [%]",'vehicles specifications'!$B$2:$CK$2,0))</f>
        <v>7.0000000000000007E-2</v>
      </c>
    </row>
    <row r="636" spans="1:8" x14ac:dyDescent="0.3">
      <c r="A636"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20 kW. Lifetime: 62100 km. Annual kilometers: 4592 km. Number of passengers: 1.1. Curb mass: 150.3 kg. Lightweighting of glider: 7%. Emission standard: EURO-5. Service visits throughout lifetime: 1.2. Range: 337 km. Battery capacity: 0 kWh. Battery mass: 0 kg. Battery replacement throughout lifetime: 0. Fuel tank capacity: 132.5 kWh. Fuel mass: 11.3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t="s">
        <v>81</v>
      </c>
      <c r="B638" t="s">
        <v>82</v>
      </c>
      <c r="C638" t="s">
        <v>73</v>
      </c>
      <c r="D638" t="s">
        <v>77</v>
      </c>
      <c r="E638" t="s">
        <v>83</v>
      </c>
      <c r="F638" t="s">
        <v>75</v>
      </c>
      <c r="G638" t="s">
        <v>84</v>
      </c>
      <c r="H638" t="s">
        <v>74</v>
      </c>
    </row>
    <row r="639" spans="1:8" x14ac:dyDescent="0.3">
      <c r="A639" s="12" t="str">
        <f>B612</f>
        <v>transport, Motorbike, gasoline, 11-35kW, EURO-5, 2050</v>
      </c>
      <c r="B639" s="12">
        <v>1</v>
      </c>
      <c r="C639" s="12" t="str">
        <f>B613</f>
        <v>CH</v>
      </c>
      <c r="D639" s="12" t="s">
        <v>172</v>
      </c>
      <c r="E639" s="12"/>
      <c r="F639" s="12" t="s">
        <v>85</v>
      </c>
      <c r="G639" s="12" t="s">
        <v>86</v>
      </c>
      <c r="H639" s="12" t="str">
        <f>B618</f>
        <v>transport, Motorbike, gasoline, 11-35kW, EURO-5</v>
      </c>
    </row>
    <row r="640" spans="1:8" x14ac:dyDescent="0.3">
      <c r="A640" s="12" t="str">
        <f>RIGHT(A639,LEN(A639)-11)</f>
        <v>Motorbike, gasoline, 11-35kW, EURO-5, 2050</v>
      </c>
      <c r="B640" s="12">
        <f>1/B622</f>
        <v>1.6103059581320449E-5</v>
      </c>
      <c r="C640" s="12" t="str">
        <f>B613</f>
        <v>CH</v>
      </c>
      <c r="D640" s="12" t="s">
        <v>77</v>
      </c>
      <c r="E640" s="12"/>
      <c r="F640" s="12" t="s">
        <v>91</v>
      </c>
      <c r="G640" s="12"/>
      <c r="H640" s="12" t="str">
        <f>RIGHT(H639,LEN(H639)-11)</f>
        <v>Motorbike, gasoline, 11-35kW, EURO-5</v>
      </c>
    </row>
    <row r="641" spans="1:8" s="21" customFormat="1"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1.252646475E-4</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road maintenance</v>
      </c>
      <c r="B642" s="16">
        <f>INDEX('vehicles specifications'!$B$3:$CK$86,MATCH(B617,'vehicles specifications'!$A$3:$A$86,0),MATCH(G642,'vehicles specifications'!$B$2:$CK$2,0))*INDEX('ei names mapping'!$B$137:$BK$220,MATCH(B617,'ei names mapping'!$A$137:$A$220,0),MATCH(G642,'ei names mapping'!$B$136:$BK$136,0))</f>
        <v>1.2899999999999999E-3</v>
      </c>
      <c r="C642" s="12" t="str">
        <f>INDEX('ei names mapping'!$B$38:$R$67,MATCH(B614,'ei names mapping'!$A$4:$A$33,0),MATCH(G642,'ei names mapping'!$B$3:$R$3,0))</f>
        <v>CH</v>
      </c>
      <c r="D642" s="12" t="str">
        <f>INDEX('ei names mapping'!$B$104:$BK$133,MATCH(B614,'ei names mapping'!$A$4:$A$33,0),MATCH(G642,'ei names mapping'!$B$3:$BK$3,0))</f>
        <v>meter-year</v>
      </c>
      <c r="E642" s="12"/>
      <c r="F642" s="12" t="s">
        <v>91</v>
      </c>
      <c r="G642" t="s">
        <v>117</v>
      </c>
      <c r="H642" s="12" t="str">
        <f>INDEX('ei names mapping'!$B$71:$BK$100,MATCH(B614,'ei names mapping'!$A$4:$A$33,0),MATCH(G642,'ei names mapping'!$B$3:$BK$3,0))</f>
        <v>road maintenance</v>
      </c>
    </row>
    <row r="643" spans="1:8" x14ac:dyDescent="0.3">
      <c r="A643" s="12" t="str">
        <f>INDEX('ei names mapping'!$B$4:$R$33,MATCH(B614,'ei names mapping'!$A$4:$A$33,0),MATCH(G643,'ei names mapping'!$B$3:$R$3,0))</f>
        <v>maintenance, motor scooter</v>
      </c>
      <c r="B643" s="16">
        <f>INDEX('vehicles specifications'!$B$3:$CK$86,MATCH(B617,'vehicles specifications'!$A$3:$A$86,0),MATCH(G643,'vehicles specifications'!$B$2:$CK$2,0))*INDEX('ei names mapping'!$B$137:$BK$220,MATCH(B617,'ei names mapping'!$A$137:$A$220,0),MATCH(G643,'ei names mapping'!$B$136:$BK$136,0))</f>
        <v>1.9999999999999998E-5</v>
      </c>
      <c r="C643" s="12" t="str">
        <f>INDEX('ei names mapping'!$B$38:$BK$67,MATCH(B614,'ei names mapping'!$A$4:$A$33,0),MATCH(G643,'ei names mapping'!$B$3:$BK$3,0))</f>
        <v>CH</v>
      </c>
      <c r="D643" s="12" t="str">
        <f>INDEX('ei names mapping'!$B$104:$BK$133,MATCH(B614,'ei names mapping'!$A$4:$A$33,0),MATCH(G643,'ei names mapping'!$B$3:$BK$3,0))</f>
        <v>unit</v>
      </c>
      <c r="F643" s="12" t="s">
        <v>91</v>
      </c>
      <c r="G643" s="12" t="s">
        <v>123</v>
      </c>
      <c r="H643" s="12" t="str">
        <f>INDEX('ei names mapping'!$B$71:$BK$100,MATCH(B614,'ei names mapping'!$A$4:$A$33,0),MATCH(G643,'ei names mapping'!$B$3:$BK$3,0))</f>
        <v>maintenance, motor scooter</v>
      </c>
    </row>
    <row r="644" spans="1:8" x14ac:dyDescent="0.3">
      <c r="A644" s="12" t="str">
        <f>INDEX('ei names mapping'!$B$4:$R$33,MATCH(B614,'ei names mapping'!$A$4:$A$33,0),MATCH(G644,'ei names mapping'!$B$3:$R$3,0))</f>
        <v>market for petrol, low-sulfur</v>
      </c>
      <c r="B644" s="16">
        <f>INDEX('vehicles specifications'!$B$3:$CK$86,MATCH(B617,'vehicles specifications'!$A$3:$A$86,0),MATCH(G644,'vehicles specifications'!$B$2:$CK$2,0))*INDEX('ei names mapping'!$B$137:$BK$220,MATCH(B617,'ei names mapping'!$A$137:$A$220,0),MATCH(G644,'ei names mapping'!$B$136:$BK$136,0))</f>
        <v>3.3383271847331919E-2</v>
      </c>
      <c r="C644" s="12" t="str">
        <f>INDEX('ei names mapping'!$B$38:$BK$67,MATCH(B614,'ei names mapping'!$A$4:$A$33,0),MATCH(G644,'ei names mapping'!$B$3:$BK$3,0))</f>
        <v>CH</v>
      </c>
      <c r="D644" s="12" t="str">
        <f>INDEX('ei names mapping'!$B$104:$BK$133,MATCH(B614,'ei names mapping'!$A$4:$A$33,0),MATCH(G644,'ei names mapping'!$B$3:$BK$3,0))</f>
        <v>kilogram</v>
      </c>
      <c r="F644" s="12" t="s">
        <v>91</v>
      </c>
      <c r="G644" s="12" t="s">
        <v>27</v>
      </c>
      <c r="H644" s="12" t="str">
        <f>INDEX('ei names mapping'!$B$71:$BK$100,MATCH(B614,'ei names mapping'!$A$4:$A$33,0),MATCH(G644,'ei names mapping'!$B$3:$BK$3,0))</f>
        <v>petrol, low-sulfur</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0.10615880447451551</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5.3413234955731065E-7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1.0790561098847618E-6</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2.6606334474823498E-5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1.1812665535199882E-4</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8.0019051052100739E-7</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8.0019051052100739E-7</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8.7220273353176207E-6</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2.0004762763025187E-6</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s="21" customFormat="1"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8.7016931214236427E-6</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s="21" customFormat="1"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6.1358092522859004E-7</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s="21" customFormat="1"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1.2502432645723621E-7</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s="21" customFormat="1"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1.0078884163629505E-6</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s="21" customFormat="1"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4.1354200289701212E-7</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s="21" customFormat="1"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3.0967563937869277E-7</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s="21" customFormat="1"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2.1927343409422966E-7</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s="21" customFormat="1"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1.4233538704362279E-7</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s="21" customFormat="1"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1.404119358673576E-6</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s="21" customFormat="1"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7.3475834933329586E-7</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s="21" customFormat="1"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2.1157962938916902E-8</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s="21" customFormat="1"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2.1119493915391591E-6</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s="21" customFormat="1"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1.0444339887119887E-6</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s="21" customFormat="1"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4.3469996583592895E-7</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s="21" customFormat="1"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3.2698669996507936E-7</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s="21" customFormat="1"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1.4425883821988794E-7</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s="21" customFormat="1"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4.2315925877833804E-8</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s="21" customFormat="1"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1.1733052175217554E-7</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s="21" customFormat="1"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s="21" customFormat="1"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3.654557234903828E-8</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s="21" customFormat="1"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1.9426856880278244E-7</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s="21" customFormat="1"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4.9257685276175197E-8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s="21" customFormat="1"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4.24635217898062E-10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s="21" customFormat="1"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2.8309014526537472E-10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s="21" customFormat="1"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3.0573735688660467E-6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s="21" customFormat="1"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5.944893050572868E-8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s="21" customFormat="1"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1.8400859442249354E-8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s="21" customFormat="1"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2.264721162122998E-8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s="21" customFormat="1"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4.529442324245995E-11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s="21" customFormat="1"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1.2314421319043799E-8</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s="21" customFormat="1"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1.5286867844330234E-8</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-7.3669999999999991E-6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-8.3499999999999997E-6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workbookViewId="0">
      <selection activeCell="A256" sqref="A256:IV256"/>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Motorbike, gasoline, &gt;35kW, EURO-3, 2006</v>
      </c>
    </row>
    <row r="2" spans="1:2" x14ac:dyDescent="0.3">
      <c r="A2" t="s">
        <v>73</v>
      </c>
      <c r="B2" t="s">
        <v>37</v>
      </c>
    </row>
    <row r="3" spans="1:2" x14ac:dyDescent="0.3">
      <c r="A3" t="s">
        <v>87</v>
      </c>
      <c r="B3" t="s">
        <v>703</v>
      </c>
    </row>
    <row r="4" spans="1:2" x14ac:dyDescent="0.3">
      <c r="A4" t="s">
        <v>88</v>
      </c>
      <c r="B4" s="12"/>
    </row>
    <row r="5" spans="1:2" x14ac:dyDescent="0.3">
      <c r="A5" t="s">
        <v>89</v>
      </c>
      <c r="B5" s="12">
        <v>2006</v>
      </c>
    </row>
    <row r="6" spans="1:2" x14ac:dyDescent="0.3">
      <c r="A6" t="s">
        <v>131</v>
      </c>
      <c r="B6" s="12" t="str">
        <f>B3&amp;" - "&amp;B5&amp;" - "&amp;B2</f>
        <v>Motorbike, gasoline, &gt;35kW, EURO-3 - 2006 - CH</v>
      </c>
    </row>
    <row r="7" spans="1:2" x14ac:dyDescent="0.3">
      <c r="A7" t="s">
        <v>74</v>
      </c>
      <c r="B7" t="str">
        <f>B3</f>
        <v>Motorbike, gasoline, &gt;35kW, EURO-3</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62100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1.242</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4592</v>
      </c>
    </row>
    <row r="16" spans="1:2" x14ac:dyDescent="0.3">
      <c r="A16" t="s">
        <v>137</v>
      </c>
      <c r="B16" s="2">
        <f>INDEX('vehicles specifications'!$B$3:$CK$86,MATCH(B6,'vehicles specifications'!$A$3:$A$86,0),MATCH("Curb mass [kg]",'vehicles specifications'!$B$2:$CK$2,0))</f>
        <v>262.07499999999999</v>
      </c>
    </row>
    <row r="17" spans="1:8" x14ac:dyDescent="0.3">
      <c r="A17" t="s">
        <v>138</v>
      </c>
      <c r="B17">
        <f>INDEX('vehicles specifications'!$B$3:$CK$86,MATCH(B6,'vehicles specifications'!$A$3:$A$86,0),MATCH("Power [kW]",'vehicles specifications'!$B$2:$CK$2,0))</f>
        <v>91</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s="2">
        <f>INDEX('vehicles specifications'!$B$3:$CK$86,MATCH(B6,'vehicles specifications'!$A$3:$A$86,0),MATCH("Oxydation energy stored [kWh]",'vehicles specifications'!$B$2:$CK$2,0))</f>
        <v>159</v>
      </c>
    </row>
    <row r="21" spans="1:8" x14ac:dyDescent="0.3">
      <c r="A21" t="s">
        <v>145</v>
      </c>
      <c r="B21">
        <f>INDEX('vehicles specifications'!$B$3:$CK$86,MATCH(B6,'vehicles specifications'!$A$3:$A$86,0),MATCH("Fuel mass [kg]",'vehicles specifications'!$B$2:$CK$2,0))</f>
        <v>13.5</v>
      </c>
    </row>
    <row r="22" spans="1:8" x14ac:dyDescent="0.3">
      <c r="A22" t="s">
        <v>141</v>
      </c>
      <c r="B22" s="2">
        <f>INDEX('vehicles specifications'!$B$3:$CK$86,MATCH(B6,'vehicles specifications'!$A$3:$A$86,0),MATCH("Range [km]",'vehicles specifications'!$B$2:$CK$2,0))</f>
        <v>290.05213654144586</v>
      </c>
    </row>
    <row r="23" spans="1:8" x14ac:dyDescent="0.3">
      <c r="A23" t="s">
        <v>142</v>
      </c>
      <c r="B23" t="str">
        <f>INDEX('vehicles specifications'!$B$3:$CK$86,MATCH(B6,'vehicles specifications'!$A$3:$A$86,0),MATCH("Emission standard",'vehicles specifications'!$B$2:$CK$2,0))</f>
        <v>EURO-3</v>
      </c>
    </row>
    <row r="24" spans="1:8" x14ac:dyDescent="0.3">
      <c r="A24" t="s">
        <v>144</v>
      </c>
      <c r="B24" s="6">
        <f>INDEX('vehicles specifications'!$B$3:$CK$86,MATCH(B6,'vehicles specifications'!$A$3:$A$86,0),MATCH("Lightweighting rate [%]",'vehicles specifications'!$B$2:$CK$2,0))</f>
        <v>-0.05</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91 kW. Lifetime: 62100 km. Annual kilometers: 4592 km. Number of passengers: 1.1. Curb mass: 262.1 kg. Lightweighting of glider: -5%. Emission standard: EURO-3. Service visits throughout lifetime: 1.2. Range: 290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Motorbike, gasoline, &gt;35kW, EURO-3, 2006</v>
      </c>
      <c r="B31" s="12">
        <v>1</v>
      </c>
      <c r="C31" s="12" t="str">
        <f>B2</f>
        <v>CH</v>
      </c>
      <c r="D31" s="12" t="str">
        <f>B9</f>
        <v>unit</v>
      </c>
      <c r="E31" s="12"/>
      <c r="F31" s="12" t="s">
        <v>85</v>
      </c>
      <c r="G31" s="12" t="s">
        <v>86</v>
      </c>
      <c r="H31" s="12" t="str">
        <f>B3</f>
        <v>Motorbike, gasoline, &gt;35kW,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1.2333333333333334</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1.4444444444444444</v>
      </c>
      <c r="C33" s="12" t="str">
        <f>INDEX('ei names mapping'!$B$38:$R$67,MATCH(B3,'ei names mapping'!$A$4:$A$33,0),MATCH(G33,'ei names mapping'!$B$3:$R$3,0))</f>
        <v>RER</v>
      </c>
      <c r="D33" s="12" t="str">
        <f>INDEX('ei names mapping'!$B$104:$R$133,MATCH(B3,'ei names mapping'!$A$104:$A$133,0),MATCH(G33,'ei names mapping'!$B$3:$R$3,0))</f>
        <v>unit</v>
      </c>
      <c r="E33" s="12"/>
      <c r="F33" s="12" t="s">
        <v>91</v>
      </c>
      <c r="G33"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2.0249999999999999</v>
      </c>
      <c r="C34" s="12" t="str">
        <f>INDEX('ei names mapping'!$B$38:$R$67,MATCH(B3,'ei names mapping'!$A$4:$A$33,0),MATCH(G34,'ei names mapping'!$B$3:$R$3,0))</f>
        <v>RER</v>
      </c>
      <c r="D34" s="12" t="str">
        <f>INDEX('ei names mapping'!$B$104:$R$133,MATCH(B3,'ei names mapping'!$A$104:$A$133,0),MATCH(G34,'ei names mapping'!$B$3:$R$3,0))</f>
        <v>kilogram</v>
      </c>
      <c r="E34" s="12"/>
      <c r="F34" s="12" t="s">
        <v>91</v>
      </c>
      <c r="G34" t="s">
        <v>24</v>
      </c>
      <c r="H34" s="12" t="str">
        <f>INDEX('ei names mapping'!$B$71:$R$100,MATCH(B3,'ei names mapping'!$A$4:$A$33,0),MATCH(G34,'ei names mapping'!$B$3:$R$3,0))</f>
        <v>polyethylene, high density, granulate</v>
      </c>
    </row>
    <row r="35" spans="1:8" s="21" customFormat="1" x14ac:dyDescent="0.3">
      <c r="A35" s="22" t="s">
        <v>468</v>
      </c>
      <c r="B35" s="21">
        <f>(B16/1000)*B27</f>
        <v>262.07499999999999</v>
      </c>
      <c r="C35" s="21" t="s">
        <v>94</v>
      </c>
      <c r="D35" s="21" t="s">
        <v>243</v>
      </c>
      <c r="F35" s="21" t="s">
        <v>91</v>
      </c>
      <c r="H35" s="22" t="s">
        <v>469</v>
      </c>
    </row>
    <row r="36" spans="1:8" s="21" customFormat="1" x14ac:dyDescent="0.3">
      <c r="A36" s="22" t="s">
        <v>467</v>
      </c>
      <c r="B36" s="2">
        <f>(B16/1000)*B26</f>
        <v>4166.9925000000003</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Motorbike, gasoline, &gt;35kW, EURO-4, 2016</v>
      </c>
    </row>
    <row r="39" spans="1:8" x14ac:dyDescent="0.3">
      <c r="A39" t="s">
        <v>73</v>
      </c>
      <c r="B39" t="s">
        <v>37</v>
      </c>
    </row>
    <row r="40" spans="1:8" x14ac:dyDescent="0.3">
      <c r="A40" t="s">
        <v>87</v>
      </c>
      <c r="B40" t="s">
        <v>704</v>
      </c>
    </row>
    <row r="41" spans="1:8" x14ac:dyDescent="0.3">
      <c r="A41" t="s">
        <v>88</v>
      </c>
      <c r="B41" s="12"/>
    </row>
    <row r="42" spans="1:8" x14ac:dyDescent="0.3">
      <c r="A42" t="s">
        <v>89</v>
      </c>
      <c r="B42" s="12">
        <v>2016</v>
      </c>
    </row>
    <row r="43" spans="1:8" x14ac:dyDescent="0.3">
      <c r="A43" t="s">
        <v>131</v>
      </c>
      <c r="B43" s="12" t="str">
        <f>B40&amp;" - "&amp;B42&amp;" - "&amp;B39</f>
        <v>Motorbike, gasoline, &gt;35kW, EURO-4 - 2016 - CH</v>
      </c>
    </row>
    <row r="44" spans="1:8" x14ac:dyDescent="0.3">
      <c r="A44" t="s">
        <v>74</v>
      </c>
      <c r="B44" t="str">
        <f>B40</f>
        <v>Motorbike, gasoline, &gt;35kW, EURO-4</v>
      </c>
    </row>
    <row r="45" spans="1:8" x14ac:dyDescent="0.3">
      <c r="A45" t="s">
        <v>75</v>
      </c>
      <c r="B45" t="s">
        <v>76</v>
      </c>
    </row>
    <row r="46" spans="1:8" x14ac:dyDescent="0.3">
      <c r="A46" t="s">
        <v>77</v>
      </c>
      <c r="B46" t="s">
        <v>77</v>
      </c>
    </row>
    <row r="47" spans="1:8" x14ac:dyDescent="0.3">
      <c r="A47" t="s">
        <v>79</v>
      </c>
      <c r="B47" t="s">
        <v>90</v>
      </c>
    </row>
    <row r="48" spans="1:8" x14ac:dyDescent="0.3">
      <c r="A48" t="s">
        <v>132</v>
      </c>
      <c r="B48">
        <f>INDEX('vehicles specifications'!$B$3:$CK$86,MATCH(B43,'vehicles specifications'!$A$3:$A$86,0),MATCH("Lifetime [km]",'vehicles specifications'!$B$2:$CK$2,0))</f>
        <v>62100</v>
      </c>
    </row>
    <row r="49" spans="1:2" x14ac:dyDescent="0.3">
      <c r="A49" t="s">
        <v>133</v>
      </c>
      <c r="B49">
        <f>INDEX('vehicles specifications'!$B$3:$CK$86,MATCH(B43,'vehicles specifications'!$A$3:$A$86,0),MATCH("Passengers [unit]",'vehicles specifications'!$B$2:$CK$2,0))</f>
        <v>1.1000000000000001</v>
      </c>
    </row>
    <row r="50" spans="1:2" x14ac:dyDescent="0.3">
      <c r="A50" t="s">
        <v>134</v>
      </c>
      <c r="B50">
        <f>INDEX('vehicles specifications'!$B$3:$CK$86,MATCH(B43,'vehicles specifications'!$A$3:$A$86,0),MATCH("Servicing [unit]",'vehicles specifications'!$B$2:$CK$2,0))</f>
        <v>1.242</v>
      </c>
    </row>
    <row r="51" spans="1:2" x14ac:dyDescent="0.3">
      <c r="A51" t="s">
        <v>135</v>
      </c>
      <c r="B51">
        <f>INDEX('vehicles specifications'!$B$3:$CK$86,MATCH(B43,'vehicles specifications'!$A$3:$A$86,0),MATCH("Energy battery replacement [unit]",'vehicles specifications'!$B$2:$CK$2,0))</f>
        <v>0</v>
      </c>
    </row>
    <row r="52" spans="1:2" x14ac:dyDescent="0.3">
      <c r="A52" t="s">
        <v>136</v>
      </c>
      <c r="B52">
        <f>INDEX('vehicles specifications'!$B$3:$CK$86,MATCH(B43,'vehicles specifications'!$A$3:$A$86,0),MATCH("Annual kilometers [km]",'vehicles specifications'!$B$2:$CK$2,0))</f>
        <v>4592</v>
      </c>
    </row>
    <row r="53" spans="1:2" x14ac:dyDescent="0.3">
      <c r="A53" t="s">
        <v>137</v>
      </c>
      <c r="B53" s="2">
        <f>INDEX('vehicles specifications'!$B$3:$CK$86,MATCH(B43,'vehicles specifications'!$A$3:$A$86,0),MATCH("Curb mass [kg]",'vehicles specifications'!$B$2:$CK$2,0))</f>
        <v>258.745</v>
      </c>
    </row>
    <row r="54" spans="1:2" x14ac:dyDescent="0.3">
      <c r="A54" t="s">
        <v>138</v>
      </c>
      <c r="B54">
        <f>INDEX('vehicles specifications'!$B$3:$CK$86,MATCH(B43,'vehicles specifications'!$A$3:$A$86,0),MATCH("Power [kW]",'vehicles specifications'!$B$2:$CK$2,0))</f>
        <v>91</v>
      </c>
    </row>
    <row r="55" spans="1:2" x14ac:dyDescent="0.3">
      <c r="A55" t="s">
        <v>139</v>
      </c>
      <c r="B55">
        <f>INDEX('vehicles specifications'!$B$3:$CK$86,MATCH(B43,'vehicles specifications'!$A$3:$A$86,0),MATCH("Energy battery mass [kg]",'vehicles specifications'!$B$2:$CK$2,0))</f>
        <v>0</v>
      </c>
    </row>
    <row r="56" spans="1:2" x14ac:dyDescent="0.3">
      <c r="A56" t="s">
        <v>140</v>
      </c>
      <c r="B56">
        <f>INDEX('vehicles specifications'!$B$3:$CK$86,MATCH(B43,'vehicles specifications'!$A$3:$A$86,0),MATCH("Electric energy available [kWh]",'vehicles specifications'!$B$2:$CK$2,0))</f>
        <v>0</v>
      </c>
    </row>
    <row r="57" spans="1:2" x14ac:dyDescent="0.3">
      <c r="A57" t="s">
        <v>143</v>
      </c>
      <c r="B57" s="2">
        <f>INDEX('vehicles specifications'!$B$3:$CK$86,MATCH(B43,'vehicles specifications'!$A$3:$A$86,0),MATCH("Oxydation energy stored [kWh]",'vehicles specifications'!$B$2:$CK$2,0))</f>
        <v>159</v>
      </c>
    </row>
    <row r="58" spans="1:2" x14ac:dyDescent="0.3">
      <c r="A58" t="s">
        <v>145</v>
      </c>
      <c r="B58">
        <f>INDEX('vehicles specifications'!$B$3:$CK$86,MATCH(B43,'vehicles specifications'!$A$3:$A$86,0),MATCH("Fuel mass [kg]",'vehicles specifications'!$B$2:$CK$2,0))</f>
        <v>13.5</v>
      </c>
    </row>
    <row r="59" spans="1:2" x14ac:dyDescent="0.3">
      <c r="A59" t="s">
        <v>141</v>
      </c>
      <c r="B59" s="2">
        <f>INDEX('vehicles specifications'!$B$3:$CK$86,MATCH(B43,'vehicles specifications'!$A$3:$A$86,0),MATCH("Range [km]",'vehicles specifications'!$B$2:$CK$2,0))</f>
        <v>292.95265790686028</v>
      </c>
    </row>
    <row r="60" spans="1:2" x14ac:dyDescent="0.3">
      <c r="A60" t="s">
        <v>142</v>
      </c>
      <c r="B60" t="str">
        <f>INDEX('vehicles specifications'!$B$3:$CK$86,MATCH(B43,'vehicles specifications'!$A$3:$A$86,0),MATCH("Emission standard",'vehicles specifications'!$B$2:$CK$2,0))</f>
        <v>EURO-4</v>
      </c>
    </row>
    <row r="61" spans="1:2" x14ac:dyDescent="0.3">
      <c r="A61" t="s">
        <v>144</v>
      </c>
      <c r="B61" s="6">
        <f>INDEX('vehicles specifications'!$B$3:$CK$86,MATCH(B43,'vehicles specifications'!$A$3:$A$86,0),MATCH("Lightweighting rate [%]",'vehicles specifications'!$B$2:$CK$2,0))</f>
        <v>-0.02</v>
      </c>
    </row>
    <row r="62" spans="1:2" s="21" customFormat="1" x14ac:dyDescent="0.3">
      <c r="A62" s="21" t="s">
        <v>513</v>
      </c>
      <c r="B62" s="6" t="s">
        <v>514</v>
      </c>
    </row>
    <row r="63" spans="1:2" s="21" customFormat="1" x14ac:dyDescent="0.3">
      <c r="A63" s="21" t="s">
        <v>515</v>
      </c>
      <c r="B63" s="2">
        <v>15900</v>
      </c>
    </row>
    <row r="64" spans="1:2" s="21" customFormat="1" x14ac:dyDescent="0.3">
      <c r="A64" s="21" t="s">
        <v>516</v>
      </c>
      <c r="B64" s="2">
        <v>1000</v>
      </c>
    </row>
    <row r="65" spans="1:8" s="21" customFormat="1"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91 kW. Lifetime: 62100 km. Annual kilometers: 4592 km. Number of passengers: 1.1. Curb mass: 258.7 kg. Lightweighting of glider: -2%. Emission standard: EURO-4. Service visits throughout lifetime: 1.2. Range: 293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t="s">
        <v>81</v>
      </c>
      <c r="B67" t="s">
        <v>82</v>
      </c>
      <c r="C67" t="s">
        <v>73</v>
      </c>
      <c r="D67" t="s">
        <v>77</v>
      </c>
      <c r="E67" t="s">
        <v>83</v>
      </c>
      <c r="F67" t="s">
        <v>75</v>
      </c>
      <c r="G67" t="s">
        <v>84</v>
      </c>
      <c r="H67" t="s">
        <v>74</v>
      </c>
    </row>
    <row r="68" spans="1:8" x14ac:dyDescent="0.3">
      <c r="A68" s="12" t="str">
        <f>B38</f>
        <v>Motorbike, gasoline, &gt;35kW, EURO-4, 2016</v>
      </c>
      <c r="B68" s="12">
        <v>1</v>
      </c>
      <c r="C68" s="12" t="str">
        <f>B39</f>
        <v>CH</v>
      </c>
      <c r="D68" s="12" t="str">
        <f>B46</f>
        <v>unit</v>
      </c>
      <c r="E68" s="12"/>
      <c r="F68" s="12" t="s">
        <v>85</v>
      </c>
      <c r="G68" s="12" t="s">
        <v>86</v>
      </c>
      <c r="H68" s="12" t="str">
        <f>B40</f>
        <v>Motorbike, gasoline, &gt;35kW,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1.2333333333333334</v>
      </c>
      <c r="C69" s="12" t="str">
        <f>INDEX('ei names mapping'!$B$38:$R$67,MATCH(B40,'ei names mapping'!$A$4:$A$33,0),MATCH(G69,'ei names mapping'!$B$3:$R$3,0))</f>
        <v>RER</v>
      </c>
      <c r="D69" s="12" t="str">
        <f>INDEX('ei names mapping'!$B$104:$R$133,MATCH(B40,'ei names mapping'!$A$104:$A$133,0),MATCH(G69,'ei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1.4444444444444444</v>
      </c>
      <c r="C70" s="12" t="str">
        <f>INDEX('ei names mapping'!$B$38:$R$67,MATCH(B40,'ei names mapping'!$A$4:$A$33,0),MATCH(G70,'ei names mapping'!$B$3:$R$3,0))</f>
        <v>RER</v>
      </c>
      <c r="D70" s="12" t="str">
        <f>INDEX('ei names mapping'!$B$104:$R$133,MATCH(B40,'ei names mapping'!$A$104:$A$133,0),MATCH(G70,'ei names mapping'!$B$3:$R$3,0))</f>
        <v>unit</v>
      </c>
      <c r="E70" s="12"/>
      <c r="F70" s="12" t="s">
        <v>91</v>
      </c>
      <c r="G70"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2.0249999999999999</v>
      </c>
      <c r="C71" s="12" t="str">
        <f>INDEX('ei names mapping'!$B$38:$R$67,MATCH(B40,'ei names mapping'!$A$4:$A$33,0),MATCH(G71,'ei names mapping'!$B$3:$R$3,0))</f>
        <v>RER</v>
      </c>
      <c r="D71" s="12" t="str">
        <f>INDEX('ei names mapping'!$B$104:$R$133,MATCH(B40,'ei names mapping'!$A$104:$A$133,0),MATCH(G71,'ei names mapping'!$B$3:$R$3,0))</f>
        <v>kilogram</v>
      </c>
      <c r="E71" s="12"/>
      <c r="F71" s="12" t="s">
        <v>91</v>
      </c>
      <c r="G71" t="s">
        <v>24</v>
      </c>
      <c r="H71" s="12" t="str">
        <f>INDEX('ei names mapping'!$B$71:$R$100,MATCH(B40,'ei names mapping'!$A$4:$A$33,0),MATCH(G71,'ei names mapping'!$B$3:$R$3,0))</f>
        <v>polyethylene, high density, granulate</v>
      </c>
    </row>
    <row r="72" spans="1:8" s="21" customFormat="1" x14ac:dyDescent="0.3">
      <c r="A72" s="22" t="s">
        <v>468</v>
      </c>
      <c r="B72" s="21">
        <f>(B53/1000)*B64</f>
        <v>258.745</v>
      </c>
      <c r="C72" s="21" t="s">
        <v>94</v>
      </c>
      <c r="D72" s="21" t="s">
        <v>243</v>
      </c>
      <c r="F72" s="21" t="s">
        <v>91</v>
      </c>
      <c r="H72" s="22" t="s">
        <v>469</v>
      </c>
    </row>
    <row r="73" spans="1:8" s="21" customFormat="1" x14ac:dyDescent="0.3">
      <c r="A73" s="22" t="s">
        <v>467</v>
      </c>
      <c r="B73" s="2">
        <f>(B53/1000)*B63</f>
        <v>4114.0455000000002</v>
      </c>
      <c r="C73" s="21" t="s">
        <v>98</v>
      </c>
      <c r="D73" s="21" t="s">
        <v>243</v>
      </c>
      <c r="F73" s="21" t="s">
        <v>91</v>
      </c>
      <c r="H73" s="22" t="s">
        <v>467</v>
      </c>
    </row>
    <row r="75" spans="1:8" ht="15.6" x14ac:dyDescent="0.3">
      <c r="A75" s="11" t="s">
        <v>72</v>
      </c>
      <c r="B75" s="9" t="str">
        <f>B77&amp;", "&amp;B79</f>
        <v>Motorbike, gasoline, &gt;35kW, EURO-5, 2020</v>
      </c>
    </row>
    <row r="76" spans="1:8" x14ac:dyDescent="0.3">
      <c r="A76" t="s">
        <v>73</v>
      </c>
      <c r="B76" t="s">
        <v>37</v>
      </c>
    </row>
    <row r="77" spans="1:8" x14ac:dyDescent="0.3">
      <c r="A77" t="s">
        <v>87</v>
      </c>
      <c r="B77" t="s">
        <v>705</v>
      </c>
    </row>
    <row r="78" spans="1:8" x14ac:dyDescent="0.3">
      <c r="A78" t="s">
        <v>88</v>
      </c>
      <c r="B78" s="12"/>
    </row>
    <row r="79" spans="1:8" x14ac:dyDescent="0.3">
      <c r="A79" t="s">
        <v>89</v>
      </c>
      <c r="B79" s="12">
        <v>2020</v>
      </c>
    </row>
    <row r="80" spans="1:8" x14ac:dyDescent="0.3">
      <c r="A80" t="s">
        <v>131</v>
      </c>
      <c r="B80" s="12" t="str">
        <f>B77&amp;" - "&amp;B79&amp;" - "&amp;B76</f>
        <v>Motorbike, gasoline, &gt;35kW, EURO-5 - 2020 - CH</v>
      </c>
    </row>
    <row r="81" spans="1:2" x14ac:dyDescent="0.3">
      <c r="A81" t="s">
        <v>74</v>
      </c>
      <c r="B81" t="str">
        <f>B77</f>
        <v>Motorbike, gasoline, &gt;35kW, EURO-5</v>
      </c>
    </row>
    <row r="82" spans="1:2" x14ac:dyDescent="0.3">
      <c r="A82" t="s">
        <v>75</v>
      </c>
      <c r="B82" t="s">
        <v>76</v>
      </c>
    </row>
    <row r="83" spans="1:2" x14ac:dyDescent="0.3">
      <c r="A83" t="s">
        <v>77</v>
      </c>
      <c r="B83" t="s">
        <v>77</v>
      </c>
    </row>
    <row r="84" spans="1:2" x14ac:dyDescent="0.3">
      <c r="A84" t="s">
        <v>79</v>
      </c>
      <c r="B84" t="s">
        <v>90</v>
      </c>
    </row>
    <row r="85" spans="1:2" x14ac:dyDescent="0.3">
      <c r="A85" t="s">
        <v>132</v>
      </c>
      <c r="B85">
        <f>INDEX('vehicles specifications'!$B$3:$CK$86,MATCH(B80,'vehicles specifications'!$A$3:$A$86,0),MATCH("Lifetime [km]",'vehicles specifications'!$B$2:$CK$2,0))</f>
        <v>62100</v>
      </c>
    </row>
    <row r="86" spans="1:2" x14ac:dyDescent="0.3">
      <c r="A86" t="s">
        <v>133</v>
      </c>
      <c r="B86">
        <f>INDEX('vehicles specifications'!$B$3:$CK$86,MATCH(B80,'vehicles specifications'!$A$3:$A$86,0),MATCH("Passengers [unit]",'vehicles specifications'!$B$2:$CK$2,0))</f>
        <v>1.1000000000000001</v>
      </c>
    </row>
    <row r="87" spans="1:2" x14ac:dyDescent="0.3">
      <c r="A87" t="s">
        <v>134</v>
      </c>
      <c r="B87">
        <f>INDEX('vehicles specifications'!$B$3:$CK$86,MATCH(B80,'vehicles specifications'!$A$3:$A$86,0),MATCH("Servicing [unit]",'vehicles specifications'!$B$2:$CK$2,0))</f>
        <v>1.242</v>
      </c>
    </row>
    <row r="88" spans="1:2" x14ac:dyDescent="0.3">
      <c r="A88" t="s">
        <v>135</v>
      </c>
      <c r="B88">
        <f>INDEX('vehicles specifications'!$B$3:$CK$86,MATCH(B80,'vehicles specifications'!$A$3:$A$86,0),MATCH("Energy battery replacement [unit]",'vehicles specifications'!$B$2:$CK$2,0))</f>
        <v>0</v>
      </c>
    </row>
    <row r="89" spans="1:2" x14ac:dyDescent="0.3">
      <c r="A89" t="s">
        <v>136</v>
      </c>
      <c r="B89">
        <f>INDEX('vehicles specifications'!$B$3:$CK$86,MATCH(B80,'vehicles specifications'!$A$3:$A$86,0),MATCH("Annual kilometers [km]",'vehicles specifications'!$B$2:$CK$2,0))</f>
        <v>4592</v>
      </c>
    </row>
    <row r="90" spans="1:2" x14ac:dyDescent="0.3">
      <c r="A90" t="s">
        <v>137</v>
      </c>
      <c r="B90" s="2">
        <f>INDEX('vehicles specifications'!$B$3:$CK$86,MATCH(B80,'vehicles specifications'!$A$3:$A$86,0),MATCH("Curb mass [kg]",'vehicles specifications'!$B$2:$CK$2,0))</f>
        <v>256.52499999999998</v>
      </c>
    </row>
    <row r="91" spans="1:2" x14ac:dyDescent="0.3">
      <c r="A91" t="s">
        <v>138</v>
      </c>
      <c r="B91">
        <f>INDEX('vehicles specifications'!$B$3:$CK$86,MATCH(B80,'vehicles specifications'!$A$3:$A$86,0),MATCH("Power [kW]",'vehicles specifications'!$B$2:$CK$2,0))</f>
        <v>91</v>
      </c>
    </row>
    <row r="92" spans="1:2" x14ac:dyDescent="0.3">
      <c r="A92" t="s">
        <v>139</v>
      </c>
      <c r="B92">
        <f>INDEX('vehicles specifications'!$B$3:$CK$86,MATCH(B80,'vehicles specifications'!$A$3:$A$86,0),MATCH("Energy battery mass [kg]",'vehicles specifications'!$B$2:$CK$2,0))</f>
        <v>0</v>
      </c>
    </row>
    <row r="93" spans="1:2" x14ac:dyDescent="0.3">
      <c r="A93" t="s">
        <v>140</v>
      </c>
      <c r="B93">
        <f>INDEX('vehicles specifications'!$B$3:$CK$86,MATCH(B80,'vehicles specifications'!$A$3:$A$86,0),MATCH("Electric energy available [kWh]",'vehicles specifications'!$B$2:$CK$2,0))</f>
        <v>0</v>
      </c>
    </row>
    <row r="94" spans="1:2" x14ac:dyDescent="0.3">
      <c r="A94" t="s">
        <v>143</v>
      </c>
      <c r="B94" s="2">
        <f>INDEX('vehicles specifications'!$B$3:$CK$86,MATCH(B80,'vehicles specifications'!$A$3:$A$86,0),MATCH("Oxydation energy stored [kWh]",'vehicles specifications'!$B$2:$CK$2,0))</f>
        <v>159</v>
      </c>
    </row>
    <row r="95" spans="1:2" x14ac:dyDescent="0.3">
      <c r="A95" t="s">
        <v>145</v>
      </c>
      <c r="B95">
        <f>INDEX('vehicles specifications'!$B$3:$CK$86,MATCH(B80,'vehicles specifications'!$A$3:$A$86,0),MATCH("Fuel mass [kg]",'vehicles specifications'!$B$2:$CK$2,0))</f>
        <v>13.5</v>
      </c>
    </row>
    <row r="96" spans="1:2" x14ac:dyDescent="0.3">
      <c r="A96" t="s">
        <v>141</v>
      </c>
      <c r="B96" s="2">
        <f>INDEX('vehicles specifications'!$B$3:$CK$86,MATCH(B80,'vehicles specifications'!$A$3:$A$86,0),MATCH("Range [km]",'vehicles specifications'!$B$2:$CK$2,0))</f>
        <v>295.91177566349529</v>
      </c>
    </row>
    <row r="97" spans="1:8" x14ac:dyDescent="0.3">
      <c r="A97" t="s">
        <v>142</v>
      </c>
      <c r="B97" t="str">
        <f>INDEX('vehicles specifications'!$B$3:$CK$86,MATCH(B80,'vehicles specifications'!$A$3:$A$86,0),MATCH("Emission standard",'vehicles specifications'!$B$2:$CK$2,0))</f>
        <v>EURO-5</v>
      </c>
    </row>
    <row r="98" spans="1:8" x14ac:dyDescent="0.3">
      <c r="A98" t="s">
        <v>144</v>
      </c>
      <c r="B98" s="6">
        <f>INDEX('vehicles specifications'!$B$3:$CK$86,MATCH(B80,'vehicles specifications'!$A$3:$A$86,0),MATCH("Lightweighting rate [%]",'vehicles specifications'!$B$2:$CK$2,0))</f>
        <v>0</v>
      </c>
    </row>
    <row r="99" spans="1:8" s="21" customFormat="1" x14ac:dyDescent="0.3">
      <c r="A99" s="21" t="s">
        <v>513</v>
      </c>
      <c r="B99" s="6" t="s">
        <v>514</v>
      </c>
    </row>
    <row r="100" spans="1:8" s="21" customFormat="1" x14ac:dyDescent="0.3">
      <c r="A100" s="21" t="s">
        <v>515</v>
      </c>
      <c r="B100" s="2">
        <v>15900</v>
      </c>
    </row>
    <row r="101" spans="1:8" s="21" customFormat="1" x14ac:dyDescent="0.3">
      <c r="A101" s="21" t="s">
        <v>516</v>
      </c>
      <c r="B101" s="2">
        <v>1000</v>
      </c>
    </row>
    <row r="102" spans="1:8" s="21" customFormat="1"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91 kW. Lifetime: 62100 km. Annual kilometers: 4592 km. Number of passengers: 1.1. Curb mass: 256.5 kg. Lightweighting of glider: 0%. Emission standard: EURO-5. Service visits throughout lifetime: 1.2. Range: 296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t="s">
        <v>81</v>
      </c>
      <c r="B104" t="s">
        <v>82</v>
      </c>
      <c r="C104" t="s">
        <v>73</v>
      </c>
      <c r="D104" t="s">
        <v>77</v>
      </c>
      <c r="E104" t="s">
        <v>83</v>
      </c>
      <c r="F104" t="s">
        <v>75</v>
      </c>
      <c r="G104" t="s">
        <v>84</v>
      </c>
      <c r="H104" t="s">
        <v>74</v>
      </c>
    </row>
    <row r="105" spans="1:8" x14ac:dyDescent="0.3">
      <c r="A105" s="12" t="str">
        <f>B75</f>
        <v>Motorbike, gasoline, &gt;35kW, EURO-5, 2020</v>
      </c>
      <c r="B105" s="12">
        <v>1</v>
      </c>
      <c r="C105" s="12" t="str">
        <f>B76</f>
        <v>CH</v>
      </c>
      <c r="D105" s="12" t="str">
        <f>B83</f>
        <v>unit</v>
      </c>
      <c r="E105" s="12"/>
      <c r="F105" s="12" t="s">
        <v>85</v>
      </c>
      <c r="G105" s="12" t="s">
        <v>86</v>
      </c>
      <c r="H105" s="12" t="str">
        <f>B77</f>
        <v>Motorbike, gasoline, &gt;35kW,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1.2333333333333334</v>
      </c>
      <c r="C106" s="12" t="str">
        <f>INDEX('ei names mapping'!$B$38:$R$67,MATCH(B77,'ei names mapping'!$A$4:$A$33,0),MATCH(G106,'ei names mapping'!$B$3:$R$3,0))</f>
        <v>RER</v>
      </c>
      <c r="D106" s="12" t="str">
        <f>INDEX('ei names mapping'!$B$104:$R$133,MATCH(B77,'ei names mapping'!$A$104:$A$133,0),MATCH(G106,'ei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1.4444444444444444</v>
      </c>
      <c r="C107" s="12" t="str">
        <f>INDEX('ei names mapping'!$B$38:$R$67,MATCH(B77,'ei names mapping'!$A$4:$A$33,0),MATCH(G107,'ei names mapping'!$B$3:$R$3,0))</f>
        <v>RER</v>
      </c>
      <c r="D107" s="12" t="str">
        <f>INDEX('ei names mapping'!$B$104:$R$133,MATCH(B77,'ei names mapping'!$A$104:$A$133,0),MATCH(G107,'ei names mapping'!$B$3:$R$3,0))</f>
        <v>unit</v>
      </c>
      <c r="E107" s="12"/>
      <c r="F107" s="12" t="s">
        <v>91</v>
      </c>
      <c r="G107" t="s">
        <v>16</v>
      </c>
      <c r="H107" s="12" t="str">
        <f>INDEX('ei names mapping'!$B$71:$R$100,MATCH(B77,'ei names mapping'!$A$4:$A$33,0),MATCH(G107,'ei names mapping'!$B$3:$R$3,0))</f>
        <v>motor scooter, 50 cubic cm engine</v>
      </c>
    </row>
    <row r="108" spans="1:8" s="21" customFormat="1"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mapping'!$A$104:$A$133,0),MATCH(G108,'ei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2.0249999999999999</v>
      </c>
      <c r="C109" s="12" t="str">
        <f>INDEX('ei names mapping'!$B$38:$R$67,MATCH(B77,'ei names mapping'!$A$4:$A$33,0),MATCH(G109,'ei names mapping'!$B$3:$R$3,0))</f>
        <v>RER</v>
      </c>
      <c r="D109" s="12" t="str">
        <f>INDEX('ei names mapping'!$B$104:$R$133,MATCH(B77,'ei names mapping'!$A$104:$A$133,0),MATCH(G109,'ei names mapping'!$B$3:$R$3,0))</f>
        <v>kilogram</v>
      </c>
      <c r="E109" s="12"/>
      <c r="F109" s="12" t="s">
        <v>91</v>
      </c>
      <c r="G109" t="s">
        <v>24</v>
      </c>
      <c r="H109" s="12" t="str">
        <f>INDEX('ei names mapping'!$B$71:$R$100,MATCH(B77,'ei names mapping'!$A$4:$A$33,0),MATCH(G109,'ei names mapping'!$B$3:$R$3,0))</f>
        <v>polyethylene, high density, granulate</v>
      </c>
    </row>
    <row r="110" spans="1:8" s="21" customFormat="1" x14ac:dyDescent="0.3">
      <c r="A110" s="22" t="s">
        <v>468</v>
      </c>
      <c r="B110" s="21">
        <f>(B90/1000)*B101</f>
        <v>256.52499999999998</v>
      </c>
      <c r="C110" s="21" t="s">
        <v>94</v>
      </c>
      <c r="D110" s="21" t="s">
        <v>243</v>
      </c>
      <c r="F110" s="21" t="s">
        <v>91</v>
      </c>
      <c r="H110" s="22" t="s">
        <v>469</v>
      </c>
    </row>
    <row r="111" spans="1:8" s="21" customFormat="1" x14ac:dyDescent="0.3">
      <c r="A111" s="22" t="s">
        <v>467</v>
      </c>
      <c r="B111" s="2">
        <f>(B90/1000)*B100</f>
        <v>4078.7474999999999</v>
      </c>
      <c r="C111" s="21" t="s">
        <v>98</v>
      </c>
      <c r="D111" s="21" t="s">
        <v>243</v>
      </c>
      <c r="F111" s="21" t="s">
        <v>91</v>
      </c>
      <c r="H111" s="22" t="s">
        <v>467</v>
      </c>
    </row>
    <row r="113" spans="1:2" ht="15.6" x14ac:dyDescent="0.3">
      <c r="A113" s="11" t="s">
        <v>72</v>
      </c>
      <c r="B113" s="9" t="str">
        <f>B115&amp;", "&amp;B117</f>
        <v>Motorbike, gasoline, &gt;35kW, EURO-5, 2030</v>
      </c>
    </row>
    <row r="114" spans="1:2" x14ac:dyDescent="0.3">
      <c r="A114" t="s">
        <v>73</v>
      </c>
      <c r="B114" t="s">
        <v>37</v>
      </c>
    </row>
    <row r="115" spans="1:2" x14ac:dyDescent="0.3">
      <c r="A115" t="s">
        <v>87</v>
      </c>
      <c r="B115" t="s">
        <v>705</v>
      </c>
    </row>
    <row r="116" spans="1:2" x14ac:dyDescent="0.3">
      <c r="A116" t="s">
        <v>88</v>
      </c>
      <c r="B116" s="12"/>
    </row>
    <row r="117" spans="1:2" x14ac:dyDescent="0.3">
      <c r="A117" t="s">
        <v>89</v>
      </c>
      <c r="B117" s="12">
        <v>2030</v>
      </c>
    </row>
    <row r="118" spans="1:2" x14ac:dyDescent="0.3">
      <c r="A118" t="s">
        <v>131</v>
      </c>
      <c r="B118" s="12" t="str">
        <f>B115&amp;" - "&amp;B117&amp;" - "&amp;B114</f>
        <v>Motorbike, gasoline, &gt;35kW, EURO-5 - 2030 - CH</v>
      </c>
    </row>
    <row r="119" spans="1:2" x14ac:dyDescent="0.3">
      <c r="A119" t="s">
        <v>74</v>
      </c>
      <c r="B119" t="str">
        <f>B115</f>
        <v>Motorbike, gasoline, &gt;35kW, EURO-5</v>
      </c>
    </row>
    <row r="120" spans="1:2" x14ac:dyDescent="0.3">
      <c r="A120" t="s">
        <v>75</v>
      </c>
      <c r="B120" t="s">
        <v>76</v>
      </c>
    </row>
    <row r="121" spans="1:2" x14ac:dyDescent="0.3">
      <c r="A121" t="s">
        <v>77</v>
      </c>
      <c r="B121" t="s">
        <v>77</v>
      </c>
    </row>
    <row r="122" spans="1:2" x14ac:dyDescent="0.3">
      <c r="A122" t="s">
        <v>79</v>
      </c>
      <c r="B122" t="s">
        <v>90</v>
      </c>
    </row>
    <row r="123" spans="1:2" x14ac:dyDescent="0.3">
      <c r="A123" t="s">
        <v>132</v>
      </c>
      <c r="B123">
        <f>INDEX('vehicles specifications'!$B$3:$CK$86,MATCH(B118,'vehicles specifications'!$A$3:$A$86,0),MATCH("Lifetime [km]",'vehicles specifications'!$B$2:$CK$2,0))</f>
        <v>62100</v>
      </c>
    </row>
    <row r="124" spans="1:2" x14ac:dyDescent="0.3">
      <c r="A124" t="s">
        <v>133</v>
      </c>
      <c r="B124">
        <f>INDEX('vehicles specifications'!$B$3:$CK$86,MATCH(B118,'vehicles specifications'!$A$3:$A$86,0),MATCH("Passengers [unit]",'vehicles specifications'!$B$2:$CK$2,0))</f>
        <v>1.1000000000000001</v>
      </c>
    </row>
    <row r="125" spans="1:2" x14ac:dyDescent="0.3">
      <c r="A125" t="s">
        <v>134</v>
      </c>
      <c r="B125">
        <f>INDEX('vehicles specifications'!$B$3:$CK$86,MATCH(B118,'vehicles specifications'!$A$3:$A$86,0),MATCH("Servicing [unit]",'vehicles specifications'!$B$2:$CK$2,0))</f>
        <v>1.242</v>
      </c>
    </row>
    <row r="126" spans="1:2" x14ac:dyDescent="0.3">
      <c r="A126" t="s">
        <v>135</v>
      </c>
      <c r="B126">
        <f>INDEX('vehicles specifications'!$B$3:$CK$86,MATCH(B118,'vehicles specifications'!$A$3:$A$86,0),MATCH("Energy battery replacement [unit]",'vehicles specifications'!$B$2:$CK$2,0))</f>
        <v>0</v>
      </c>
    </row>
    <row r="127" spans="1:2" x14ac:dyDescent="0.3">
      <c r="A127" t="s">
        <v>136</v>
      </c>
      <c r="B127">
        <f>INDEX('vehicles specifications'!$B$3:$CK$86,MATCH(B118,'vehicles specifications'!$A$3:$A$86,0),MATCH("Annual kilometers [km]",'vehicles specifications'!$B$2:$CK$2,0))</f>
        <v>4592</v>
      </c>
    </row>
    <row r="128" spans="1:2" x14ac:dyDescent="0.3">
      <c r="A128" t="s">
        <v>137</v>
      </c>
      <c r="B128" s="2">
        <f>INDEX('vehicles specifications'!$B$3:$CK$86,MATCH(B118,'vehicles specifications'!$A$3:$A$86,0),MATCH("Curb mass [kg]",'vehicles specifications'!$B$2:$CK$2,0))</f>
        <v>253.19500000000002</v>
      </c>
    </row>
    <row r="129" spans="1:8" x14ac:dyDescent="0.3">
      <c r="A129" t="s">
        <v>138</v>
      </c>
      <c r="B129">
        <f>INDEX('vehicles specifications'!$B$3:$CK$86,MATCH(B118,'vehicles specifications'!$A$3:$A$86,0),MATCH("Power [kW]",'vehicles specifications'!$B$2:$CK$2,0))</f>
        <v>91</v>
      </c>
    </row>
    <row r="130" spans="1:8" x14ac:dyDescent="0.3">
      <c r="A130" t="s">
        <v>139</v>
      </c>
      <c r="B130">
        <f>INDEX('vehicles specifications'!$B$3:$CK$86,MATCH(B118,'vehicles specifications'!$A$3:$A$86,0),MATCH("Energy battery mass [kg]",'vehicles specifications'!$B$2:$CK$2,0))</f>
        <v>0</v>
      </c>
    </row>
    <row r="131" spans="1:8" x14ac:dyDescent="0.3">
      <c r="A131" t="s">
        <v>140</v>
      </c>
      <c r="B131">
        <f>INDEX('vehicles specifications'!$B$3:$CK$86,MATCH(B118,'vehicles specifications'!$A$3:$A$86,0),MATCH("Electric energy available [kWh]",'vehicles specifications'!$B$2:$CK$2,0))</f>
        <v>0</v>
      </c>
    </row>
    <row r="132" spans="1:8" x14ac:dyDescent="0.3">
      <c r="A132" t="s">
        <v>143</v>
      </c>
      <c r="B132" s="2">
        <f>INDEX('vehicles specifications'!$B$3:$CK$86,MATCH(B118,'vehicles specifications'!$A$3:$A$86,0),MATCH("Oxydation energy stored [kWh]",'vehicles specifications'!$B$2:$CK$2,0))</f>
        <v>159</v>
      </c>
    </row>
    <row r="133" spans="1:8" x14ac:dyDescent="0.3">
      <c r="A133" t="s">
        <v>145</v>
      </c>
      <c r="B133">
        <f>INDEX('vehicles specifications'!$B$3:$CK$86,MATCH(B118,'vehicles specifications'!$A$3:$A$86,0),MATCH("Fuel mass [kg]",'vehicles specifications'!$B$2:$CK$2,0))</f>
        <v>13.5</v>
      </c>
    </row>
    <row r="134" spans="1:8" x14ac:dyDescent="0.3">
      <c r="A134" t="s">
        <v>141</v>
      </c>
      <c r="B134" s="2">
        <f>INDEX('vehicles specifications'!$B$3:$CK$86,MATCH(B118,'vehicles specifications'!$A$3:$A$86,0),MATCH("Range [km]",'vehicles specifications'!$B$2:$CK$2,0))</f>
        <v>298.90078349848005</v>
      </c>
    </row>
    <row r="135" spans="1:8" x14ac:dyDescent="0.3">
      <c r="A135" t="s">
        <v>142</v>
      </c>
      <c r="B135" t="str">
        <f>INDEX('vehicles specifications'!$B$3:$CK$86,MATCH(B118,'vehicles specifications'!$A$3:$A$86,0),MATCH("Emission standard",'vehicles specifications'!$B$2:$CK$2,0))</f>
        <v>EURO-5</v>
      </c>
    </row>
    <row r="136" spans="1:8" x14ac:dyDescent="0.3">
      <c r="A136" t="s">
        <v>144</v>
      </c>
      <c r="B136" s="6">
        <f>INDEX('vehicles specifications'!$B$3:$CK$86,MATCH(B118,'vehicles specifications'!$A$3:$A$86,0),MATCH("Lightweighting rate [%]",'vehicles specifications'!$B$2:$CK$2,0))</f>
        <v>0.03</v>
      </c>
    </row>
    <row r="137" spans="1:8" s="21" customFormat="1" x14ac:dyDescent="0.3">
      <c r="A137" s="21" t="s">
        <v>513</v>
      </c>
      <c r="B137" s="6" t="s">
        <v>514</v>
      </c>
    </row>
    <row r="138" spans="1:8" s="21" customFormat="1" x14ac:dyDescent="0.3">
      <c r="A138" s="21" t="s">
        <v>515</v>
      </c>
      <c r="B138" s="2">
        <v>15900</v>
      </c>
    </row>
    <row r="139" spans="1:8" s="21" customFormat="1" x14ac:dyDescent="0.3">
      <c r="A139" s="21" t="s">
        <v>516</v>
      </c>
      <c r="B139" s="2">
        <v>1000</v>
      </c>
    </row>
    <row r="140" spans="1:8" s="21" customFormat="1"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91 kW. Lifetime: 62100 km. Annual kilometers: 4592 km. Number of passengers: 1.1. Curb mass: 253.2 kg. Lightweighting of glider: 3%. Emission standard: EURO-5. Service visits throughout lifetime: 1.2. Range: 299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t="s">
        <v>81</v>
      </c>
      <c r="B142" t="s">
        <v>82</v>
      </c>
      <c r="C142" t="s">
        <v>73</v>
      </c>
      <c r="D142" t="s">
        <v>77</v>
      </c>
      <c r="E142" t="s">
        <v>83</v>
      </c>
      <c r="F142" t="s">
        <v>75</v>
      </c>
      <c r="G142" t="s">
        <v>84</v>
      </c>
      <c r="H142" t="s">
        <v>74</v>
      </c>
    </row>
    <row r="143" spans="1:8" x14ac:dyDescent="0.3">
      <c r="A143" s="12" t="str">
        <f>B113</f>
        <v>Motorbike, gasoline, &gt;35kW, EURO-5, 2030</v>
      </c>
      <c r="B143" s="12">
        <v>1</v>
      </c>
      <c r="C143" s="12" t="str">
        <f>B114</f>
        <v>CH</v>
      </c>
      <c r="D143" s="12" t="str">
        <f>B121</f>
        <v>unit</v>
      </c>
      <c r="E143" s="12"/>
      <c r="F143" s="12" t="s">
        <v>85</v>
      </c>
      <c r="G143" s="12" t="s">
        <v>86</v>
      </c>
      <c r="H143" s="12" t="str">
        <f>B115</f>
        <v>Motorbike, gasoline, &gt;35kW,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1.2333333333333334</v>
      </c>
      <c r="C144" s="12" t="str">
        <f>INDEX('ei names mapping'!$B$38:$R$67,MATCH(B115,'ei names mapping'!$A$4:$A$33,0),MATCH(G144,'ei names mapping'!$B$3:$R$3,0))</f>
        <v>RER</v>
      </c>
      <c r="D144" s="12" t="str">
        <f>INDEX('ei names mapping'!$B$104:$R$133,MATCH(B115,'ei names mapping'!$A$104:$A$133,0),MATCH(G144,'ei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1.4444444444444444</v>
      </c>
      <c r="C145" s="12" t="str">
        <f>INDEX('ei names mapping'!$B$38:$R$67,MATCH(B115,'ei names mapping'!$A$4:$A$33,0),MATCH(G145,'ei names mapping'!$B$3:$R$3,0))</f>
        <v>RER</v>
      </c>
      <c r="D145" s="12" t="str">
        <f>INDEX('ei names mapping'!$B$104:$R$133,MATCH(B115,'ei names mapping'!$A$104:$A$133,0),MATCH(G145,'ei names mapping'!$B$3:$R$3,0))</f>
        <v>unit</v>
      </c>
      <c r="E145" s="12"/>
      <c r="F145" s="12" t="s">
        <v>91</v>
      </c>
      <c r="G145" t="s">
        <v>16</v>
      </c>
      <c r="H145" s="12" t="str">
        <f>INDEX('ei names mapping'!$B$71:$R$100,MATCH(B115,'ei names mapping'!$A$4:$A$33,0),MATCH(G145,'ei names mapping'!$B$3:$R$3,0))</f>
        <v>motor scooter, 50 cubic cm engine</v>
      </c>
    </row>
    <row r="146" spans="1:8" s="21" customFormat="1"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3.33</v>
      </c>
      <c r="C146" s="12" t="str">
        <f>INDEX('ei names mapping'!$B$38:$R$67,MATCH(B115,'ei names mapping'!$A$4:$A$33,0),MATCH(G146,'ei names mapping'!$B$3:$R$3,0))</f>
        <v>GLO</v>
      </c>
      <c r="D146" s="12" t="str">
        <f>INDEX('ei names mapping'!$B$104:$R$133,MATCH(B115,'ei names mapping'!$A$104:$A$133,0),MATCH(G146,'ei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2.0249999999999999</v>
      </c>
      <c r="C147" s="12" t="str">
        <f>INDEX('ei names mapping'!$B$38:$R$67,MATCH(B115,'ei names mapping'!$A$4:$A$33,0),MATCH(G147,'ei names mapping'!$B$3:$R$3,0))</f>
        <v>RER</v>
      </c>
      <c r="D147" s="12" t="str">
        <f>INDEX('ei names mapping'!$B$104:$R$133,MATCH(B115,'ei names mapping'!$A$104:$A$133,0),MATCH(G147,'ei names mapping'!$B$3:$R$3,0))</f>
        <v>kilogram</v>
      </c>
      <c r="E147" s="12"/>
      <c r="F147" s="12" t="s">
        <v>91</v>
      </c>
      <c r="G147" t="s">
        <v>24</v>
      </c>
      <c r="H147" s="12" t="str">
        <f>INDEX('ei names mapping'!$B$71:$R$100,MATCH(B115,'ei names mapping'!$A$4:$A$33,0),MATCH(G147,'ei names mapping'!$B$3:$R$3,0))</f>
        <v>polyethylene, high density, granulate</v>
      </c>
    </row>
    <row r="148" spans="1:8" s="21" customFormat="1" x14ac:dyDescent="0.3">
      <c r="A148" s="22" t="s">
        <v>468</v>
      </c>
      <c r="B148" s="21">
        <f>(B128/1000)*B139</f>
        <v>253.19499999999999</v>
      </c>
      <c r="C148" s="21" t="s">
        <v>94</v>
      </c>
      <c r="D148" s="21" t="s">
        <v>243</v>
      </c>
      <c r="F148" s="21" t="s">
        <v>91</v>
      </c>
      <c r="H148" s="22" t="s">
        <v>469</v>
      </c>
    </row>
    <row r="149" spans="1:8" s="21" customFormat="1" x14ac:dyDescent="0.3">
      <c r="A149" s="22" t="s">
        <v>467</v>
      </c>
      <c r="B149" s="2">
        <f>(B128/1000)*B138</f>
        <v>4025.8004999999998</v>
      </c>
      <c r="C149" s="21" t="s">
        <v>98</v>
      </c>
      <c r="D149" s="21" t="s">
        <v>243</v>
      </c>
      <c r="F149" s="21" t="s">
        <v>91</v>
      </c>
      <c r="H149" s="22" t="s">
        <v>467</v>
      </c>
    </row>
    <row r="151" spans="1:8" ht="15.6" x14ac:dyDescent="0.3">
      <c r="A151" s="11" t="s">
        <v>72</v>
      </c>
      <c r="B151" s="9" t="str">
        <f>B153&amp;", "&amp;B155</f>
        <v>Motorbike, gasoline, &gt;35kW, EURO-5, 2040</v>
      </c>
    </row>
    <row r="152" spans="1:8" x14ac:dyDescent="0.3">
      <c r="A152" t="s">
        <v>73</v>
      </c>
      <c r="B152" t="s">
        <v>37</v>
      </c>
    </row>
    <row r="153" spans="1:8" x14ac:dyDescent="0.3">
      <c r="A153" t="s">
        <v>87</v>
      </c>
      <c r="B153" t="s">
        <v>705</v>
      </c>
    </row>
    <row r="154" spans="1:8" x14ac:dyDescent="0.3">
      <c r="A154" t="s">
        <v>88</v>
      </c>
      <c r="B154" s="12"/>
    </row>
    <row r="155" spans="1:8" x14ac:dyDescent="0.3">
      <c r="A155" t="s">
        <v>89</v>
      </c>
      <c r="B155" s="12">
        <v>2040</v>
      </c>
    </row>
    <row r="156" spans="1:8" x14ac:dyDescent="0.3">
      <c r="A156" t="s">
        <v>131</v>
      </c>
      <c r="B156" s="12" t="str">
        <f>B153&amp;" - "&amp;B155&amp;" - "&amp;B152</f>
        <v>Motorbike, gasoline, &gt;35kW, EURO-5 - 2040 - CH</v>
      </c>
    </row>
    <row r="157" spans="1:8" x14ac:dyDescent="0.3">
      <c r="A157" t="s">
        <v>74</v>
      </c>
      <c r="B157" t="str">
        <f>B153</f>
        <v>Motorbike, gasoline, &gt;35kW, EURO-5</v>
      </c>
    </row>
    <row r="158" spans="1:8" x14ac:dyDescent="0.3">
      <c r="A158" t="s">
        <v>75</v>
      </c>
      <c r="B158" t="s">
        <v>76</v>
      </c>
    </row>
    <row r="159" spans="1:8" x14ac:dyDescent="0.3">
      <c r="A159" t="s">
        <v>77</v>
      </c>
      <c r="B159" t="s">
        <v>77</v>
      </c>
    </row>
    <row r="160" spans="1:8" x14ac:dyDescent="0.3">
      <c r="A160" t="s">
        <v>79</v>
      </c>
      <c r="B160" t="s">
        <v>90</v>
      </c>
    </row>
    <row r="161" spans="1:2" x14ac:dyDescent="0.3">
      <c r="A161" t="s">
        <v>132</v>
      </c>
      <c r="B161">
        <f>INDEX('vehicles specifications'!$B$3:$CK$86,MATCH(B156,'vehicles specifications'!$A$3:$A$86,0),MATCH("Lifetime [km]",'vehicles specifications'!$B$2:$CK$2,0))</f>
        <v>62100</v>
      </c>
    </row>
    <row r="162" spans="1:2" x14ac:dyDescent="0.3">
      <c r="A162" t="s">
        <v>133</v>
      </c>
      <c r="B162">
        <f>INDEX('vehicles specifications'!$B$3:$CK$86,MATCH(B156,'vehicles specifications'!$A$3:$A$86,0),MATCH("Passengers [unit]",'vehicles specifications'!$B$2:$CK$2,0))</f>
        <v>1.1000000000000001</v>
      </c>
    </row>
    <row r="163" spans="1:2" x14ac:dyDescent="0.3">
      <c r="A163" t="s">
        <v>134</v>
      </c>
      <c r="B163">
        <f>INDEX('vehicles specifications'!$B$3:$CK$86,MATCH(B156,'vehicles specifications'!$A$3:$A$86,0),MATCH("Servicing [unit]",'vehicles specifications'!$B$2:$CK$2,0))</f>
        <v>1.242</v>
      </c>
    </row>
    <row r="164" spans="1:2" x14ac:dyDescent="0.3">
      <c r="A164" t="s">
        <v>135</v>
      </c>
      <c r="B164">
        <f>INDEX('vehicles specifications'!$B$3:$CK$86,MATCH(B156,'vehicles specifications'!$A$3:$A$86,0),MATCH("Energy battery replacement [unit]",'vehicles specifications'!$B$2:$CK$2,0))</f>
        <v>0</v>
      </c>
    </row>
    <row r="165" spans="1:2" x14ac:dyDescent="0.3">
      <c r="A165" t="s">
        <v>136</v>
      </c>
      <c r="B165">
        <f>INDEX('vehicles specifications'!$B$3:$CK$86,MATCH(B156,'vehicles specifications'!$A$3:$A$86,0),MATCH("Annual kilometers [km]",'vehicles specifications'!$B$2:$CK$2,0))</f>
        <v>4592</v>
      </c>
    </row>
    <row r="166" spans="1:2" x14ac:dyDescent="0.3">
      <c r="A166" t="s">
        <v>137</v>
      </c>
      <c r="B166" s="2">
        <f>INDEX('vehicles specifications'!$B$3:$CK$86,MATCH(B156,'vehicles specifications'!$A$3:$A$86,0),MATCH("Curb mass [kg]",'vehicles specifications'!$B$2:$CK$2,0))</f>
        <v>250.97499999999999</v>
      </c>
    </row>
    <row r="167" spans="1:2" x14ac:dyDescent="0.3">
      <c r="A167" t="s">
        <v>138</v>
      </c>
      <c r="B167">
        <f>INDEX('vehicles specifications'!$B$3:$CK$86,MATCH(B156,'vehicles specifications'!$A$3:$A$86,0),MATCH("Power [kW]",'vehicles specifications'!$B$2:$CK$2,0))</f>
        <v>91</v>
      </c>
    </row>
    <row r="168" spans="1:2" x14ac:dyDescent="0.3">
      <c r="A168" t="s">
        <v>139</v>
      </c>
      <c r="B168">
        <f>INDEX('vehicles specifications'!$B$3:$CK$86,MATCH(B156,'vehicles specifications'!$A$3:$A$86,0),MATCH("Energy battery mass [kg]",'vehicles specifications'!$B$2:$CK$2,0))</f>
        <v>0</v>
      </c>
    </row>
    <row r="169" spans="1:2" x14ac:dyDescent="0.3">
      <c r="A169" t="s">
        <v>140</v>
      </c>
      <c r="B169">
        <f>INDEX('vehicles specifications'!$B$3:$CK$86,MATCH(B156,'vehicles specifications'!$A$3:$A$86,0),MATCH("Electric energy available [kWh]",'vehicles specifications'!$B$2:$CK$2,0))</f>
        <v>0</v>
      </c>
    </row>
    <row r="170" spans="1:2" x14ac:dyDescent="0.3">
      <c r="A170" t="s">
        <v>143</v>
      </c>
      <c r="B170" s="2">
        <f>INDEX('vehicles specifications'!$B$3:$CK$86,MATCH(B156,'vehicles specifications'!$A$3:$A$86,0),MATCH("Oxydation energy stored [kWh]",'vehicles specifications'!$B$2:$CK$2,0))</f>
        <v>159</v>
      </c>
    </row>
    <row r="171" spans="1:2" x14ac:dyDescent="0.3">
      <c r="A171" t="s">
        <v>145</v>
      </c>
      <c r="B171">
        <f>INDEX('vehicles specifications'!$B$3:$CK$86,MATCH(B156,'vehicles specifications'!$A$3:$A$86,0),MATCH("Fuel mass [kg]",'vehicles specifications'!$B$2:$CK$2,0))</f>
        <v>13.5</v>
      </c>
    </row>
    <row r="172" spans="1:2" x14ac:dyDescent="0.3">
      <c r="A172" t="s">
        <v>141</v>
      </c>
      <c r="B172" s="2">
        <f>INDEX('vehicles specifications'!$B$3:$CK$86,MATCH(B156,'vehicles specifications'!$A$3:$A$86,0),MATCH("Range [km]",'vehicles specifications'!$B$2:$CK$2,0))</f>
        <v>301.91998333179805</v>
      </c>
    </row>
    <row r="173" spans="1:2" x14ac:dyDescent="0.3">
      <c r="A173" t="s">
        <v>142</v>
      </c>
      <c r="B173" t="str">
        <f>INDEX('vehicles specifications'!$B$3:$CK$86,MATCH(B156,'vehicles specifications'!$A$3:$A$86,0),MATCH("Emission standard",'vehicles specifications'!$B$2:$CK$2,0))</f>
        <v>EURO-5</v>
      </c>
    </row>
    <row r="174" spans="1:2" x14ac:dyDescent="0.3">
      <c r="A174" t="s">
        <v>144</v>
      </c>
      <c r="B174" s="6">
        <f>INDEX('vehicles specifications'!$B$3:$CK$86,MATCH(B156,'vehicles specifications'!$A$3:$A$86,0),MATCH("Lightweighting rate [%]",'vehicles specifications'!$B$2:$CK$2,0))</f>
        <v>0.05</v>
      </c>
    </row>
    <row r="175" spans="1:2" s="21" customFormat="1" x14ac:dyDescent="0.3">
      <c r="A175" s="21" t="s">
        <v>513</v>
      </c>
      <c r="B175" s="6" t="s">
        <v>514</v>
      </c>
    </row>
    <row r="176" spans="1:2" s="21" customFormat="1" x14ac:dyDescent="0.3">
      <c r="A176" s="21" t="s">
        <v>515</v>
      </c>
      <c r="B176" s="2">
        <v>15900</v>
      </c>
    </row>
    <row r="177" spans="1:8" s="21" customFormat="1" x14ac:dyDescent="0.3">
      <c r="A177" s="21" t="s">
        <v>516</v>
      </c>
      <c r="B177" s="2">
        <v>1000</v>
      </c>
    </row>
    <row r="178" spans="1:8" s="21" customFormat="1"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91 kW. Lifetime: 62100 km. Annual kilometers: 4592 km. Number of passengers: 1.1. Curb mass: 251 kg. Lightweighting of glider: 5%. Emission standard: EURO-5. Service visits throughout lifetime: 1.2. Range: 302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t="s">
        <v>81</v>
      </c>
      <c r="B180" t="s">
        <v>82</v>
      </c>
      <c r="C180" t="s">
        <v>73</v>
      </c>
      <c r="D180" t="s">
        <v>77</v>
      </c>
      <c r="E180" t="s">
        <v>83</v>
      </c>
      <c r="F180" t="s">
        <v>75</v>
      </c>
      <c r="G180" t="s">
        <v>84</v>
      </c>
      <c r="H180" t="s">
        <v>74</v>
      </c>
    </row>
    <row r="181" spans="1:8" x14ac:dyDescent="0.3">
      <c r="A181" s="12" t="str">
        <f>B151</f>
        <v>Motorbike, gasoline, &gt;35kW, EURO-5, 2040</v>
      </c>
      <c r="B181" s="12">
        <v>1</v>
      </c>
      <c r="C181" s="12" t="str">
        <f>B152</f>
        <v>CH</v>
      </c>
      <c r="D181" s="12" t="str">
        <f>B159</f>
        <v>unit</v>
      </c>
      <c r="E181" s="12"/>
      <c r="F181" s="12" t="s">
        <v>85</v>
      </c>
      <c r="G181" s="12" t="s">
        <v>86</v>
      </c>
      <c r="H181" s="12" t="str">
        <f>B153</f>
        <v>Motorbike, gasoline, &gt;35kW,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1.2333333333333334</v>
      </c>
      <c r="C182" s="12" t="str">
        <f>INDEX('ei names mapping'!$B$38:$R$67,MATCH(B153,'ei names mapping'!$A$4:$A$33,0),MATCH(G182,'ei names mapping'!$B$3:$R$3,0))</f>
        <v>RER</v>
      </c>
      <c r="D182" s="12" t="str">
        <f>INDEX('ei names mapping'!$B$104:$R$133,MATCH(B153,'ei names mapping'!$A$104:$A$133,0),MATCH(G182,'ei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1.4444444444444444</v>
      </c>
      <c r="C183" s="12" t="str">
        <f>INDEX('ei names mapping'!$B$38:$R$67,MATCH(B153,'ei names mapping'!$A$4:$A$33,0),MATCH(G183,'ei names mapping'!$B$3:$R$3,0))</f>
        <v>RER</v>
      </c>
      <c r="D183" s="12" t="str">
        <f>INDEX('ei names mapping'!$B$104:$R$133,MATCH(B153,'ei names mapping'!$A$104:$A$133,0),MATCH(G183,'ei names mapping'!$B$3:$R$3,0))</f>
        <v>unit</v>
      </c>
      <c r="E183" s="12"/>
      <c r="F183" s="12" t="s">
        <v>91</v>
      </c>
      <c r="G183" t="s">
        <v>16</v>
      </c>
      <c r="H183" s="12" t="str">
        <f>INDEX('ei names mapping'!$B$71:$R$100,MATCH(B153,'ei names mapping'!$A$4:$A$33,0),MATCH(G183,'ei names mapping'!$B$3:$R$3,0))</f>
        <v>motor scooter, 50 cubic cm engine</v>
      </c>
    </row>
    <row r="184" spans="1:8" s="21" customFormat="1"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5.5500000000000007</v>
      </c>
      <c r="C184" s="12" t="str">
        <f>INDEX('ei names mapping'!$B$38:$R$67,MATCH(B153,'ei names mapping'!$A$4:$A$33,0),MATCH(G184,'ei names mapping'!$B$3:$R$3,0))</f>
        <v>GLO</v>
      </c>
      <c r="D184" s="12" t="str">
        <f>INDEX('ei names mapping'!$B$104:$R$133,MATCH(B153,'ei names mapping'!$A$104:$A$133,0),MATCH(G184,'ei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2.0249999999999999</v>
      </c>
      <c r="C185" s="12" t="str">
        <f>INDEX('ei names mapping'!$B$38:$R$67,MATCH(B153,'ei names mapping'!$A$4:$A$33,0),MATCH(G185,'ei names mapping'!$B$3:$R$3,0))</f>
        <v>RER</v>
      </c>
      <c r="D185" s="12" t="str">
        <f>INDEX('ei names mapping'!$B$104:$R$133,MATCH(B153,'ei names mapping'!$A$104:$A$133,0),MATCH(G185,'ei names mapping'!$B$3:$R$3,0))</f>
        <v>kilogram</v>
      </c>
      <c r="E185" s="12"/>
      <c r="F185" s="12" t="s">
        <v>91</v>
      </c>
      <c r="G185" t="s">
        <v>24</v>
      </c>
      <c r="H185" s="12" t="str">
        <f>INDEX('ei names mapping'!$B$71:$R$100,MATCH(B153,'ei names mapping'!$A$4:$A$33,0),MATCH(G185,'ei names mapping'!$B$3:$R$3,0))</f>
        <v>polyethylene, high density, granulate</v>
      </c>
    </row>
    <row r="186" spans="1:8" s="21" customFormat="1" x14ac:dyDescent="0.3">
      <c r="A186" s="22" t="s">
        <v>468</v>
      </c>
      <c r="B186" s="21">
        <f>(B166/1000)*B177</f>
        <v>250.97499999999999</v>
      </c>
      <c r="C186" s="21" t="s">
        <v>94</v>
      </c>
      <c r="D186" s="21" t="s">
        <v>243</v>
      </c>
      <c r="F186" s="21" t="s">
        <v>91</v>
      </c>
      <c r="H186" s="22" t="s">
        <v>469</v>
      </c>
    </row>
    <row r="187" spans="1:8" s="21" customFormat="1" x14ac:dyDescent="0.3">
      <c r="A187" s="22" t="s">
        <v>467</v>
      </c>
      <c r="B187" s="2">
        <f>(B166/1000)*B176</f>
        <v>3990.5025000000001</v>
      </c>
      <c r="C187" s="21" t="s">
        <v>98</v>
      </c>
      <c r="D187" s="21" t="s">
        <v>243</v>
      </c>
      <c r="F187" s="21" t="s">
        <v>91</v>
      </c>
      <c r="H187" s="22" t="s">
        <v>467</v>
      </c>
    </row>
    <row r="189" spans="1:8" ht="15.6" x14ac:dyDescent="0.3">
      <c r="A189" s="11" t="s">
        <v>72</v>
      </c>
      <c r="B189" s="9" t="str">
        <f>B191&amp;", "&amp;B193</f>
        <v>Motorbike, gasoline, &gt;35kW, EURO-5, 2050</v>
      </c>
    </row>
    <row r="190" spans="1:8" x14ac:dyDescent="0.3">
      <c r="A190" t="s">
        <v>73</v>
      </c>
      <c r="B190" t="s">
        <v>37</v>
      </c>
    </row>
    <row r="191" spans="1:8" x14ac:dyDescent="0.3">
      <c r="A191" t="s">
        <v>87</v>
      </c>
      <c r="B191" t="s">
        <v>705</v>
      </c>
    </row>
    <row r="192" spans="1:8" x14ac:dyDescent="0.3">
      <c r="A192" t="s">
        <v>88</v>
      </c>
      <c r="B192" s="12"/>
    </row>
    <row r="193" spans="1:2" x14ac:dyDescent="0.3">
      <c r="A193" t="s">
        <v>89</v>
      </c>
      <c r="B193" s="12">
        <v>2050</v>
      </c>
    </row>
    <row r="194" spans="1:2" x14ac:dyDescent="0.3">
      <c r="A194" t="s">
        <v>131</v>
      </c>
      <c r="B194" s="12" t="str">
        <f>B191&amp;" - "&amp;B193&amp;" - "&amp;B190</f>
        <v>Motorbike, gasoline, &gt;35kW, EURO-5 - 2050 - CH</v>
      </c>
    </row>
    <row r="195" spans="1:2" x14ac:dyDescent="0.3">
      <c r="A195" t="s">
        <v>74</v>
      </c>
      <c r="B195" t="str">
        <f>B191</f>
        <v>Motorbike, gasoline, &gt;35kW, EURO-5</v>
      </c>
    </row>
    <row r="196" spans="1:2" x14ac:dyDescent="0.3">
      <c r="A196" t="s">
        <v>75</v>
      </c>
      <c r="B196" t="s">
        <v>76</v>
      </c>
    </row>
    <row r="197" spans="1:2" x14ac:dyDescent="0.3">
      <c r="A197" t="s">
        <v>77</v>
      </c>
      <c r="B197" t="s">
        <v>77</v>
      </c>
    </row>
    <row r="198" spans="1:2" x14ac:dyDescent="0.3">
      <c r="A198" t="s">
        <v>79</v>
      </c>
      <c r="B198" t="s">
        <v>90</v>
      </c>
    </row>
    <row r="199" spans="1:2" x14ac:dyDescent="0.3">
      <c r="A199" t="s">
        <v>132</v>
      </c>
      <c r="B199">
        <f>INDEX('vehicles specifications'!$B$3:$CK$86,MATCH(B194,'vehicles specifications'!$A$3:$A$86,0),MATCH("Lifetime [km]",'vehicles specifications'!$B$2:$CK$2,0))</f>
        <v>62100</v>
      </c>
    </row>
    <row r="200" spans="1:2" x14ac:dyDescent="0.3">
      <c r="A200" t="s">
        <v>133</v>
      </c>
      <c r="B200">
        <f>INDEX('vehicles specifications'!$B$3:$CK$86,MATCH(B194,'vehicles specifications'!$A$3:$A$86,0),MATCH("Passengers [unit]",'vehicles specifications'!$B$2:$CK$2,0))</f>
        <v>1.1000000000000001</v>
      </c>
    </row>
    <row r="201" spans="1:2" x14ac:dyDescent="0.3">
      <c r="A201" t="s">
        <v>134</v>
      </c>
      <c r="B201">
        <f>INDEX('vehicles specifications'!$B$3:$CK$86,MATCH(B194,'vehicles specifications'!$A$3:$A$86,0),MATCH("Servicing [unit]",'vehicles specifications'!$B$2:$CK$2,0))</f>
        <v>1.242</v>
      </c>
    </row>
    <row r="202" spans="1:2" x14ac:dyDescent="0.3">
      <c r="A202" t="s">
        <v>135</v>
      </c>
      <c r="B202">
        <f>INDEX('vehicles specifications'!$B$3:$CK$86,MATCH(B194,'vehicles specifications'!$A$3:$A$86,0),MATCH("Energy battery replacement [unit]",'vehicles specifications'!$B$2:$CK$2,0))</f>
        <v>0</v>
      </c>
    </row>
    <row r="203" spans="1:2" x14ac:dyDescent="0.3">
      <c r="A203" t="s">
        <v>136</v>
      </c>
      <c r="B203">
        <f>INDEX('vehicles specifications'!$B$3:$CK$86,MATCH(B194,'vehicles specifications'!$A$3:$A$86,0),MATCH("Annual kilometers [km]",'vehicles specifications'!$B$2:$CK$2,0))</f>
        <v>4592</v>
      </c>
    </row>
    <row r="204" spans="1:2" x14ac:dyDescent="0.3">
      <c r="A204" t="s">
        <v>137</v>
      </c>
      <c r="B204" s="2">
        <f>INDEX('vehicles specifications'!$B$3:$CK$86,MATCH(B194,'vehicles specifications'!$A$3:$A$86,0),MATCH("Curb mass [kg]",'vehicles specifications'!$B$2:$CK$2,0))</f>
        <v>248.755</v>
      </c>
    </row>
    <row r="205" spans="1:2" x14ac:dyDescent="0.3">
      <c r="A205" t="s">
        <v>138</v>
      </c>
      <c r="B205">
        <f>INDEX('vehicles specifications'!$B$3:$CK$86,MATCH(B194,'vehicles specifications'!$A$3:$A$86,0),MATCH("Power [kW]",'vehicles specifications'!$B$2:$CK$2,0))</f>
        <v>91</v>
      </c>
    </row>
    <row r="206" spans="1:2" x14ac:dyDescent="0.3">
      <c r="A206" t="s">
        <v>139</v>
      </c>
      <c r="B206">
        <f>INDEX('vehicles specifications'!$B$3:$CK$86,MATCH(B194,'vehicles specifications'!$A$3:$A$86,0),MATCH("Energy battery mass [kg]",'vehicles specifications'!$B$2:$CK$2,0))</f>
        <v>0</v>
      </c>
    </row>
    <row r="207" spans="1:2" x14ac:dyDescent="0.3">
      <c r="A207" t="s">
        <v>140</v>
      </c>
      <c r="B207">
        <f>INDEX('vehicles specifications'!$B$3:$CK$86,MATCH(B194,'vehicles specifications'!$A$3:$A$86,0),MATCH("Electric energy available [kWh]",'vehicles specifications'!$B$2:$CK$2,0))</f>
        <v>0</v>
      </c>
    </row>
    <row r="208" spans="1:2" x14ac:dyDescent="0.3">
      <c r="A208" t="s">
        <v>143</v>
      </c>
      <c r="B208" s="2">
        <f>INDEX('vehicles specifications'!$B$3:$CK$86,MATCH(B194,'vehicles specifications'!$A$3:$A$86,0),MATCH("Oxydation energy stored [kWh]",'vehicles specifications'!$B$2:$CK$2,0))</f>
        <v>159</v>
      </c>
    </row>
    <row r="209" spans="1:8" x14ac:dyDescent="0.3">
      <c r="A209" t="s">
        <v>145</v>
      </c>
      <c r="B209">
        <f>INDEX('vehicles specifications'!$B$3:$CK$86,MATCH(B194,'vehicles specifications'!$A$3:$A$86,0),MATCH("Fuel mass [kg]",'vehicles specifications'!$B$2:$CK$2,0))</f>
        <v>13.5</v>
      </c>
    </row>
    <row r="210" spans="1:8" x14ac:dyDescent="0.3">
      <c r="A210" t="s">
        <v>141</v>
      </c>
      <c r="B210" s="2">
        <f>INDEX('vehicles specifications'!$B$3:$CK$86,MATCH(B194,'vehicles specifications'!$A$3:$A$86,0),MATCH("Range [km]",'vehicles specifications'!$B$2:$CK$2,0))</f>
        <v>304.96968013312937</v>
      </c>
    </row>
    <row r="211" spans="1:8" x14ac:dyDescent="0.3">
      <c r="A211" t="s">
        <v>142</v>
      </c>
      <c r="B211" t="str">
        <f>INDEX('vehicles specifications'!$B$3:$CK$86,MATCH(B194,'vehicles specifications'!$A$3:$A$86,0),MATCH("Emission standard",'vehicles specifications'!$B$2:$CK$2,0))</f>
        <v>EURO-5</v>
      </c>
    </row>
    <row r="212" spans="1:8" x14ac:dyDescent="0.3">
      <c r="A212" t="s">
        <v>144</v>
      </c>
      <c r="B212" s="6">
        <f>INDEX('vehicles specifications'!$B$3:$CK$86,MATCH(B194,'vehicles specifications'!$A$3:$A$86,0),MATCH("Lightweighting rate [%]",'vehicles specifications'!$B$2:$CK$2,0))</f>
        <v>7.0000000000000007E-2</v>
      </c>
    </row>
    <row r="213" spans="1:8" s="21" customFormat="1" x14ac:dyDescent="0.3">
      <c r="A213" s="21" t="s">
        <v>513</v>
      </c>
      <c r="B213" s="6" t="s">
        <v>514</v>
      </c>
    </row>
    <row r="214" spans="1:8" s="21" customFormat="1" x14ac:dyDescent="0.3">
      <c r="A214" s="21" t="s">
        <v>515</v>
      </c>
      <c r="B214" s="2">
        <v>15900</v>
      </c>
    </row>
    <row r="215" spans="1:8" s="21" customFormat="1" x14ac:dyDescent="0.3">
      <c r="A215" s="21" t="s">
        <v>516</v>
      </c>
      <c r="B215" s="2">
        <v>1000</v>
      </c>
    </row>
    <row r="216" spans="1:8" s="21" customFormat="1"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91 kW. Lifetime: 62100 km. Annual kilometers: 4592 km. Number of passengers: 1.1. Curb mass: 248.8 kg. Lightweighting of glider: 7%. Emission standard: EURO-5. Service visits throughout lifetime: 1.2. Range: 305 km. Battery capacity: 0 kWh. Battery mass: 0 kg. Battery replacement throughout lifetime: 0. Fuel tank capacity: 159 kWh. Fuel mass: 13.5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t="s">
        <v>81</v>
      </c>
      <c r="B218" t="s">
        <v>82</v>
      </c>
      <c r="C218" t="s">
        <v>73</v>
      </c>
      <c r="D218" t="s">
        <v>77</v>
      </c>
      <c r="E218" t="s">
        <v>83</v>
      </c>
      <c r="F218" t="s">
        <v>75</v>
      </c>
      <c r="G218" t="s">
        <v>84</v>
      </c>
      <c r="H218" t="s">
        <v>74</v>
      </c>
    </row>
    <row r="219" spans="1:8" x14ac:dyDescent="0.3">
      <c r="A219" s="12" t="str">
        <f>B189</f>
        <v>Motorbike, gasoline, &gt;35kW, EURO-5, 2050</v>
      </c>
      <c r="B219" s="12">
        <v>1</v>
      </c>
      <c r="C219" s="12" t="str">
        <f>B190</f>
        <v>CH</v>
      </c>
      <c r="D219" s="12" t="str">
        <f>B197</f>
        <v>unit</v>
      </c>
      <c r="E219" s="12"/>
      <c r="F219" s="12" t="s">
        <v>85</v>
      </c>
      <c r="G219" s="12" t="s">
        <v>86</v>
      </c>
      <c r="H219" s="12" t="str">
        <f>B191</f>
        <v>Motorbike, gasoline, &gt;35kW,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1.2333333333333334</v>
      </c>
      <c r="C220" s="12" t="str">
        <f>INDEX('ei names mapping'!$B$38:$R$67,MATCH(B191,'ei names mapping'!$A$4:$A$33,0),MATCH(G220,'ei names mapping'!$B$3:$R$3,0))</f>
        <v>RER</v>
      </c>
      <c r="D220" s="12" t="str">
        <f>INDEX('ei names mapping'!$B$104:$R$133,MATCH(B191,'ei names mapping'!$A$104:$A$133,0),MATCH(G220,'ei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1.4444444444444444</v>
      </c>
      <c r="C221" s="12" t="str">
        <f>INDEX('ei names mapping'!$B$38:$R$67,MATCH(B191,'ei names mapping'!$A$4:$A$33,0),MATCH(G221,'ei names mapping'!$B$3:$R$3,0))</f>
        <v>RER</v>
      </c>
      <c r="D221" s="12" t="str">
        <f>INDEX('ei names mapping'!$B$104:$R$133,MATCH(B191,'ei names mapping'!$A$104:$A$133,0),MATCH(G221,'ei names mapping'!$B$3:$R$3,0))</f>
        <v>unit</v>
      </c>
      <c r="E221" s="12"/>
      <c r="F221" s="12" t="s">
        <v>91</v>
      </c>
      <c r="G221" t="s">
        <v>16</v>
      </c>
      <c r="H221" s="12" t="str">
        <f>INDEX('ei names mapping'!$B$71:$R$100,MATCH(B191,'ei names mapping'!$A$4:$A$33,0),MATCH(G221,'ei names mapping'!$B$3:$R$3,0))</f>
        <v>motor scooter, 50 cubic cm engine</v>
      </c>
    </row>
    <row r="222" spans="1:8" s="21" customFormat="1"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7.7700000000000005</v>
      </c>
      <c r="C222" s="12" t="str">
        <f>INDEX('ei names mapping'!$B$38:$R$67,MATCH(B191,'ei names mapping'!$A$4:$A$33,0),MATCH(G222,'ei names mapping'!$B$3:$R$3,0))</f>
        <v>GLO</v>
      </c>
      <c r="D222" s="12" t="str">
        <f>INDEX('ei names mapping'!$B$104:$R$133,MATCH(B191,'ei names mapping'!$A$104:$A$133,0),MATCH(G222,'ei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2.0249999999999999</v>
      </c>
      <c r="C223" s="12" t="str">
        <f>INDEX('ei names mapping'!$B$38:$R$67,MATCH(B191,'ei names mapping'!$A$4:$A$33,0),MATCH(G223,'ei names mapping'!$B$3:$R$3,0))</f>
        <v>RER</v>
      </c>
      <c r="D223" s="12" t="str">
        <f>INDEX('ei names mapping'!$B$104:$R$133,MATCH(B191,'ei names mapping'!$A$104:$A$133,0),MATCH(G223,'ei names mapping'!$B$3:$R$3,0))</f>
        <v>kilogram</v>
      </c>
      <c r="E223" s="12"/>
      <c r="F223" s="12" t="s">
        <v>91</v>
      </c>
      <c r="G223" t="s">
        <v>24</v>
      </c>
      <c r="H223" s="12" t="str">
        <f>INDEX('ei names mapping'!$B$71:$R$100,MATCH(B191,'ei names mapping'!$A$4:$A$33,0),MATCH(G223,'ei names mapping'!$B$3:$R$3,0))</f>
        <v>polyethylene, high density, granulate</v>
      </c>
    </row>
    <row r="224" spans="1:8" s="21" customFormat="1" x14ac:dyDescent="0.3">
      <c r="A224" s="22" t="s">
        <v>468</v>
      </c>
      <c r="B224" s="21">
        <f>(B204/1000)*B215</f>
        <v>248.755</v>
      </c>
      <c r="C224" s="21" t="s">
        <v>94</v>
      </c>
      <c r="D224" s="21" t="s">
        <v>243</v>
      </c>
      <c r="F224" s="21" t="s">
        <v>91</v>
      </c>
      <c r="H224" s="22" t="s">
        <v>469</v>
      </c>
    </row>
    <row r="225" spans="1:8" s="21" customFormat="1" x14ac:dyDescent="0.3">
      <c r="A225" s="22" t="s">
        <v>467</v>
      </c>
      <c r="B225" s="2">
        <f>(B204/1000)*B214</f>
        <v>3955.2045000000003</v>
      </c>
      <c r="C225" s="21" t="s">
        <v>98</v>
      </c>
      <c r="D225" s="21" t="s">
        <v>243</v>
      </c>
      <c r="F225" s="21" t="s">
        <v>91</v>
      </c>
      <c r="H225" s="22" t="s">
        <v>467</v>
      </c>
    </row>
    <row r="227" spans="1:8" ht="15.6" x14ac:dyDescent="0.3">
      <c r="A227" s="11" t="s">
        <v>72</v>
      </c>
      <c r="B227" s="9" t="str">
        <f>"transport, "&amp;B229&amp;", "&amp;B231</f>
        <v>transport, Motorbike, gasoline, &gt;35kW, EURO-3, 2006</v>
      </c>
    </row>
    <row r="228" spans="1:8" x14ac:dyDescent="0.3">
      <c r="A228" t="s">
        <v>73</v>
      </c>
      <c r="B228" t="s">
        <v>37</v>
      </c>
    </row>
    <row r="229" spans="1:8" x14ac:dyDescent="0.3">
      <c r="A229" t="s">
        <v>87</v>
      </c>
      <c r="B229" t="s">
        <v>703</v>
      </c>
    </row>
    <row r="230" spans="1:8" x14ac:dyDescent="0.3">
      <c r="A230" t="s">
        <v>88</v>
      </c>
      <c r="B230" s="12"/>
    </row>
    <row r="231" spans="1:8" x14ac:dyDescent="0.3">
      <c r="A231" t="s">
        <v>89</v>
      </c>
      <c r="B231" s="12">
        <v>2006</v>
      </c>
    </row>
    <row r="232" spans="1:8" x14ac:dyDescent="0.3">
      <c r="A232" t="s">
        <v>131</v>
      </c>
      <c r="B232" s="12" t="str">
        <f>B229&amp;" - "&amp;B231&amp;" - "&amp;B228</f>
        <v>Motorbike, gasoline, &gt;35kW, EURO-3 - 2006 - CH</v>
      </c>
    </row>
    <row r="233" spans="1:8" x14ac:dyDescent="0.3">
      <c r="A233" t="s">
        <v>74</v>
      </c>
      <c r="B233" s="12" t="str">
        <f>"transport, "&amp;B229</f>
        <v>transport, Motorbike, gasoline, &gt;35kW, EURO-3</v>
      </c>
    </row>
    <row r="234" spans="1:8" x14ac:dyDescent="0.3">
      <c r="A234" t="s">
        <v>75</v>
      </c>
      <c r="B234" t="s">
        <v>76</v>
      </c>
    </row>
    <row r="235" spans="1:8" x14ac:dyDescent="0.3">
      <c r="A235" t="s">
        <v>77</v>
      </c>
      <c r="B235" t="s">
        <v>172</v>
      </c>
    </row>
    <row r="236" spans="1:8" x14ac:dyDescent="0.3">
      <c r="A236" t="s">
        <v>79</v>
      </c>
      <c r="B236" t="s">
        <v>90</v>
      </c>
    </row>
    <row r="237" spans="1:8" x14ac:dyDescent="0.3">
      <c r="A237" t="s">
        <v>132</v>
      </c>
      <c r="B237">
        <f>INDEX('vehicles specifications'!$B$3:$CK$86,MATCH(B232,'vehicles specifications'!$A$3:$A$86,0),MATCH("Lifetime [km]",'vehicles specifications'!$B$2:$CK$2,0))</f>
        <v>62100</v>
      </c>
    </row>
    <row r="238" spans="1:8" x14ac:dyDescent="0.3">
      <c r="A238" t="s">
        <v>133</v>
      </c>
      <c r="B238">
        <f>INDEX('vehicles specifications'!$B$3:$CK$86,MATCH(B232,'vehicles specifications'!$A$3:$A$86,0),MATCH("Passengers [unit]",'vehicles specifications'!$B$2:$CK$2,0))</f>
        <v>1.1000000000000001</v>
      </c>
    </row>
    <row r="239" spans="1:8" x14ac:dyDescent="0.3">
      <c r="A239" t="s">
        <v>134</v>
      </c>
      <c r="B239">
        <f>INDEX('vehicles specifications'!$B$3:$CK$86,MATCH(B232,'vehicles specifications'!$A$3:$A$86,0),MATCH("Servicing [unit]",'vehicles specifications'!$B$2:$CK$2,0))</f>
        <v>1.242</v>
      </c>
    </row>
    <row r="240" spans="1:8" x14ac:dyDescent="0.3">
      <c r="A240" t="s">
        <v>135</v>
      </c>
      <c r="B240">
        <f>INDEX('vehicles specifications'!$B$3:$CK$86,MATCH(B232,'vehicles specifications'!$A$3:$A$86,0),MATCH("Energy battery replacement [unit]",'vehicles specifications'!$B$2:$CK$2,0))</f>
        <v>0</v>
      </c>
    </row>
    <row r="241" spans="1:8" x14ac:dyDescent="0.3">
      <c r="A241" t="s">
        <v>136</v>
      </c>
      <c r="B241">
        <f>INDEX('vehicles specifications'!$B$3:$CK$86,MATCH(B232,'vehicles specifications'!$A$3:$A$86,0),MATCH("Annual kilometers [km]",'vehicles specifications'!$B$2:$CK$2,0))</f>
        <v>4592</v>
      </c>
    </row>
    <row r="242" spans="1:8" x14ac:dyDescent="0.3">
      <c r="A242" t="s">
        <v>137</v>
      </c>
      <c r="B242" s="2">
        <f>INDEX('vehicles specifications'!$B$3:$CK$86,MATCH(B232,'vehicles specifications'!$A$3:$A$86,0),MATCH("Curb mass [kg]",'vehicles specifications'!$B$2:$CK$2,0))</f>
        <v>262.07499999999999</v>
      </c>
    </row>
    <row r="243" spans="1:8" x14ac:dyDescent="0.3">
      <c r="A243" t="s">
        <v>138</v>
      </c>
      <c r="B243">
        <f>INDEX('vehicles specifications'!$B$3:$CK$86,MATCH(B232,'vehicles specifications'!$A$3:$A$86,0),MATCH("Power [kW]",'vehicles specifications'!$B$2:$CK$2,0))</f>
        <v>91</v>
      </c>
    </row>
    <row r="244" spans="1:8" x14ac:dyDescent="0.3">
      <c r="A244" t="s">
        <v>139</v>
      </c>
      <c r="B244">
        <f>INDEX('vehicles specifications'!$B$3:$CK$86,MATCH(B232,'vehicles specifications'!$A$3:$A$86,0),MATCH("Energy battery mass [kg]",'vehicles specifications'!$B$2:$CK$2,0))</f>
        <v>0</v>
      </c>
    </row>
    <row r="245" spans="1:8" x14ac:dyDescent="0.3">
      <c r="A245" t="s">
        <v>140</v>
      </c>
      <c r="B245">
        <f>INDEX('vehicles specifications'!$B$3:$CK$86,MATCH(B232,'vehicles specifications'!$A$3:$A$86,0),MATCH("Electric energy available [kWh]",'vehicles specifications'!$B$2:$CK$2,0))</f>
        <v>0</v>
      </c>
    </row>
    <row r="246" spans="1:8" x14ac:dyDescent="0.3">
      <c r="A246" t="s">
        <v>143</v>
      </c>
      <c r="B246" s="2">
        <f>INDEX('vehicles specifications'!$B$3:$CK$86,MATCH(B232,'vehicles specifications'!$A$3:$A$86,0),MATCH("Oxydation energy stored [kWh]",'vehicles specifications'!$B$2:$CK$2,0))</f>
        <v>159</v>
      </c>
    </row>
    <row r="247" spans="1:8" x14ac:dyDescent="0.3">
      <c r="A247" t="s">
        <v>145</v>
      </c>
      <c r="B247">
        <f>INDEX('vehicles specifications'!$B$3:$CK$86,MATCH(B232,'vehicles specifications'!$A$3:$A$86,0),MATCH("Fuel mass [kg]",'vehicles specifications'!$B$2:$CK$2,0))</f>
        <v>13.5</v>
      </c>
    </row>
    <row r="248" spans="1:8" x14ac:dyDescent="0.3">
      <c r="A248" t="s">
        <v>141</v>
      </c>
      <c r="B248" s="2">
        <f>INDEX('vehicles specifications'!$B$3:$CK$86,MATCH(B232,'vehicles specifications'!$A$3:$A$86,0),MATCH("Range [km]",'vehicles specifications'!$B$2:$CK$2,0))</f>
        <v>290.05213654144586</v>
      </c>
    </row>
    <row r="249" spans="1:8" x14ac:dyDescent="0.3">
      <c r="A249" t="s">
        <v>142</v>
      </c>
      <c r="B249" t="str">
        <f>INDEX('vehicles specifications'!$B$3:$CK$86,MATCH(B232,'vehicles specifications'!$A$3:$A$86,0),MATCH("Emission standard",'vehicles specifications'!$B$2:$CK$2,0))</f>
        <v>EURO-3</v>
      </c>
    </row>
    <row r="250" spans="1:8" x14ac:dyDescent="0.3">
      <c r="A250" t="s">
        <v>144</v>
      </c>
      <c r="B250" s="6">
        <f>INDEX('vehicles specifications'!$B$3:$CK$86,MATCH(B232,'vehicles specifications'!$A$3:$A$86,0),MATCH("Lightweighting rate [%]",'vehicles specifications'!$B$2:$CK$2,0))</f>
        <v>-0.05</v>
      </c>
    </row>
    <row r="251" spans="1:8" x14ac:dyDescent="0.3">
      <c r="A25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91 kW. Lifetime: 62100 km. Annual kilometers: 4592 km. Number of passengers: 1.1. Curb mass: 262.1 kg. Lightweighting of glider: -5%. Emission standard: EURO-3. Service visits throughout lifetime: 1.2. Range: 290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t="s">
        <v>81</v>
      </c>
      <c r="B253" t="s">
        <v>82</v>
      </c>
      <c r="C253" t="s">
        <v>73</v>
      </c>
      <c r="D253" t="s">
        <v>77</v>
      </c>
      <c r="E253" t="s">
        <v>83</v>
      </c>
      <c r="F253" t="s">
        <v>75</v>
      </c>
      <c r="G253" t="s">
        <v>84</v>
      </c>
      <c r="H253" t="s">
        <v>74</v>
      </c>
    </row>
    <row r="254" spans="1:8" x14ac:dyDescent="0.3">
      <c r="A254" s="12" t="str">
        <f>B227</f>
        <v>transport, Motorbike, gasoline, &gt;35kW, EURO-3, 2006</v>
      </c>
      <c r="B254" s="12">
        <v>1</v>
      </c>
      <c r="C254" s="12" t="str">
        <f>B228</f>
        <v>CH</v>
      </c>
      <c r="D254" s="12" t="s">
        <v>172</v>
      </c>
      <c r="E254" s="12"/>
      <c r="F254" s="12" t="s">
        <v>85</v>
      </c>
      <c r="G254" s="12" t="s">
        <v>86</v>
      </c>
      <c r="H254" s="12" t="str">
        <f>B233</f>
        <v>transport, Motorbike, gasoline, &gt;35kW, EURO-3</v>
      </c>
    </row>
    <row r="255" spans="1:8" x14ac:dyDescent="0.3">
      <c r="A255" s="12" t="str">
        <f>RIGHT(A254,LEN(A254)-11)</f>
        <v>Motorbike, gasoline, &gt;35kW, EURO-3, 2006</v>
      </c>
      <c r="B255" s="15">
        <f>1/B237</f>
        <v>1.6103059581320449E-5</v>
      </c>
      <c r="C255" s="12" t="str">
        <f>B228</f>
        <v>CH</v>
      </c>
      <c r="D255" s="12" t="s">
        <v>77</v>
      </c>
      <c r="E255" s="12"/>
      <c r="F255" s="12" t="s">
        <v>91</v>
      </c>
      <c r="G255" s="12"/>
      <c r="H255" s="12" t="str">
        <f>RIGHT(H254,LEN(H254)-11)</f>
        <v>Motorbike, gasoline, &gt;35kW, EURO-3</v>
      </c>
    </row>
    <row r="256" spans="1:8" s="21" customFormat="1"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1.8530527499999999E-4</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road maintenance</v>
      </c>
      <c r="B257" s="16">
        <f>INDEX('vehicles specifications'!$B$3:$CK$86,MATCH(B232,'vehicles specifications'!$A$3:$A$86,0),MATCH(G257,'vehicles specifications'!$B$2:$CK$2,0))*INDEX('ei names mapping'!$B$137:$BK$220,MATCH(B232,'ei names mapping'!$A$137:$A$220,0),MATCH(G257,'ei names mapping'!$B$136:$BK$136,0))</f>
        <v>1.2899999999999999E-3</v>
      </c>
      <c r="C257" s="12" t="str">
        <f>INDEX('ei names mapping'!$B$38:$R$67,MATCH(B229,'ei names mapping'!$A$4:$A$33,0),MATCH(G257,'ei names mapping'!$B$3:$R$3,0))</f>
        <v>CH</v>
      </c>
      <c r="D257" s="12" t="str">
        <f>INDEX('ei names mapping'!$B$104:$BK$133,MATCH(B229,'ei names mapping'!$A$4:$A$33,0),MATCH(G257,'ei names mapping'!$B$3:$BK$3,0))</f>
        <v>meter-year</v>
      </c>
      <c r="E257" s="12"/>
      <c r="F257" s="12" t="s">
        <v>91</v>
      </c>
      <c r="G257" t="s">
        <v>117</v>
      </c>
      <c r="H257" s="12" t="str">
        <f>INDEX('ei names mapping'!$B$71:$BK$100,MATCH(B229,'ei names mapping'!$A$4:$A$33,0),MATCH(G257,'ei names mapping'!$B$3:$BK$3,0))</f>
        <v>road maintenance</v>
      </c>
    </row>
    <row r="258" spans="1:8" x14ac:dyDescent="0.3">
      <c r="A258" s="12" t="str">
        <f>INDEX('ei names mapping'!$B$4:$R$33,MATCH(B229,'ei names mapping'!$A$4:$A$33,0),MATCH(G258,'ei names mapping'!$B$3:$R$3,0))</f>
        <v>maintenance, motor scooter</v>
      </c>
      <c r="B258" s="16">
        <f>INDEX('vehicles specifications'!$B$3:$CK$86,MATCH(B232,'vehicles specifications'!$A$3:$A$86,0),MATCH(G258,'vehicles specifications'!$B$2:$CK$2,0))*INDEX('ei names mapping'!$B$137:$BK$220,MATCH(B232,'ei names mapping'!$A$137:$A$220,0),MATCH(G258,'ei names mapping'!$B$136:$BK$136,0))</f>
        <v>1.9999999999999998E-5</v>
      </c>
      <c r="C258" s="12" t="str">
        <f>INDEX('ei names mapping'!$B$38:$BK$67,MATCH(B229,'ei names mapping'!$A$4:$A$33,0),MATCH(G258,'ei names mapping'!$B$3:$BK$3,0))</f>
        <v>CH</v>
      </c>
      <c r="D258" s="12" t="str">
        <f>INDEX('ei names mapping'!$B$104:$BK$133,MATCH(B229,'ei names mapping'!$A$4:$A$33,0),MATCH(G258,'ei names mapping'!$B$3:$BK$3,0))</f>
        <v>unit</v>
      </c>
      <c r="F258" s="12" t="s">
        <v>91</v>
      </c>
      <c r="G258" s="12" t="s">
        <v>123</v>
      </c>
      <c r="H258" s="12" t="str">
        <f>INDEX('ei names mapping'!$B$71:$BK$100,MATCH(B229,'ei names mapping'!$A$4:$A$33,0),MATCH(G258,'ei names mapping'!$B$3:$BK$3,0))</f>
        <v>maintenance, motor scooter</v>
      </c>
    </row>
    <row r="259" spans="1:8" x14ac:dyDescent="0.3">
      <c r="A259" s="12" t="str">
        <f>INDEX('ei names mapping'!$B$4:$R$33,MATCH(B229,'ei names mapping'!$A$4:$A$33,0),MATCH(G259,'ei names mapping'!$B$3:$R$3,0))</f>
        <v>market for petrol, low-sulfur</v>
      </c>
      <c r="B259" s="16">
        <f>INDEX('vehicles specifications'!$B$3:$CK$86,MATCH(B232,'vehicles specifications'!$A$3:$A$86,0),MATCH(G259,'vehicles specifications'!$B$2:$CK$2,0))*INDEX('ei names mapping'!$B$137:$BK$220,MATCH(B232,'ei names mapping'!$A$137:$A$220,0),MATCH(G259,'ei names mapping'!$B$136:$BK$136,0))</f>
        <v>4.6543356518496018E-2</v>
      </c>
      <c r="C259" s="12" t="str">
        <f>INDEX('ei names mapping'!$B$38:$BK$67,MATCH(B229,'ei names mapping'!$A$4:$A$33,0),MATCH(G259,'ei names mapping'!$B$3:$BK$3,0))</f>
        <v>CH</v>
      </c>
      <c r="D259" s="12" t="str">
        <f>INDEX('ei names mapping'!$B$104:$BK$133,MATCH(B229,'ei names mapping'!$A$4:$A$33,0),MATCH(G259,'ei names mapping'!$B$3:$BK$3,0))</f>
        <v>kilogram</v>
      </c>
      <c r="F259" s="12" t="s">
        <v>91</v>
      </c>
      <c r="G259" s="12" t="s">
        <v>27</v>
      </c>
      <c r="H259" s="12" t="str">
        <f>INDEX('ei names mapping'!$B$71:$BK$100,MATCH(B229,'ei names mapping'!$A$4:$A$33,0),MATCH(G259,'ei names mapping'!$B$3:$BK$3,0))</f>
        <v>petrol, low-sulfur</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0.14800787372881735</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7.4469370429593623E-7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7.237951507199054E-6</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1.6720380300830153E-5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2.9373204293002417E-4</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8.8002001583316587E-7</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8.8002001583316587E-7</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3.1128530669022286E-5</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2.2000500395829146E-6</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s="21" customFormat="1"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5.8368079533990228E-5</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s="21" customFormat="1"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4.1156979158582854E-6</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s="21" customFormat="1"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8.3862183238491708E-7</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s="21" customFormat="1"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6.7605821564568703E-6</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s="21" customFormat="1"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2.7739029840424182E-6</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s="21" customFormat="1"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2.0772017694457178E-6</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s="21" customFormat="1"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1.4708136752597006E-6</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s="21" customFormat="1"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9.5473870148436736E-7</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s="21" customFormat="1"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9.4183682713998361E-6</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s="21" customFormat="1"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4.928515999554436E-6</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s="21" customFormat="1"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1.4192061778821673E-7</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s="21" customFormat="1"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1.4166258030132906E-5</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s="21" customFormat="1"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7.0057177690001534E-6</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s="21" customFormat="1"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2.9158236018306349E-6</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s="21" customFormat="1"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2.1933186385451676E-6</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s="21" customFormat="1"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9.6764057582875035E-7</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s="21" customFormat="1"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2.8384123557643346E-7</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s="21" customFormat="1"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7.8701433500738386E-7</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s="21" customFormat="1"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6.4509371721916699E-8</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s="21" customFormat="1"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2.4513561254328344E-7</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s="21" customFormat="1"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1.3030893087827173E-6</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s="21" customFormat="1"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6.8675653410171242E-8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s="21" customFormat="1"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5.9203149491526932E-10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s="21" customFormat="1"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3.9468766327684625E-10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s="21" customFormat="1"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4.2626267633899395E-6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s="21" customFormat="1"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8.2884409288137703E-8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s="21" customFormat="1"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2.5654698112995006E-8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s="21" customFormat="1"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3.1575013062147705E-8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s="21" customFormat="1"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6.3150026124295389E-11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s="21" customFormat="1"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1.7168913352542811E-8</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s="21" customFormat="1"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2.1313133816949698E-8</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-7.3669999999999991E-6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-8.3499999999999997E-6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Motorbike, gasoline, &gt;35kW, EURO-4, 2016</v>
      </c>
    </row>
    <row r="305" spans="1:2" x14ac:dyDescent="0.3">
      <c r="A305" t="s">
        <v>73</v>
      </c>
      <c r="B305" t="s">
        <v>37</v>
      </c>
    </row>
    <row r="306" spans="1:2" x14ac:dyDescent="0.3">
      <c r="A306" t="s">
        <v>87</v>
      </c>
      <c r="B306" t="s">
        <v>704</v>
      </c>
    </row>
    <row r="307" spans="1:2" x14ac:dyDescent="0.3">
      <c r="A307" t="s">
        <v>88</v>
      </c>
      <c r="B307" s="12"/>
    </row>
    <row r="308" spans="1:2" x14ac:dyDescent="0.3">
      <c r="A308" t="s">
        <v>89</v>
      </c>
      <c r="B308" s="12">
        <v>2016</v>
      </c>
    </row>
    <row r="309" spans="1:2" x14ac:dyDescent="0.3">
      <c r="A309" t="s">
        <v>131</v>
      </c>
      <c r="B309" s="12" t="str">
        <f>B306&amp;" - "&amp;B308&amp;" - "&amp;B305</f>
        <v>Motorbike, gasoline, &gt;35kW, EURO-4 - 2016 - CH</v>
      </c>
    </row>
    <row r="310" spans="1:2" x14ac:dyDescent="0.3">
      <c r="A310" t="s">
        <v>74</v>
      </c>
      <c r="B310" s="12" t="str">
        <f>"transport, "&amp;B306</f>
        <v>transport, Motorbike, gasoline, &gt;35kW, EURO-4</v>
      </c>
    </row>
    <row r="311" spans="1:2" x14ac:dyDescent="0.3">
      <c r="A311" t="s">
        <v>75</v>
      </c>
      <c r="B311" t="s">
        <v>76</v>
      </c>
    </row>
    <row r="312" spans="1:2" x14ac:dyDescent="0.3">
      <c r="A312" t="s">
        <v>77</v>
      </c>
      <c r="B312" t="s">
        <v>172</v>
      </c>
    </row>
    <row r="313" spans="1:2" x14ac:dyDescent="0.3">
      <c r="A313" t="s">
        <v>79</v>
      </c>
      <c r="B313" t="s">
        <v>90</v>
      </c>
    </row>
    <row r="314" spans="1:2" x14ac:dyDescent="0.3">
      <c r="A314" t="s">
        <v>132</v>
      </c>
      <c r="B314">
        <f>INDEX('vehicles specifications'!$B$3:$CK$86,MATCH(B309,'vehicles specifications'!$A$3:$A$86,0),MATCH("Lifetime [km]",'vehicles specifications'!$B$2:$CK$2,0))</f>
        <v>62100</v>
      </c>
    </row>
    <row r="315" spans="1:2" x14ac:dyDescent="0.3">
      <c r="A315" t="s">
        <v>133</v>
      </c>
      <c r="B315">
        <f>INDEX('vehicles specifications'!$B$3:$CK$86,MATCH(B309,'vehicles specifications'!$A$3:$A$86,0),MATCH("Passengers [unit]",'vehicles specifications'!$B$2:$CK$2,0))</f>
        <v>1.1000000000000001</v>
      </c>
    </row>
    <row r="316" spans="1:2" x14ac:dyDescent="0.3">
      <c r="A316" t="s">
        <v>134</v>
      </c>
      <c r="B316">
        <f>INDEX('vehicles specifications'!$B$3:$CK$86,MATCH(B309,'vehicles specifications'!$A$3:$A$86,0),MATCH("Servicing [unit]",'vehicles specifications'!$B$2:$CK$2,0))</f>
        <v>1.242</v>
      </c>
    </row>
    <row r="317" spans="1:2" x14ac:dyDescent="0.3">
      <c r="A317" t="s">
        <v>135</v>
      </c>
      <c r="B317">
        <f>INDEX('vehicles specifications'!$B$3:$CK$86,MATCH(B309,'vehicles specifications'!$A$3:$A$86,0),MATCH("Energy battery replacement [unit]",'vehicles specifications'!$B$2:$CK$2,0))</f>
        <v>0</v>
      </c>
    </row>
    <row r="318" spans="1:2" x14ac:dyDescent="0.3">
      <c r="A318" t="s">
        <v>136</v>
      </c>
      <c r="B318">
        <f>INDEX('vehicles specifications'!$B$3:$CK$86,MATCH(B309,'vehicles specifications'!$A$3:$A$86,0),MATCH("Annual kilometers [km]",'vehicles specifications'!$B$2:$CK$2,0))</f>
        <v>4592</v>
      </c>
    </row>
    <row r="319" spans="1:2" x14ac:dyDescent="0.3">
      <c r="A319" t="s">
        <v>137</v>
      </c>
      <c r="B319" s="2">
        <f>INDEX('vehicles specifications'!$B$3:$CK$86,MATCH(B309,'vehicles specifications'!$A$3:$A$86,0),MATCH("Curb mass [kg]",'vehicles specifications'!$B$2:$CK$2,0))</f>
        <v>258.745</v>
      </c>
    </row>
    <row r="320" spans="1:2" x14ac:dyDescent="0.3">
      <c r="A320" t="s">
        <v>138</v>
      </c>
      <c r="B320">
        <f>INDEX('vehicles specifications'!$B$3:$CK$86,MATCH(B309,'vehicles specifications'!$A$3:$A$86,0),MATCH("Power [kW]",'vehicles specifications'!$B$2:$CK$2,0))</f>
        <v>91</v>
      </c>
    </row>
    <row r="321" spans="1:8" x14ac:dyDescent="0.3">
      <c r="A321" t="s">
        <v>139</v>
      </c>
      <c r="B321">
        <f>INDEX('vehicles specifications'!$B$3:$CK$86,MATCH(B309,'vehicles specifications'!$A$3:$A$86,0),MATCH("Energy battery mass [kg]",'vehicles specifications'!$B$2:$CK$2,0))</f>
        <v>0</v>
      </c>
    </row>
    <row r="322" spans="1:8" x14ac:dyDescent="0.3">
      <c r="A322" t="s">
        <v>140</v>
      </c>
      <c r="B322">
        <f>INDEX('vehicles specifications'!$B$3:$CK$86,MATCH(B309,'vehicles specifications'!$A$3:$A$86,0),MATCH("Electric energy available [kWh]",'vehicles specifications'!$B$2:$CK$2,0))</f>
        <v>0</v>
      </c>
    </row>
    <row r="323" spans="1:8" x14ac:dyDescent="0.3">
      <c r="A323" t="s">
        <v>143</v>
      </c>
      <c r="B323" s="2">
        <f>INDEX('vehicles specifications'!$B$3:$CK$86,MATCH(B309,'vehicles specifications'!$A$3:$A$86,0),MATCH("Oxydation energy stored [kWh]",'vehicles specifications'!$B$2:$CK$2,0))</f>
        <v>159</v>
      </c>
    </row>
    <row r="324" spans="1:8" x14ac:dyDescent="0.3">
      <c r="A324" t="s">
        <v>145</v>
      </c>
      <c r="B324">
        <f>INDEX('vehicles specifications'!$B$3:$CK$86,MATCH(B309,'vehicles specifications'!$A$3:$A$86,0),MATCH("Fuel mass [kg]",'vehicles specifications'!$B$2:$CK$2,0))</f>
        <v>13.5</v>
      </c>
    </row>
    <row r="325" spans="1:8" x14ac:dyDescent="0.3">
      <c r="A325" t="s">
        <v>141</v>
      </c>
      <c r="B325" s="2">
        <f>INDEX('vehicles specifications'!$B$3:$CK$86,MATCH(B309,'vehicles specifications'!$A$3:$A$86,0),MATCH("Range [km]",'vehicles specifications'!$B$2:$CK$2,0))</f>
        <v>292.95265790686028</v>
      </c>
    </row>
    <row r="326" spans="1:8" x14ac:dyDescent="0.3">
      <c r="A326" t="s">
        <v>142</v>
      </c>
      <c r="B326" t="str">
        <f>INDEX('vehicles specifications'!$B$3:$CK$86,MATCH(B309,'vehicles specifications'!$A$3:$A$86,0),MATCH("Emission standard",'vehicles specifications'!$B$2:$CK$2,0))</f>
        <v>EURO-4</v>
      </c>
    </row>
    <row r="327" spans="1:8" x14ac:dyDescent="0.3">
      <c r="A327" t="s">
        <v>144</v>
      </c>
      <c r="B327" s="6">
        <f>INDEX('vehicles specifications'!$B$3:$CK$86,MATCH(B309,'vehicles specifications'!$A$3:$A$86,0),MATCH("Lightweighting rate [%]",'vehicles specifications'!$B$2:$CK$2,0))</f>
        <v>-0.02</v>
      </c>
    </row>
    <row r="328" spans="1:8" x14ac:dyDescent="0.3">
      <c r="A328"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91 kW. Lifetime: 62100 km. Annual kilometers: 4592 km. Number of passengers: 1.1. Curb mass: 258.7 kg. Lightweighting of glider: -2%. Emission standard: EURO-4. Service visits throughout lifetime: 1.2. Range: 293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t="s">
        <v>81</v>
      </c>
      <c r="B330" t="s">
        <v>82</v>
      </c>
      <c r="C330" t="s">
        <v>73</v>
      </c>
      <c r="D330" t="s">
        <v>77</v>
      </c>
      <c r="E330" t="s">
        <v>83</v>
      </c>
      <c r="F330" t="s">
        <v>75</v>
      </c>
      <c r="G330" t="s">
        <v>84</v>
      </c>
      <c r="H330" t="s">
        <v>74</v>
      </c>
    </row>
    <row r="331" spans="1:8" x14ac:dyDescent="0.3">
      <c r="A331" s="12" t="str">
        <f>B304</f>
        <v>transport, Motorbike, gasoline, &gt;35kW, EURO-4, 2016</v>
      </c>
      <c r="B331" s="12">
        <v>1</v>
      </c>
      <c r="C331" s="12" t="str">
        <f>B305</f>
        <v>CH</v>
      </c>
      <c r="D331" s="12" t="s">
        <v>172</v>
      </c>
      <c r="E331" s="12"/>
      <c r="F331" s="12" t="s">
        <v>85</v>
      </c>
      <c r="G331" s="12" t="s">
        <v>86</v>
      </c>
      <c r="H331" s="12" t="str">
        <f>B310</f>
        <v>transport, Motorbike, gasoline, &gt;35kW, EURO-4</v>
      </c>
    </row>
    <row r="332" spans="1:8" x14ac:dyDescent="0.3">
      <c r="A332" s="12" t="str">
        <f>RIGHT(A331,LEN(A331)-11)</f>
        <v>Motorbike, gasoline, &gt;35kW, EURO-4, 2016</v>
      </c>
      <c r="B332" s="12">
        <f>1/B314</f>
        <v>1.6103059581320449E-5</v>
      </c>
      <c r="C332" s="12" t="str">
        <f>B305</f>
        <v>CH</v>
      </c>
      <c r="D332" s="12" t="s">
        <v>77</v>
      </c>
      <c r="E332" s="12"/>
      <c r="F332" s="12" t="s">
        <v>91</v>
      </c>
      <c r="G332" s="12"/>
      <c r="H332" s="12" t="str">
        <f>RIGHT(H331,LEN(H331)-11)</f>
        <v>Motorbike, gasoline, &gt;35kW, EURO-4</v>
      </c>
    </row>
    <row r="333" spans="1:8" s="21" customFormat="1"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1.83517065E-4</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road maintenance</v>
      </c>
      <c r="B334" s="16">
        <f>INDEX('vehicles specifications'!$B$3:$CK$86,MATCH(B309,'vehicles specifications'!$A$3:$A$86,0),MATCH(G334,'vehicles specifications'!$B$2:$CK$2,0))*INDEX('ei names mapping'!$B$137:$BK$220,MATCH(B309,'ei names mapping'!$A$137:$A$220,0),MATCH(G334,'ei names mapping'!$B$136:$BK$136,0))</f>
        <v>1.2899999999999999E-3</v>
      </c>
      <c r="C334" s="12" t="str">
        <f>INDEX('ei names mapping'!$B$38:$R$67,MATCH(B306,'ei names mapping'!$A$4:$A$33,0),MATCH(G334,'ei names mapping'!$B$3:$R$3,0))</f>
        <v>CH</v>
      </c>
      <c r="D334" s="12" t="str">
        <f>INDEX('ei names mapping'!$B$104:$BK$133,MATCH(B306,'ei names mapping'!$A$4:$A$33,0),MATCH(G334,'ei names mapping'!$B$3:$BK$3,0))</f>
        <v>meter-year</v>
      </c>
      <c r="E334" s="12"/>
      <c r="F334" s="12" t="s">
        <v>91</v>
      </c>
      <c r="G334" t="s">
        <v>117</v>
      </c>
      <c r="H334" s="12" t="str">
        <f>INDEX('ei names mapping'!$B$71:$BK$100,MATCH(B306,'ei names mapping'!$A$4:$A$33,0),MATCH(G334,'ei names mapping'!$B$3:$BK$3,0))</f>
        <v>road maintenance</v>
      </c>
    </row>
    <row r="335" spans="1:8" x14ac:dyDescent="0.3">
      <c r="A335" s="12" t="str">
        <f>INDEX('ei names mapping'!$B$4:$R$33,MATCH(B306,'ei names mapping'!$A$4:$A$33,0),MATCH(G335,'ei names mapping'!$B$3:$R$3,0))</f>
        <v>maintenance, motor scooter</v>
      </c>
      <c r="B335" s="16">
        <f>INDEX('vehicles specifications'!$B$3:$CK$86,MATCH(B309,'vehicles specifications'!$A$3:$A$86,0),MATCH(G335,'vehicles specifications'!$B$2:$CK$2,0))*INDEX('ei names mapping'!$B$137:$BK$220,MATCH(B309,'ei names mapping'!$A$137:$A$220,0),MATCH(G335,'ei names mapping'!$B$136:$BK$136,0))</f>
        <v>1.9999999999999998E-5</v>
      </c>
      <c r="C335" s="12" t="str">
        <f>INDEX('ei names mapping'!$B$38:$BK$67,MATCH(B306,'ei names mapping'!$A$4:$A$33,0),MATCH(G335,'ei names mapping'!$B$3:$BK$3,0))</f>
        <v>CH</v>
      </c>
      <c r="D335" s="12" t="str">
        <f>INDEX('ei names mapping'!$B$104:$BK$133,MATCH(B306,'ei names mapping'!$A$4:$A$33,0),MATCH(G335,'ei names mapping'!$B$3:$BK$3,0))</f>
        <v>unit</v>
      </c>
      <c r="F335" s="12" t="s">
        <v>91</v>
      </c>
      <c r="G335" s="12" t="s">
        <v>123</v>
      </c>
      <c r="H335" s="12" t="str">
        <f>INDEX('ei names mapping'!$B$71:$BK$100,MATCH(B306,'ei names mapping'!$A$4:$A$33,0),MATCH(G335,'ei names mapping'!$B$3:$BK$3,0))</f>
        <v>maintenance, motor scooter</v>
      </c>
    </row>
    <row r="336" spans="1:8" x14ac:dyDescent="0.3">
      <c r="A336" s="12" t="str">
        <f>INDEX('ei names mapping'!$B$4:$R$33,MATCH(B306,'ei names mapping'!$A$4:$A$33,0),MATCH(G336,'ei names mapping'!$B$3:$R$3,0))</f>
        <v>market for petrol, low-sulfur</v>
      </c>
      <c r="B336" s="16">
        <f>INDEX('vehicles specifications'!$B$3:$CK$86,MATCH(B309,'vehicles specifications'!$A$3:$A$86,0),MATCH(G336,'vehicles specifications'!$B$2:$CK$2,0))*INDEX('ei names mapping'!$B$137:$BK$220,MATCH(B309,'ei names mapping'!$A$137:$A$220,0),MATCH(G336,'ei names mapping'!$B$136:$BK$136,0))</f>
        <v>4.6082531206431701E-2</v>
      </c>
      <c r="C336" s="12" t="str">
        <f>INDEX('ei names mapping'!$B$38:$BK$67,MATCH(B306,'ei names mapping'!$A$4:$A$33,0),MATCH(G336,'ei names mapping'!$B$3:$BK$3,0))</f>
        <v>CH</v>
      </c>
      <c r="D336" s="12" t="str">
        <f>INDEX('ei names mapping'!$B$104:$BK$133,MATCH(B306,'ei names mapping'!$A$4:$A$33,0),MATCH(G336,'ei names mapping'!$B$3:$BK$3,0))</f>
        <v>kilogram</v>
      </c>
      <c r="F336" s="12" t="s">
        <v>91</v>
      </c>
      <c r="G336" s="12" t="s">
        <v>27</v>
      </c>
      <c r="H336" s="12" t="str">
        <f>INDEX('ei names mapping'!$B$71:$BK$100,MATCH(B306,'ei names mapping'!$A$4:$A$33,0),MATCH(G336,'ei names mapping'!$B$3:$BK$3,0))</f>
        <v>petrol, low-sulfur</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0.14654244923645282</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7.3732049930290719E-7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2.5284474658107934E-6</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2.0986931709545604E-5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1.8591280332931159E-4</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1.1045753531339791E-6</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1.1045753531339791E-6</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1.3774566377073175E-5</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2.7614383828349475E-6</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s="21" customFormat="1"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2.0389833039800411E-5</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s="21" customFormat="1"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1.4377446374218237E-6</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s="21" customFormat="1"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2.9295737126150013E-7</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s="21" customFormat="1"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2.3616871160157862E-6</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s="21" customFormat="1"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9.6901284340342343E-7</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s="21" customFormat="1"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7.2563287343233113E-7</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s="21" customFormat="1"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5.1380215882786179E-7</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s="21" customFormat="1"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3.335206995900156E-7</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s="21" customFormat="1"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3.2901366310906936E-6</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s="21" customFormat="1"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1.7216879357214317E-6</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s="21" customFormat="1"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4.9577401290407721E-8</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s="21" customFormat="1"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4.9487260560788793E-6</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s="21" customFormat="1"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2.4473208091537626E-6</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s="21" customFormat="1"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1.0185902446938312E-6</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s="21" customFormat="1"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7.6619620176084655E-7</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s="21" customFormat="1"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3.3802773607096173E-7</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s="21" customFormat="1"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9.9154802580815442E-8</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s="21" customFormat="1"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2.7492922533771551E-7</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s="21" customFormat="1"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s="21" customFormat="1"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8.5633693137976965E-8</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s="21" customFormat="1"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4.5521068457556175E-7</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s="21" customFormat="1"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6.7995696445714102E-8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s="21" customFormat="1"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5.8616979694581115E-10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s="21" customFormat="1"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3.907798646305408E-10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s="21" customFormat="1"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4.2204225380098405E-6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s="21" customFormat="1"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8.2063771572413566E-8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s="21" customFormat="1"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2.5400691200985153E-8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s="21" customFormat="1"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3.1262389170443272E-8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s="21" customFormat="1"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6.252477834088652E-11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s="21" customFormat="1"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1.6998924111428525E-8</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s="21" customFormat="1"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2.1102112690049203E-8</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-7.3669999999999991E-6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-8.3499999999999997E-6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Motorbike, gasoline, &gt;35kW, EURO-5, 2020</v>
      </c>
    </row>
    <row r="382" spans="1:8" x14ac:dyDescent="0.3">
      <c r="A382" t="s">
        <v>73</v>
      </c>
      <c r="B382" t="s">
        <v>37</v>
      </c>
    </row>
    <row r="383" spans="1:8" x14ac:dyDescent="0.3">
      <c r="A383" t="s">
        <v>87</v>
      </c>
      <c r="B383" t="s">
        <v>705</v>
      </c>
    </row>
    <row r="384" spans="1:8" x14ac:dyDescent="0.3">
      <c r="A384" t="s">
        <v>88</v>
      </c>
      <c r="B384" s="12"/>
    </row>
    <row r="385" spans="1:2" x14ac:dyDescent="0.3">
      <c r="A385" t="s">
        <v>89</v>
      </c>
      <c r="B385" s="12">
        <v>2020</v>
      </c>
    </row>
    <row r="386" spans="1:2" x14ac:dyDescent="0.3">
      <c r="A386" t="s">
        <v>131</v>
      </c>
      <c r="B386" s="12" t="str">
        <f>B383&amp;" - "&amp;B385&amp;" - "&amp;B382</f>
        <v>Motorbike, gasoline, &gt;35kW, EURO-5 - 2020 - CH</v>
      </c>
    </row>
    <row r="387" spans="1:2" x14ac:dyDescent="0.3">
      <c r="A387" t="s">
        <v>74</v>
      </c>
      <c r="B387" s="12" t="str">
        <f>"transport, "&amp;B383</f>
        <v>transport, Motorbike, gasoline, &gt;35kW, EURO-5</v>
      </c>
    </row>
    <row r="388" spans="1:2" x14ac:dyDescent="0.3">
      <c r="A388" t="s">
        <v>75</v>
      </c>
      <c r="B388" t="s">
        <v>76</v>
      </c>
    </row>
    <row r="389" spans="1:2" x14ac:dyDescent="0.3">
      <c r="A389" t="s">
        <v>77</v>
      </c>
      <c r="B389" t="s">
        <v>172</v>
      </c>
    </row>
    <row r="390" spans="1:2" x14ac:dyDescent="0.3">
      <c r="A390" t="s">
        <v>79</v>
      </c>
      <c r="B390" t="s">
        <v>90</v>
      </c>
    </row>
    <row r="391" spans="1:2" x14ac:dyDescent="0.3">
      <c r="A391" t="s">
        <v>132</v>
      </c>
      <c r="B391">
        <f>INDEX('vehicles specifications'!$B$3:$CK$86,MATCH(B386,'vehicles specifications'!$A$3:$A$86,0),MATCH("Lifetime [km]",'vehicles specifications'!$B$2:$CK$2,0))</f>
        <v>62100</v>
      </c>
    </row>
    <row r="392" spans="1:2" x14ac:dyDescent="0.3">
      <c r="A392" t="s">
        <v>133</v>
      </c>
      <c r="B392">
        <f>INDEX('vehicles specifications'!$B$3:$CK$86,MATCH(B386,'vehicles specifications'!$A$3:$A$86,0),MATCH("Passengers [unit]",'vehicles specifications'!$B$2:$CK$2,0))</f>
        <v>1.1000000000000001</v>
      </c>
    </row>
    <row r="393" spans="1:2" x14ac:dyDescent="0.3">
      <c r="A393" t="s">
        <v>134</v>
      </c>
      <c r="B393">
        <f>INDEX('vehicles specifications'!$B$3:$CK$86,MATCH(B386,'vehicles specifications'!$A$3:$A$86,0),MATCH("Servicing [unit]",'vehicles specifications'!$B$2:$CK$2,0))</f>
        <v>1.242</v>
      </c>
    </row>
    <row r="394" spans="1:2" x14ac:dyDescent="0.3">
      <c r="A394" t="s">
        <v>135</v>
      </c>
      <c r="B394">
        <f>INDEX('vehicles specifications'!$B$3:$CK$86,MATCH(B386,'vehicles specifications'!$A$3:$A$86,0),MATCH("Energy battery replacement [unit]",'vehicles specifications'!$B$2:$CK$2,0))</f>
        <v>0</v>
      </c>
    </row>
    <row r="395" spans="1:2" x14ac:dyDescent="0.3">
      <c r="A395" t="s">
        <v>136</v>
      </c>
      <c r="B395">
        <f>INDEX('vehicles specifications'!$B$3:$CK$86,MATCH(B386,'vehicles specifications'!$A$3:$A$86,0),MATCH("Annual kilometers [km]",'vehicles specifications'!$B$2:$CK$2,0))</f>
        <v>4592</v>
      </c>
    </row>
    <row r="396" spans="1:2" x14ac:dyDescent="0.3">
      <c r="A396" t="s">
        <v>137</v>
      </c>
      <c r="B396" s="2">
        <f>INDEX('vehicles specifications'!$B$3:$CK$86,MATCH(B386,'vehicles specifications'!$A$3:$A$86,0),MATCH("Curb mass [kg]",'vehicles specifications'!$B$2:$CK$2,0))</f>
        <v>256.52499999999998</v>
      </c>
    </row>
    <row r="397" spans="1:2" x14ac:dyDescent="0.3">
      <c r="A397" t="s">
        <v>138</v>
      </c>
      <c r="B397">
        <f>INDEX('vehicles specifications'!$B$3:$CK$86,MATCH(B386,'vehicles specifications'!$A$3:$A$86,0),MATCH("Power [kW]",'vehicles specifications'!$B$2:$CK$2,0))</f>
        <v>91</v>
      </c>
    </row>
    <row r="398" spans="1:2" x14ac:dyDescent="0.3">
      <c r="A398" t="s">
        <v>139</v>
      </c>
      <c r="B398">
        <f>INDEX('vehicles specifications'!$B$3:$CK$86,MATCH(B386,'vehicles specifications'!$A$3:$A$86,0),MATCH("Energy battery mass [kg]",'vehicles specifications'!$B$2:$CK$2,0))</f>
        <v>0</v>
      </c>
    </row>
    <row r="399" spans="1:2" x14ac:dyDescent="0.3">
      <c r="A399" t="s">
        <v>140</v>
      </c>
      <c r="B399">
        <f>INDEX('vehicles specifications'!$B$3:$CK$86,MATCH(B386,'vehicles specifications'!$A$3:$A$86,0),MATCH("Electric energy available [kWh]",'vehicles specifications'!$B$2:$CK$2,0))</f>
        <v>0</v>
      </c>
    </row>
    <row r="400" spans="1:2" x14ac:dyDescent="0.3">
      <c r="A400" t="s">
        <v>143</v>
      </c>
      <c r="B400" s="2">
        <f>INDEX('vehicles specifications'!$B$3:$CK$86,MATCH(B386,'vehicles specifications'!$A$3:$A$86,0),MATCH("Oxydation energy stored [kWh]",'vehicles specifications'!$B$2:$CK$2,0))</f>
        <v>159</v>
      </c>
    </row>
    <row r="401" spans="1:8" x14ac:dyDescent="0.3">
      <c r="A401" t="s">
        <v>145</v>
      </c>
      <c r="B401">
        <f>INDEX('vehicles specifications'!$B$3:$CK$86,MATCH(B386,'vehicles specifications'!$A$3:$A$86,0),MATCH("Fuel mass [kg]",'vehicles specifications'!$B$2:$CK$2,0))</f>
        <v>13.5</v>
      </c>
    </row>
    <row r="402" spans="1:8" x14ac:dyDescent="0.3">
      <c r="A402" t="s">
        <v>141</v>
      </c>
      <c r="B402" s="2">
        <f>INDEX('vehicles specifications'!$B$3:$CK$86,MATCH(B386,'vehicles specifications'!$A$3:$A$86,0),MATCH("Range [km]",'vehicles specifications'!$B$2:$CK$2,0))</f>
        <v>295.91177566349529</v>
      </c>
    </row>
    <row r="403" spans="1:8" x14ac:dyDescent="0.3">
      <c r="A403" t="s">
        <v>142</v>
      </c>
      <c r="B403" t="str">
        <f>INDEX('vehicles specifications'!$B$3:$CK$86,MATCH(B386,'vehicles specifications'!$A$3:$A$86,0),MATCH("Emission standard",'vehicles specifications'!$B$2:$CK$2,0))</f>
        <v>EURO-5</v>
      </c>
    </row>
    <row r="404" spans="1:8" x14ac:dyDescent="0.3">
      <c r="A404" t="s">
        <v>144</v>
      </c>
      <c r="B404" s="6">
        <f>INDEX('vehicles specifications'!$B$3:$CK$86,MATCH(B386,'vehicles specifications'!$A$3:$A$86,0),MATCH("Lightweighting rate [%]",'vehicles specifications'!$B$2:$CK$2,0))</f>
        <v>0</v>
      </c>
    </row>
    <row r="405" spans="1:8" x14ac:dyDescent="0.3">
      <c r="A405"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91 kW. Lifetime: 62100 km. Annual kilometers: 4592 km. Number of passengers: 1.1. Curb mass: 256.5 kg. Lightweighting of glider: 0%. Emission standard: EURO-5. Service visits throughout lifetime: 1.2. Range: 296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t="s">
        <v>81</v>
      </c>
      <c r="B407" t="s">
        <v>82</v>
      </c>
      <c r="C407" t="s">
        <v>73</v>
      </c>
      <c r="D407" t="s">
        <v>77</v>
      </c>
      <c r="E407" t="s">
        <v>83</v>
      </c>
      <c r="F407" t="s">
        <v>75</v>
      </c>
      <c r="G407" t="s">
        <v>84</v>
      </c>
      <c r="H407" t="s">
        <v>74</v>
      </c>
    </row>
    <row r="408" spans="1:8" x14ac:dyDescent="0.3">
      <c r="A408" s="12" t="str">
        <f>B381</f>
        <v>transport, Motorbike, gasoline, &gt;35kW, EURO-5, 2020</v>
      </c>
      <c r="B408" s="12">
        <v>1</v>
      </c>
      <c r="C408" s="12" t="str">
        <f>B382</f>
        <v>CH</v>
      </c>
      <c r="D408" s="12" t="s">
        <v>172</v>
      </c>
      <c r="E408" s="12"/>
      <c r="F408" s="12" t="s">
        <v>85</v>
      </c>
      <c r="G408" s="12" t="s">
        <v>86</v>
      </c>
      <c r="H408" s="12" t="str">
        <f>B387</f>
        <v>transport, Motorbike, gasoline, &gt;35kW, EURO-5</v>
      </c>
    </row>
    <row r="409" spans="1:8" x14ac:dyDescent="0.3">
      <c r="A409" s="12" t="str">
        <f>RIGHT(A408,LEN(A408)-11)</f>
        <v>Motorbike, gasoline, &gt;35kW, EURO-5, 2020</v>
      </c>
      <c r="B409" s="12">
        <f>1/B391</f>
        <v>1.6103059581320449E-5</v>
      </c>
      <c r="C409" s="12" t="str">
        <f>B382</f>
        <v>CH</v>
      </c>
      <c r="D409" s="12" t="s">
        <v>77</v>
      </c>
      <c r="E409" s="12"/>
      <c r="F409" s="12" t="s">
        <v>91</v>
      </c>
      <c r="G409" s="12"/>
      <c r="H409" s="12" t="str">
        <f>RIGHT(H408,LEN(H408)-11)</f>
        <v>Motorbike, gasoline, &gt;35kW, EURO-5</v>
      </c>
    </row>
    <row r="410" spans="1:8" s="21" customFormat="1"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1.82324925E-4</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road maintenance</v>
      </c>
      <c r="B411" s="16">
        <f>INDEX('vehicles specifications'!$B$3:$CK$86,MATCH(B386,'vehicles specifications'!$A$3:$A$86,0),MATCH(G411,'vehicles specifications'!$B$2:$CK$2,0))*INDEX('ei names mapping'!$B$137:$BK$220,MATCH(B386,'ei names mapping'!$A$137:$A$220,0),MATCH(G411,'ei names mapping'!$B$136:$BK$136,0))</f>
        <v>1.2899999999999999E-3</v>
      </c>
      <c r="C411" s="12" t="str">
        <f>INDEX('ei names mapping'!$B$38:$R$67,MATCH(B383,'ei names mapping'!$A$4:$A$33,0),MATCH(G411,'ei names mapping'!$B$3:$R$3,0))</f>
        <v>CH</v>
      </c>
      <c r="D411" s="12" t="str">
        <f>INDEX('ei names mapping'!$B$104:$BK$133,MATCH(B383,'ei names mapping'!$A$4:$A$33,0),MATCH(G411,'ei names mapping'!$B$3:$BK$3,0))</f>
        <v>meter-year</v>
      </c>
      <c r="E411" s="12"/>
      <c r="F411" s="12" t="s">
        <v>91</v>
      </c>
      <c r="G411" t="s">
        <v>117</v>
      </c>
      <c r="H411" s="12" t="str">
        <f>INDEX('ei names mapping'!$B$71:$BK$100,MATCH(B383,'ei names mapping'!$A$4:$A$33,0),MATCH(G411,'ei names mapping'!$B$3:$BK$3,0))</f>
        <v>road maintenance</v>
      </c>
    </row>
    <row r="412" spans="1:8" x14ac:dyDescent="0.3">
      <c r="A412" s="12" t="str">
        <f>INDEX('ei names mapping'!$B$4:$R$33,MATCH(B383,'ei names mapping'!$A$4:$A$33,0),MATCH(G412,'ei names mapping'!$B$3:$R$3,0))</f>
        <v>maintenance, motor scooter</v>
      </c>
      <c r="B412" s="16">
        <f>INDEX('vehicles specifications'!$B$3:$CK$86,MATCH(B386,'vehicles specifications'!$A$3:$A$86,0),MATCH(G412,'vehicles specifications'!$B$2:$CK$2,0))*INDEX('ei names mapping'!$B$137:$BK$220,MATCH(B386,'ei names mapping'!$A$137:$A$220,0),MATCH(G412,'ei names mapping'!$B$136:$BK$136,0))</f>
        <v>1.9999999999999998E-5</v>
      </c>
      <c r="C412" s="12" t="str">
        <f>INDEX('ei names mapping'!$B$38:$BK$67,MATCH(B383,'ei names mapping'!$A$4:$A$33,0),MATCH(G412,'ei names mapping'!$B$3:$BK$3,0))</f>
        <v>CH</v>
      </c>
      <c r="D412" s="12" t="str">
        <f>INDEX('ei names mapping'!$B$104:$BK$133,MATCH(B383,'ei names mapping'!$A$4:$A$33,0),MATCH(G412,'ei names mapping'!$B$3:$BK$3,0))</f>
        <v>unit</v>
      </c>
      <c r="F412" s="12" t="s">
        <v>91</v>
      </c>
      <c r="G412" s="12" t="s">
        <v>123</v>
      </c>
      <c r="H412" s="12" t="str">
        <f>INDEX('ei names mapping'!$B$71:$BK$100,MATCH(B383,'ei names mapping'!$A$4:$A$33,0),MATCH(G412,'ei names mapping'!$B$3:$BK$3,0))</f>
        <v>maintenance, motor scooter</v>
      </c>
    </row>
    <row r="413" spans="1:8" x14ac:dyDescent="0.3">
      <c r="A413" s="12" t="str">
        <f>INDEX('ei names mapping'!$B$4:$R$33,MATCH(B383,'ei names mapping'!$A$4:$A$33,0),MATCH(G413,'ei names mapping'!$B$3:$R$3,0))</f>
        <v>market for petrol, low-sulfur</v>
      </c>
      <c r="B413" s="16">
        <f>INDEX('vehicles specifications'!$B$3:$CK$86,MATCH(B386,'vehicles specifications'!$A$3:$A$86,0),MATCH(G413,'vehicles specifications'!$B$2:$CK$2,0))*INDEX('ei names mapping'!$B$137:$BK$220,MATCH(B386,'ei names mapping'!$A$137:$A$220,0),MATCH(G413,'ei names mapping'!$B$136:$BK$136,0))</f>
        <v>4.5621705894367384E-2</v>
      </c>
      <c r="C413" s="12" t="str">
        <f>INDEX('ei names mapping'!$B$38:$BK$67,MATCH(B383,'ei names mapping'!$A$4:$A$33,0),MATCH(G413,'ei names mapping'!$B$3:$BK$3,0))</f>
        <v>CH</v>
      </c>
      <c r="D413" s="12" t="str">
        <f>INDEX('ei names mapping'!$B$104:$BK$133,MATCH(B383,'ei names mapping'!$A$4:$A$33,0),MATCH(G413,'ei names mapping'!$B$3:$BK$3,0))</f>
        <v>kilogram</v>
      </c>
      <c r="F413" s="12" t="s">
        <v>91</v>
      </c>
      <c r="G413" s="12" t="s">
        <v>27</v>
      </c>
      <c r="H413" s="12" t="str">
        <f>INDEX('ei names mapping'!$B$71:$BK$100,MATCH(B383,'ei names mapping'!$A$4:$A$33,0),MATCH(G413,'ei names mapping'!$B$3:$BK$3,0))</f>
        <v>petrol, low-sulfur</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0.14507702474408829</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7.2994729430987814E-7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1.4740138315818797E-6</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2.0777062392450149E-5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1.6143029994865083E-4</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1.0935295996026393E-6</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1.0935295996026393E-6</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9.2040080028458703E-6</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2.7338239990065983E-6</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s="21" customFormat="1"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1.18866997755373E-5</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s="21" customFormat="1"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8.381647277622453E-7</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s="21" customFormat="1"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1.7078591631519106E-7</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s="21" customFormat="1"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1.3767972330640017E-6</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s="21" customFormat="1"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5.6490726165793968E-7</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s="21" customFormat="1"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4.2302357733455016E-7</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s="21" customFormat="1"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2.9953222246048898E-7</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s="21" customFormat="1"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1.9443319703575599E-7</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s="21" customFormat="1"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1.9180572140013763E-6</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s="21" customFormat="1"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1.0036956928061999E-6</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s="21" customFormat="1"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2.8902231991801569E-8</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s="21" customFormat="1"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2.8849682479089193E-6</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s="21" customFormat="1"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1.42671927014075E-6</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s="21" customFormat="1"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5.9380949364974125E-7</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s="21" customFormat="1"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4.4667085805511511E-7</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s="21" customFormat="1"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1.970606726713743E-7</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s="21" customFormat="1"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5.7804463983603138E-8</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s="21" customFormat="1"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1.6027601377271776E-7</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s="21" customFormat="1"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s="21" customFormat="1"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4.992203707674815E-8</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s="21" customFormat="1"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2.6537503919745075E-7</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s="21" customFormat="1"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6.7315739481256961E-8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s="21" customFormat="1"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5.8030809897635308E-10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s="21" customFormat="1"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3.8687206598423541E-10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s="21" customFormat="1"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4.1782183126297423E-6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s="21" customFormat="1"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8.1243133856689428E-8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s="21" customFormat="1"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2.5146684288975301E-8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s="21" customFormat="1"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3.094976527873884E-8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s="21" customFormat="1"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6.1899530557477664E-11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s="21" customFormat="1"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1.682893487031424E-8</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s="21" customFormat="1"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2.0891091563148711E-8</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-7.3669999999999991E-6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-8.3499999999999997E-6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Motorbike, gasoline, &gt;35kW, EURO-5, 2030</v>
      </c>
    </row>
    <row r="459" spans="1:8" x14ac:dyDescent="0.3">
      <c r="A459" t="s">
        <v>73</v>
      </c>
      <c r="B459" t="s">
        <v>37</v>
      </c>
    </row>
    <row r="460" spans="1:8" x14ac:dyDescent="0.3">
      <c r="A460" t="s">
        <v>87</v>
      </c>
      <c r="B460" t="s">
        <v>705</v>
      </c>
    </row>
    <row r="461" spans="1:8" x14ac:dyDescent="0.3">
      <c r="A461" t="s">
        <v>88</v>
      </c>
      <c r="B461" s="12"/>
    </row>
    <row r="462" spans="1:8" x14ac:dyDescent="0.3">
      <c r="A462" t="s">
        <v>89</v>
      </c>
      <c r="B462" s="12">
        <v>2030</v>
      </c>
    </row>
    <row r="463" spans="1:8" x14ac:dyDescent="0.3">
      <c r="A463" t="s">
        <v>131</v>
      </c>
      <c r="B463" s="12" t="str">
        <f>B460&amp;" - "&amp;B462&amp;" - "&amp;B459</f>
        <v>Motorbike, gasoline, &gt;35kW, EURO-5 - 2030 - CH</v>
      </c>
    </row>
    <row r="464" spans="1:8" x14ac:dyDescent="0.3">
      <c r="A464" t="s">
        <v>74</v>
      </c>
      <c r="B464" s="12" t="str">
        <f>"transport, "&amp;B460</f>
        <v>transport, Motorbike, gasoline, &gt;35kW, EURO-5</v>
      </c>
    </row>
    <row r="465" spans="1:2" x14ac:dyDescent="0.3">
      <c r="A465" t="s">
        <v>75</v>
      </c>
      <c r="B465" t="s">
        <v>76</v>
      </c>
    </row>
    <row r="466" spans="1:2" x14ac:dyDescent="0.3">
      <c r="A466" t="s">
        <v>77</v>
      </c>
      <c r="B466" t="s">
        <v>172</v>
      </c>
    </row>
    <row r="467" spans="1:2" x14ac:dyDescent="0.3">
      <c r="A467" t="s">
        <v>79</v>
      </c>
      <c r="B467" t="s">
        <v>90</v>
      </c>
    </row>
    <row r="468" spans="1:2" x14ac:dyDescent="0.3">
      <c r="A468" t="s">
        <v>132</v>
      </c>
      <c r="B468">
        <f>INDEX('vehicles specifications'!$B$3:$CK$86,MATCH(B463,'vehicles specifications'!$A$3:$A$86,0),MATCH("Lifetime [km]",'vehicles specifications'!$B$2:$CK$2,0))</f>
        <v>62100</v>
      </c>
    </row>
    <row r="469" spans="1:2" x14ac:dyDescent="0.3">
      <c r="A469" t="s">
        <v>133</v>
      </c>
      <c r="B469">
        <f>INDEX('vehicles specifications'!$B$3:$CK$86,MATCH(B463,'vehicles specifications'!$A$3:$A$86,0),MATCH("Passengers [unit]",'vehicles specifications'!$B$2:$CK$2,0))</f>
        <v>1.1000000000000001</v>
      </c>
    </row>
    <row r="470" spans="1:2" x14ac:dyDescent="0.3">
      <c r="A470" t="s">
        <v>134</v>
      </c>
      <c r="B470">
        <f>INDEX('vehicles specifications'!$B$3:$CK$86,MATCH(B463,'vehicles specifications'!$A$3:$A$86,0),MATCH("Servicing [unit]",'vehicles specifications'!$B$2:$CK$2,0))</f>
        <v>1.242</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4592</v>
      </c>
    </row>
    <row r="473" spans="1:2" x14ac:dyDescent="0.3">
      <c r="A473" t="s">
        <v>137</v>
      </c>
      <c r="B473" s="2">
        <f>INDEX('vehicles specifications'!$B$3:$CK$86,MATCH(B463,'vehicles specifications'!$A$3:$A$86,0),MATCH("Curb mass [kg]",'vehicles specifications'!$B$2:$CK$2,0))</f>
        <v>253.19500000000002</v>
      </c>
    </row>
    <row r="474" spans="1:2" x14ac:dyDescent="0.3">
      <c r="A474" t="s">
        <v>138</v>
      </c>
      <c r="B474">
        <f>INDEX('vehicles specifications'!$B$3:$CK$86,MATCH(B463,'vehicles specifications'!$A$3:$A$86,0),MATCH("Power [kW]",'vehicles specifications'!$B$2:$CK$2,0))</f>
        <v>91</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s="2">
        <f>INDEX('vehicles specifications'!$B$3:$CK$86,MATCH(B463,'vehicles specifications'!$A$3:$A$86,0),MATCH("Oxydation energy stored [kWh]",'vehicles specifications'!$B$2:$CK$2,0))</f>
        <v>159</v>
      </c>
    </row>
    <row r="478" spans="1:2" x14ac:dyDescent="0.3">
      <c r="A478" t="s">
        <v>145</v>
      </c>
      <c r="B478">
        <f>INDEX('vehicles specifications'!$B$3:$CK$86,MATCH(B463,'vehicles specifications'!$A$3:$A$86,0),MATCH("Fuel mass [kg]",'vehicles specifications'!$B$2:$CK$2,0))</f>
        <v>13.5</v>
      </c>
    </row>
    <row r="479" spans="1:2" x14ac:dyDescent="0.3">
      <c r="A479" t="s">
        <v>141</v>
      </c>
      <c r="B479" s="2">
        <f>INDEX('vehicles specifications'!$B$3:$CK$86,MATCH(B463,'vehicles specifications'!$A$3:$A$86,0),MATCH("Range [km]",'vehicles specifications'!$B$2:$CK$2,0))</f>
        <v>298.90078349848005</v>
      </c>
    </row>
    <row r="480" spans="1:2" x14ac:dyDescent="0.3">
      <c r="A480" t="s">
        <v>142</v>
      </c>
      <c r="B480" t="str">
        <f>INDEX('vehicles specifications'!$B$3:$CK$86,MATCH(B463,'vehicles specifications'!$A$3:$A$86,0),MATCH("Emission standard",'vehicles specifications'!$B$2:$CK$2,0))</f>
        <v>EURO-5</v>
      </c>
    </row>
    <row r="481" spans="1:8" x14ac:dyDescent="0.3">
      <c r="A481" t="s">
        <v>144</v>
      </c>
      <c r="B481" s="6">
        <f>INDEX('vehicles specifications'!$B$3:$CK$86,MATCH(B463,'vehicles specifications'!$A$3:$A$86,0),MATCH("Lightweighting rate [%]",'vehicles specifications'!$B$2:$CK$2,0))</f>
        <v>0.03</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91 kW. Lifetime: 62100 km. Annual kilometers: 4592 km. Number of passengers: 1.1. Curb mass: 253.2 kg. Lightweighting of glider: 3%. Emission standard: EURO-5. Service visits throughout lifetime: 1.2. Range: 299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Motorbike, gasoline, &gt;35kW, EURO-5, 2030</v>
      </c>
      <c r="B485" s="12">
        <v>1</v>
      </c>
      <c r="C485" s="12" t="str">
        <f>B459</f>
        <v>CH</v>
      </c>
      <c r="D485" s="12" t="s">
        <v>172</v>
      </c>
      <c r="E485" s="12"/>
      <c r="F485" s="12" t="s">
        <v>85</v>
      </c>
      <c r="G485" s="12" t="s">
        <v>86</v>
      </c>
      <c r="H485" s="12" t="str">
        <f>B464</f>
        <v>transport, Motorbike, gasoline, &gt;35kW, EURO-5</v>
      </c>
    </row>
    <row r="486" spans="1:8" x14ac:dyDescent="0.3">
      <c r="A486" s="12" t="str">
        <f>RIGHT(A485,LEN(A485)-11)</f>
        <v>Motorbike, gasoline, &gt;35kW, EURO-5, 2030</v>
      </c>
      <c r="B486" s="12">
        <f>1/B468</f>
        <v>1.6103059581320449E-5</v>
      </c>
      <c r="C486" s="12" t="str">
        <f>B459</f>
        <v>CH</v>
      </c>
      <c r="D486" s="12" t="s">
        <v>77</v>
      </c>
      <c r="E486" s="12"/>
      <c r="F486" s="12" t="s">
        <v>91</v>
      </c>
      <c r="G486" s="12"/>
      <c r="H486" s="12" t="str">
        <f>RIGHT(H485,LEN(H485)-11)</f>
        <v>Motorbike, gasoline, &gt;35kW, EURO-5</v>
      </c>
    </row>
    <row r="487" spans="1:8" s="21" customFormat="1"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1.8053671500000004E-4</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road maintenance</v>
      </c>
      <c r="B488" s="16">
        <f>INDEX('vehicles specifications'!$B$3:$CK$86,MATCH(B463,'vehicles specifications'!$A$3:$A$86,0),MATCH(G488,'vehicles specifications'!$B$2:$CK$2,0))*INDEX('ei names mapping'!$B$137:$BK$220,MATCH(B463,'ei names mapping'!$A$137:$A$220,0),MATCH(G488,'ei names mapping'!$B$136:$BK$136,0))</f>
        <v>1.2899999999999999E-3</v>
      </c>
      <c r="C488" s="12" t="str">
        <f>INDEX('ei names mapping'!$B$38:$R$67,MATCH(B460,'ei names mapping'!$A$4:$A$33,0),MATCH(G488,'ei names mapping'!$B$3:$R$3,0))</f>
        <v>CH</v>
      </c>
      <c r="D488" s="12" t="str">
        <f>INDEX('ei names mapping'!$B$104:$BK$133,MATCH(B460,'ei names mapping'!$A$4:$A$33,0),MATCH(G488,'ei names mapping'!$B$3:$BK$3,0))</f>
        <v>meter-year</v>
      </c>
      <c r="E488" s="12"/>
      <c r="F488" s="12" t="s">
        <v>91</v>
      </c>
      <c r="G488" t="s">
        <v>117</v>
      </c>
      <c r="H488" s="12" t="str">
        <f>INDEX('ei names mapping'!$B$71:$BK$100,MATCH(B460,'ei names mapping'!$A$4:$A$33,0),MATCH(G488,'ei names mapping'!$B$3:$BK$3,0))</f>
        <v>road maintenance</v>
      </c>
    </row>
    <row r="489" spans="1:8" x14ac:dyDescent="0.3">
      <c r="A489" s="12" t="str">
        <f>INDEX('ei names mapping'!$B$4:$R$33,MATCH(B460,'ei names mapping'!$A$4:$A$33,0),MATCH(G489,'ei names mapping'!$B$3:$R$3,0))</f>
        <v>maintenance, motor scooter</v>
      </c>
      <c r="B489" s="16">
        <f>INDEX('vehicles specifications'!$B$3:$CK$86,MATCH(B463,'vehicles specifications'!$A$3:$A$86,0),MATCH(G489,'vehicles specifications'!$B$2:$CK$2,0))*INDEX('ei names mapping'!$B$137:$BK$220,MATCH(B463,'ei names mapping'!$A$137:$A$220,0),MATCH(G489,'ei names mapping'!$B$136:$BK$136,0))</f>
        <v>1.9999999999999998E-5</v>
      </c>
      <c r="C489" s="12" t="str">
        <f>INDEX('ei names mapping'!$B$38:$BK$67,MATCH(B460,'ei names mapping'!$A$4:$A$33,0),MATCH(G489,'ei names mapping'!$B$3:$BK$3,0))</f>
        <v>CH</v>
      </c>
      <c r="D489" s="12" t="str">
        <f>INDEX('ei names mapping'!$B$104:$BK$133,MATCH(B460,'ei names mapping'!$A$4:$A$33,0),MATCH(G489,'ei names mapping'!$B$3:$BK$3,0))</f>
        <v>unit</v>
      </c>
      <c r="F489" s="12" t="s">
        <v>91</v>
      </c>
      <c r="G489" s="12" t="s">
        <v>123</v>
      </c>
      <c r="H489" s="12" t="str">
        <f>INDEX('ei names mapping'!$B$71:$BK$100,MATCH(B460,'ei names mapping'!$A$4:$A$33,0),MATCH(G489,'ei names mapping'!$B$3:$BK$3,0))</f>
        <v>maintenance, motor scooter</v>
      </c>
    </row>
    <row r="490" spans="1:8" x14ac:dyDescent="0.3">
      <c r="A490" s="12" t="str">
        <f>INDEX('ei names mapping'!$B$4:$R$33,MATCH(B460,'ei names mapping'!$A$4:$A$33,0),MATCH(G490,'ei names mapping'!$B$3:$R$3,0))</f>
        <v>market for petrol, low-sulfur</v>
      </c>
      <c r="B490" s="16">
        <f>INDEX('vehicles specifications'!$B$3:$CK$86,MATCH(B463,'vehicles specifications'!$A$3:$A$86,0),MATCH(G490,'vehicles specifications'!$B$2:$CK$2,0))*INDEX('ei names mapping'!$B$137:$BK$220,MATCH(B463,'ei names mapping'!$A$137:$A$220,0),MATCH(G490,'ei names mapping'!$B$136:$BK$136,0))</f>
        <v>4.5165488835423706E-2</v>
      </c>
      <c r="C490" s="12" t="str">
        <f>INDEX('ei names mapping'!$B$38:$BK$67,MATCH(B460,'ei names mapping'!$A$4:$A$33,0),MATCH(G490,'ei names mapping'!$B$3:$BK$3,0))</f>
        <v>CH</v>
      </c>
      <c r="D490" s="12" t="str">
        <f>INDEX('ei names mapping'!$B$104:$BK$133,MATCH(B460,'ei names mapping'!$A$4:$A$33,0),MATCH(G490,'ei names mapping'!$B$3:$BK$3,0))</f>
        <v>kilogram</v>
      </c>
      <c r="F490" s="12" t="s">
        <v>91</v>
      </c>
      <c r="G490" s="12" t="s">
        <v>27</v>
      </c>
      <c r="H490" s="12" t="str">
        <f>INDEX('ei names mapping'!$B$71:$BK$100,MATCH(B460,'ei names mapping'!$A$4:$A$33,0),MATCH(G490,'ei names mapping'!$B$3:$BK$3,0))</f>
        <v>petrol, low-sulfur</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0.1436262544966474</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7.2264782136677925E-7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1.459273693266061E-6</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2.0569291768525646E-5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1.5981599694916431E-4</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1.0825943036066128E-6</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1.0825943036066128E-6</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9.1119679228174102E-6</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2.7064857590165319E-6</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s="21" customFormat="1"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1.1767832777781926E-5</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s="21" customFormat="1"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8.2978308048462282E-7</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s="21" customFormat="1"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1.6907805715203913E-7</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s="21" customFormat="1"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1.3630292607333617E-6</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s="21" customFormat="1"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5.5925818904136034E-7</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s="21" customFormat="1"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4.1879334156120465E-7</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s="21" customFormat="1"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2.9653690023588408E-7</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s="21" customFormat="1"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1.9248886506539842E-7</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s="21" customFormat="1"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1.8988766418613624E-6</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s="21" customFormat="1"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9.9365873587813773E-7</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s="21" customFormat="1"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2.8613209671883554E-8</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s="21" customFormat="1"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2.8561185654298302E-6</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s="21" customFormat="1"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1.4124520774393426E-6</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s="21" customFormat="1"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5.878713987132438E-7</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s="21" customFormat="1"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4.4220414947456396E-7</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s="21" customFormat="1"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1.9509006594466054E-7</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s="21" customFormat="1"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5.7226419343767108E-8</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s="21" customFormat="1"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1.5867325363499058E-7</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s="21" customFormat="1"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s="21" customFormat="1"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4.9422816705980673E-8</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s="21" customFormat="1"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2.6272128880547621E-7</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s="21" customFormat="1"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6.6642582086444387E-8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s="21" customFormat="1"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5.7450501798658951E-10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s="21" customFormat="1"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3.8300334532439302E-10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s="21" customFormat="1"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4.136436129503445E-6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s="21" customFormat="1"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8.0430702518122528E-8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s="21" customFormat="1"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2.4895217446085546E-8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s="21" customFormat="1"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3.0640267625951449E-8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s="21" customFormat="1"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6.1280535251902888E-11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s="21" customFormat="1"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1.6660645521611097E-8</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s="21" customFormat="1"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2.0682180647517226E-8</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-7.3669999999999991E-6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-8.3499999999999997E-6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Motorbike, gasoline, &gt;35kW, EURO-5, 2040</v>
      </c>
    </row>
    <row r="536" spans="1:8" x14ac:dyDescent="0.3">
      <c r="A536" t="s">
        <v>73</v>
      </c>
      <c r="B536" t="s">
        <v>37</v>
      </c>
    </row>
    <row r="537" spans="1:8" x14ac:dyDescent="0.3">
      <c r="A537" t="s">
        <v>87</v>
      </c>
      <c r="B537" t="s">
        <v>705</v>
      </c>
    </row>
    <row r="538" spans="1:8" x14ac:dyDescent="0.3">
      <c r="A538" t="s">
        <v>88</v>
      </c>
      <c r="B538" s="12"/>
    </row>
    <row r="539" spans="1:8" x14ac:dyDescent="0.3">
      <c r="A539" t="s">
        <v>89</v>
      </c>
      <c r="B539" s="12">
        <v>2040</v>
      </c>
    </row>
    <row r="540" spans="1:8" x14ac:dyDescent="0.3">
      <c r="A540" t="s">
        <v>131</v>
      </c>
      <c r="B540" s="12" t="str">
        <f>B537&amp;" - "&amp;B539&amp;" - "&amp;B536</f>
        <v>Motorbike, gasoline, &gt;35kW, EURO-5 - 2040 - CH</v>
      </c>
    </row>
    <row r="541" spans="1:8" x14ac:dyDescent="0.3">
      <c r="A541" t="s">
        <v>74</v>
      </c>
      <c r="B541" s="12" t="str">
        <f>"transport, "&amp;B537</f>
        <v>transport, Motorbike, gasoline, &gt;35kW, EURO-5</v>
      </c>
    </row>
    <row r="542" spans="1:8" x14ac:dyDescent="0.3">
      <c r="A542" t="s">
        <v>75</v>
      </c>
      <c r="B542" t="s">
        <v>76</v>
      </c>
    </row>
    <row r="543" spans="1:8" x14ac:dyDescent="0.3">
      <c r="A543" t="s">
        <v>77</v>
      </c>
      <c r="B543" t="s">
        <v>172</v>
      </c>
    </row>
    <row r="544" spans="1:8" x14ac:dyDescent="0.3">
      <c r="A544" t="s">
        <v>79</v>
      </c>
      <c r="B544" t="s">
        <v>90</v>
      </c>
    </row>
    <row r="545" spans="1:2" x14ac:dyDescent="0.3">
      <c r="A545" t="s">
        <v>132</v>
      </c>
      <c r="B545">
        <f>INDEX('vehicles specifications'!$B$3:$CK$86,MATCH(B540,'vehicles specifications'!$A$3:$A$86,0),MATCH("Lifetime [km]",'vehicles specifications'!$B$2:$CK$2,0))</f>
        <v>62100</v>
      </c>
    </row>
    <row r="546" spans="1:2" x14ac:dyDescent="0.3">
      <c r="A546" t="s">
        <v>133</v>
      </c>
      <c r="B546">
        <f>INDEX('vehicles specifications'!$B$3:$CK$86,MATCH(B540,'vehicles specifications'!$A$3:$A$86,0),MATCH("Passengers [unit]",'vehicles specifications'!$B$2:$CK$2,0))</f>
        <v>1.1000000000000001</v>
      </c>
    </row>
    <row r="547" spans="1:2" x14ac:dyDescent="0.3">
      <c r="A547" t="s">
        <v>134</v>
      </c>
      <c r="B547">
        <f>INDEX('vehicles specifications'!$B$3:$CK$86,MATCH(B540,'vehicles specifications'!$A$3:$A$86,0),MATCH("Servicing [unit]",'vehicles specifications'!$B$2:$CK$2,0))</f>
        <v>1.242</v>
      </c>
    </row>
    <row r="548" spans="1:2" x14ac:dyDescent="0.3">
      <c r="A548" t="s">
        <v>135</v>
      </c>
      <c r="B548">
        <f>INDEX('vehicles specifications'!$B$3:$CK$86,MATCH(B540,'vehicles specifications'!$A$3:$A$86,0),MATCH("Energy battery replacement [unit]",'vehicles specifications'!$B$2:$CK$2,0))</f>
        <v>0</v>
      </c>
    </row>
    <row r="549" spans="1:2" x14ac:dyDescent="0.3">
      <c r="A549" t="s">
        <v>136</v>
      </c>
      <c r="B549">
        <f>INDEX('vehicles specifications'!$B$3:$CK$86,MATCH(B540,'vehicles specifications'!$A$3:$A$86,0),MATCH("Annual kilometers [km]",'vehicles specifications'!$B$2:$CK$2,0))</f>
        <v>4592</v>
      </c>
    </row>
    <row r="550" spans="1:2" x14ac:dyDescent="0.3">
      <c r="A550" t="s">
        <v>137</v>
      </c>
      <c r="B550" s="2">
        <f>INDEX('vehicles specifications'!$B$3:$CK$86,MATCH(B540,'vehicles specifications'!$A$3:$A$86,0),MATCH("Curb mass [kg]",'vehicles specifications'!$B$2:$CK$2,0))</f>
        <v>250.97499999999999</v>
      </c>
    </row>
    <row r="551" spans="1:2" x14ac:dyDescent="0.3">
      <c r="A551" t="s">
        <v>138</v>
      </c>
      <c r="B551">
        <f>INDEX('vehicles specifications'!$B$3:$CK$86,MATCH(B540,'vehicles specifications'!$A$3:$A$86,0),MATCH("Power [kW]",'vehicles specifications'!$B$2:$CK$2,0))</f>
        <v>91</v>
      </c>
    </row>
    <row r="552" spans="1:2" x14ac:dyDescent="0.3">
      <c r="A552" t="s">
        <v>139</v>
      </c>
      <c r="B552">
        <f>INDEX('vehicles specifications'!$B$3:$CK$86,MATCH(B540,'vehicles specifications'!$A$3:$A$86,0),MATCH("Energy battery mass [kg]",'vehicles specifications'!$B$2:$CK$2,0))</f>
        <v>0</v>
      </c>
    </row>
    <row r="553" spans="1:2" x14ac:dyDescent="0.3">
      <c r="A553" t="s">
        <v>140</v>
      </c>
      <c r="B553">
        <f>INDEX('vehicles specifications'!$B$3:$CK$86,MATCH(B540,'vehicles specifications'!$A$3:$A$86,0),MATCH("Electric energy available [kWh]",'vehicles specifications'!$B$2:$CK$2,0))</f>
        <v>0</v>
      </c>
    </row>
    <row r="554" spans="1:2" x14ac:dyDescent="0.3">
      <c r="A554" t="s">
        <v>143</v>
      </c>
      <c r="B554" s="2">
        <f>INDEX('vehicles specifications'!$B$3:$CK$86,MATCH(B540,'vehicles specifications'!$A$3:$A$86,0),MATCH("Oxydation energy stored [kWh]",'vehicles specifications'!$B$2:$CK$2,0))</f>
        <v>159</v>
      </c>
    </row>
    <row r="555" spans="1:2" x14ac:dyDescent="0.3">
      <c r="A555" t="s">
        <v>145</v>
      </c>
      <c r="B555">
        <f>INDEX('vehicles specifications'!$B$3:$CK$86,MATCH(B540,'vehicles specifications'!$A$3:$A$86,0),MATCH("Fuel mass [kg]",'vehicles specifications'!$B$2:$CK$2,0))</f>
        <v>13.5</v>
      </c>
    </row>
    <row r="556" spans="1:2" x14ac:dyDescent="0.3">
      <c r="A556" t="s">
        <v>141</v>
      </c>
      <c r="B556" s="2">
        <f>INDEX('vehicles specifications'!$B$3:$CK$86,MATCH(B540,'vehicles specifications'!$A$3:$A$86,0),MATCH("Range [km]",'vehicles specifications'!$B$2:$CK$2,0))</f>
        <v>301.91998333179805</v>
      </c>
    </row>
    <row r="557" spans="1:2" x14ac:dyDescent="0.3">
      <c r="A557" t="s">
        <v>142</v>
      </c>
      <c r="B557" t="str">
        <f>INDEX('vehicles specifications'!$B$3:$CK$86,MATCH(B540,'vehicles specifications'!$A$3:$A$86,0),MATCH("Emission standard",'vehicles specifications'!$B$2:$CK$2,0))</f>
        <v>EURO-5</v>
      </c>
    </row>
    <row r="558" spans="1:2" x14ac:dyDescent="0.3">
      <c r="A558" t="s">
        <v>144</v>
      </c>
      <c r="B558" s="6">
        <f>INDEX('vehicles specifications'!$B$3:$CK$86,MATCH(B540,'vehicles specifications'!$A$3:$A$86,0),MATCH("Lightweighting rate [%]",'vehicles specifications'!$B$2:$CK$2,0))</f>
        <v>0.05</v>
      </c>
    </row>
    <row r="559" spans="1:2" x14ac:dyDescent="0.3">
      <c r="A559"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91 kW. Lifetime: 62100 km. Annual kilometers: 4592 km. Number of passengers: 1.1. Curb mass: 251 kg. Lightweighting of glider: 5%. Emission standard: EURO-5. Service visits throughout lifetime: 1.2. Range: 302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t="s">
        <v>81</v>
      </c>
      <c r="B561" t="s">
        <v>82</v>
      </c>
      <c r="C561" t="s">
        <v>73</v>
      </c>
      <c r="D561" t="s">
        <v>77</v>
      </c>
      <c r="E561" t="s">
        <v>83</v>
      </c>
      <c r="F561" t="s">
        <v>75</v>
      </c>
      <c r="G561" t="s">
        <v>84</v>
      </c>
      <c r="H561" t="s">
        <v>74</v>
      </c>
    </row>
    <row r="562" spans="1:8" x14ac:dyDescent="0.3">
      <c r="A562" s="12" t="str">
        <f>B535</f>
        <v>transport, Motorbike, gasoline, &gt;35kW, EURO-5, 2040</v>
      </c>
      <c r="B562" s="12">
        <v>1</v>
      </c>
      <c r="C562" s="12" t="str">
        <f>B536</f>
        <v>CH</v>
      </c>
      <c r="D562" s="12" t="s">
        <v>172</v>
      </c>
      <c r="E562" s="12"/>
      <c r="F562" s="12" t="s">
        <v>85</v>
      </c>
      <c r="G562" s="12" t="s">
        <v>86</v>
      </c>
      <c r="H562" s="12" t="str">
        <f>B541</f>
        <v>transport, Motorbike, gasoline, &gt;35kW, EURO-5</v>
      </c>
    </row>
    <row r="563" spans="1:8" x14ac:dyDescent="0.3">
      <c r="A563" s="12" t="str">
        <f>RIGHT(A562,LEN(A562)-11)</f>
        <v>Motorbike, gasoline, &gt;35kW, EURO-5, 2040</v>
      </c>
      <c r="B563" s="12">
        <f>1/B545</f>
        <v>1.6103059581320449E-5</v>
      </c>
      <c r="C563" s="12" t="str">
        <f>B536</f>
        <v>CH</v>
      </c>
      <c r="D563" s="12" t="s">
        <v>77</v>
      </c>
      <c r="E563" s="12"/>
      <c r="F563" s="12" t="s">
        <v>91</v>
      </c>
      <c r="G563" s="12"/>
      <c r="H563" s="12" t="str">
        <f>RIGHT(H562,LEN(H562)-11)</f>
        <v>Motorbike, gasoline, &gt;35kW, EURO-5</v>
      </c>
    </row>
    <row r="564" spans="1:8" s="21" customFormat="1"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1.7934457500000002E-4</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road maintenance</v>
      </c>
      <c r="B565" s="16">
        <f>INDEX('vehicles specifications'!$B$3:$CK$86,MATCH(B540,'vehicles specifications'!$A$3:$A$86,0),MATCH(G565,'vehicles specifications'!$B$2:$CK$2,0))*INDEX('ei names mapping'!$B$137:$BK$220,MATCH(B540,'ei names mapping'!$A$137:$A$220,0),MATCH(G565,'ei names mapping'!$B$136:$BK$136,0))</f>
        <v>1.2899999999999999E-3</v>
      </c>
      <c r="C565" s="12" t="str">
        <f>INDEX('ei names mapping'!$B$38:$R$67,MATCH(B537,'ei names mapping'!$A$4:$A$33,0),MATCH(G565,'ei names mapping'!$B$3:$R$3,0))</f>
        <v>CH</v>
      </c>
      <c r="D565" s="12" t="str">
        <f>INDEX('ei names mapping'!$B$104:$BK$133,MATCH(B537,'ei names mapping'!$A$4:$A$33,0),MATCH(G565,'ei names mapping'!$B$3:$BK$3,0))</f>
        <v>meter-year</v>
      </c>
      <c r="E565" s="12"/>
      <c r="F565" s="12" t="s">
        <v>91</v>
      </c>
      <c r="G565" t="s">
        <v>117</v>
      </c>
      <c r="H565" s="12" t="str">
        <f>INDEX('ei names mapping'!$B$71:$BK$100,MATCH(B537,'ei names mapping'!$A$4:$A$33,0),MATCH(G565,'ei names mapping'!$B$3:$BK$3,0))</f>
        <v>road maintenance</v>
      </c>
    </row>
    <row r="566" spans="1:8" x14ac:dyDescent="0.3">
      <c r="A566" s="12" t="str">
        <f>INDEX('ei names mapping'!$B$4:$R$33,MATCH(B537,'ei names mapping'!$A$4:$A$33,0),MATCH(G566,'ei names mapping'!$B$3:$R$3,0))</f>
        <v>maintenance, motor scooter</v>
      </c>
      <c r="B566" s="16">
        <f>INDEX('vehicles specifications'!$B$3:$CK$86,MATCH(B540,'vehicles specifications'!$A$3:$A$86,0),MATCH(G566,'vehicles specifications'!$B$2:$CK$2,0))*INDEX('ei names mapping'!$B$137:$BK$220,MATCH(B540,'ei names mapping'!$A$137:$A$220,0),MATCH(G566,'ei names mapping'!$B$136:$BK$136,0))</f>
        <v>1.9999999999999998E-5</v>
      </c>
      <c r="C566" s="12" t="str">
        <f>INDEX('ei names mapping'!$B$38:$BK$67,MATCH(B537,'ei names mapping'!$A$4:$A$33,0),MATCH(G566,'ei names mapping'!$B$3:$BK$3,0))</f>
        <v>CH</v>
      </c>
      <c r="D566" s="12" t="str">
        <f>INDEX('ei names mapping'!$B$104:$BK$133,MATCH(B537,'ei names mapping'!$A$4:$A$33,0),MATCH(G566,'ei names mapping'!$B$3:$BK$3,0))</f>
        <v>unit</v>
      </c>
      <c r="F566" s="12" t="s">
        <v>91</v>
      </c>
      <c r="G566" s="12" t="s">
        <v>123</v>
      </c>
      <c r="H566" s="12" t="str">
        <f>INDEX('ei names mapping'!$B$71:$BK$100,MATCH(B537,'ei names mapping'!$A$4:$A$33,0),MATCH(G566,'ei names mapping'!$B$3:$BK$3,0))</f>
        <v>maintenance, motor scooter</v>
      </c>
    </row>
    <row r="567" spans="1:8" x14ac:dyDescent="0.3">
      <c r="A567" s="12" t="str">
        <f>INDEX('ei names mapping'!$B$4:$R$33,MATCH(B537,'ei names mapping'!$A$4:$A$33,0),MATCH(G567,'ei names mapping'!$B$3:$R$3,0))</f>
        <v>market for petrol, low-sulfur</v>
      </c>
      <c r="B567" s="16">
        <f>INDEX('vehicles specifications'!$B$3:$CK$86,MATCH(B540,'vehicles specifications'!$A$3:$A$86,0),MATCH(G567,'vehicles specifications'!$B$2:$CK$2,0))*INDEX('ei names mapping'!$B$137:$BK$220,MATCH(B540,'ei names mapping'!$A$137:$A$220,0),MATCH(G567,'ei names mapping'!$B$136:$BK$136,0))</f>
        <v>4.4713833947069466E-2</v>
      </c>
      <c r="C567" s="12" t="str">
        <f>INDEX('ei names mapping'!$B$38:$BK$67,MATCH(B537,'ei names mapping'!$A$4:$A$33,0),MATCH(G567,'ei names mapping'!$B$3:$BK$3,0))</f>
        <v>CH</v>
      </c>
      <c r="D567" s="12" t="str">
        <f>INDEX('ei names mapping'!$B$104:$BK$133,MATCH(B537,'ei names mapping'!$A$4:$A$33,0),MATCH(G567,'ei names mapping'!$B$3:$BK$3,0))</f>
        <v>kilogram</v>
      </c>
      <c r="F567" s="12" t="s">
        <v>91</v>
      </c>
      <c r="G567" s="12" t="s">
        <v>27</v>
      </c>
      <c r="H567" s="12" t="str">
        <f>INDEX('ei names mapping'!$B$71:$BK$100,MATCH(B537,'ei names mapping'!$A$4:$A$33,0),MATCH(G567,'ei names mapping'!$B$3:$BK$3,0))</f>
        <v>petrol, low-sulfur</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0.14218999195168092</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7.1542134315311146E-7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1.4446809563334003E-6</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2.0363598850840388E-5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1.5821783697967266E-4</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1.0717683605705466E-6</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1.0717683605705466E-6</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9.0208482435892366E-6</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2.6794209014263668E-6</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s="21" customFormat="1"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1.1650154450004105E-5</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s="21" customFormat="1"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8.2148524967977661E-7</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s="21" customFormat="1"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1.6738727658051873E-7</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s="21" customFormat="1"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1.3493989681260279E-6</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s="21" customFormat="1"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5.5366560715094662E-7</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s="21" customFormat="1"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4.1460540814559257E-7</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s="21" customFormat="1"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2.9357153123352523E-7</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s="21" customFormat="1"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1.9056397641474442E-7</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s="21" customFormat="1"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1.8798878754427487E-6</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s="21" customFormat="1"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9.8372214851935643E-7</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s="21" customFormat="1"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2.8327077575164717E-8</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s="21" customFormat="1"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2.8275573797755318E-6</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s="21" customFormat="1"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1.3983275566649491E-6</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s="21" customFormat="1"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5.819926847261114E-7</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s="21" customFormat="1"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4.3778210797981829E-7</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s="21" customFormat="1"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1.9313916528521392E-7</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s="21" customFormat="1"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5.6654155150329434E-8</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s="21" customFormat="1"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1.5708652109864066E-7</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s="21" customFormat="1"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s="21" customFormat="1"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4.8928588538920863E-8</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s="21" customFormat="1"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2.6009407591742145E-7</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s="21" customFormat="1"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6.5976156265579933E-8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s="21" customFormat="1"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5.6875996780672355E-10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s="21" customFormat="1"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3.7917331187114909E-10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s="21" customFormat="1"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4.09507176820841E-6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s="21" customFormat="1"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7.9626395492941297E-8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s="21" customFormat="1"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2.4646265271624692E-8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s="21" customFormat="1"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3.0333864949691933E-8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s="21" customFormat="1"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6.0667729899383848E-11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s="21" customFormat="1"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1.6494039066394983E-8</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s="21" customFormat="1"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2.047535884104205E-8</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-7.3669999999999991E-6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-8.3499999999999997E-6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Motorbike, gasoline, &gt;35kW, EURO-5, 2050</v>
      </c>
    </row>
    <row r="613" spans="1:8" x14ac:dyDescent="0.3">
      <c r="A613" t="s">
        <v>73</v>
      </c>
      <c r="B613" t="s">
        <v>37</v>
      </c>
    </row>
    <row r="614" spans="1:8" x14ac:dyDescent="0.3">
      <c r="A614" t="s">
        <v>87</v>
      </c>
      <c r="B614" t="s">
        <v>705</v>
      </c>
    </row>
    <row r="615" spans="1:8" x14ac:dyDescent="0.3">
      <c r="A615" t="s">
        <v>88</v>
      </c>
      <c r="B615" s="12"/>
    </row>
    <row r="616" spans="1:8" x14ac:dyDescent="0.3">
      <c r="A616" t="s">
        <v>89</v>
      </c>
      <c r="B616" s="12">
        <v>2050</v>
      </c>
    </row>
    <row r="617" spans="1:8" x14ac:dyDescent="0.3">
      <c r="A617" t="s">
        <v>131</v>
      </c>
      <c r="B617" s="12" t="str">
        <f>B614&amp;" - "&amp;B616&amp;" - "&amp;B613</f>
        <v>Motorbike, gasoline, &gt;35kW, EURO-5 - 2050 - CH</v>
      </c>
    </row>
    <row r="618" spans="1:8" x14ac:dyDescent="0.3">
      <c r="A618" t="s">
        <v>74</v>
      </c>
      <c r="B618" s="12" t="str">
        <f>"transport, "&amp;B614</f>
        <v>transport, Motorbike, gasoline, &gt;35kW, EURO-5</v>
      </c>
    </row>
    <row r="619" spans="1:8" x14ac:dyDescent="0.3">
      <c r="A619" t="s">
        <v>75</v>
      </c>
      <c r="B619" t="s">
        <v>76</v>
      </c>
    </row>
    <row r="620" spans="1:8" x14ac:dyDescent="0.3">
      <c r="A620" t="s">
        <v>77</v>
      </c>
      <c r="B620" t="s">
        <v>172</v>
      </c>
    </row>
    <row r="621" spans="1:8" x14ac:dyDescent="0.3">
      <c r="A621" t="s">
        <v>79</v>
      </c>
      <c r="B621" t="s">
        <v>90</v>
      </c>
    </row>
    <row r="622" spans="1:8" x14ac:dyDescent="0.3">
      <c r="A622" t="s">
        <v>132</v>
      </c>
      <c r="B622">
        <f>INDEX('vehicles specifications'!$B$3:$CK$86,MATCH(B617,'vehicles specifications'!$A$3:$A$86,0),MATCH("Lifetime [km]",'vehicles specifications'!$B$2:$CK$2,0))</f>
        <v>62100</v>
      </c>
    </row>
    <row r="623" spans="1:8" x14ac:dyDescent="0.3">
      <c r="A623" t="s">
        <v>133</v>
      </c>
      <c r="B623">
        <f>INDEX('vehicles specifications'!$B$3:$CK$86,MATCH(B617,'vehicles specifications'!$A$3:$A$86,0),MATCH("Passengers [unit]",'vehicles specifications'!$B$2:$CK$2,0))</f>
        <v>1.1000000000000001</v>
      </c>
    </row>
    <row r="624" spans="1:8" x14ac:dyDescent="0.3">
      <c r="A624" t="s">
        <v>134</v>
      </c>
      <c r="B624">
        <f>INDEX('vehicles specifications'!$B$3:$CK$86,MATCH(B617,'vehicles specifications'!$A$3:$A$86,0),MATCH("Servicing [unit]",'vehicles specifications'!$B$2:$CK$2,0))</f>
        <v>1.242</v>
      </c>
    </row>
    <row r="625" spans="1:8" x14ac:dyDescent="0.3">
      <c r="A625" t="s">
        <v>135</v>
      </c>
      <c r="B625">
        <f>INDEX('vehicles specifications'!$B$3:$CK$86,MATCH(B617,'vehicles specifications'!$A$3:$A$86,0),MATCH("Energy battery replacement [unit]",'vehicles specifications'!$B$2:$CK$2,0))</f>
        <v>0</v>
      </c>
    </row>
    <row r="626" spans="1:8" x14ac:dyDescent="0.3">
      <c r="A626" t="s">
        <v>136</v>
      </c>
      <c r="B626">
        <f>INDEX('vehicles specifications'!$B$3:$CK$86,MATCH(B617,'vehicles specifications'!$A$3:$A$86,0),MATCH("Annual kilometers [km]",'vehicles specifications'!$B$2:$CK$2,0))</f>
        <v>4592</v>
      </c>
    </row>
    <row r="627" spans="1:8" x14ac:dyDescent="0.3">
      <c r="A627" t="s">
        <v>137</v>
      </c>
      <c r="B627" s="2">
        <f>INDEX('vehicles specifications'!$B$3:$CK$86,MATCH(B617,'vehicles specifications'!$A$3:$A$86,0),MATCH("Curb mass [kg]",'vehicles specifications'!$B$2:$CK$2,0))</f>
        <v>248.755</v>
      </c>
    </row>
    <row r="628" spans="1:8" x14ac:dyDescent="0.3">
      <c r="A628" t="s">
        <v>138</v>
      </c>
      <c r="B628">
        <f>INDEX('vehicles specifications'!$B$3:$CK$86,MATCH(B617,'vehicles specifications'!$A$3:$A$86,0),MATCH("Power [kW]",'vehicles specifications'!$B$2:$CK$2,0))</f>
        <v>91</v>
      </c>
    </row>
    <row r="629" spans="1:8" x14ac:dyDescent="0.3">
      <c r="A629" t="s">
        <v>139</v>
      </c>
      <c r="B629">
        <f>INDEX('vehicles specifications'!$B$3:$CK$86,MATCH(B617,'vehicles specifications'!$A$3:$A$86,0),MATCH("Energy battery mass [kg]",'vehicles specifications'!$B$2:$CK$2,0))</f>
        <v>0</v>
      </c>
    </row>
    <row r="630" spans="1:8" x14ac:dyDescent="0.3">
      <c r="A630" t="s">
        <v>140</v>
      </c>
      <c r="B630">
        <f>INDEX('vehicles specifications'!$B$3:$CK$86,MATCH(B617,'vehicles specifications'!$A$3:$A$86,0),MATCH("Electric energy available [kWh]",'vehicles specifications'!$B$2:$CK$2,0))</f>
        <v>0</v>
      </c>
    </row>
    <row r="631" spans="1:8" x14ac:dyDescent="0.3">
      <c r="A631" t="s">
        <v>143</v>
      </c>
      <c r="B631" s="2">
        <f>INDEX('vehicles specifications'!$B$3:$CK$86,MATCH(B617,'vehicles specifications'!$A$3:$A$86,0),MATCH("Oxydation energy stored [kWh]",'vehicles specifications'!$B$2:$CK$2,0))</f>
        <v>159</v>
      </c>
    </row>
    <row r="632" spans="1:8" x14ac:dyDescent="0.3">
      <c r="A632" t="s">
        <v>145</v>
      </c>
      <c r="B632">
        <f>INDEX('vehicles specifications'!$B$3:$CK$86,MATCH(B617,'vehicles specifications'!$A$3:$A$86,0),MATCH("Fuel mass [kg]",'vehicles specifications'!$B$2:$CK$2,0))</f>
        <v>13.5</v>
      </c>
    </row>
    <row r="633" spans="1:8" x14ac:dyDescent="0.3">
      <c r="A633" t="s">
        <v>141</v>
      </c>
      <c r="B633" s="2">
        <f>INDEX('vehicles specifications'!$B$3:$CK$86,MATCH(B617,'vehicles specifications'!$A$3:$A$86,0),MATCH("Range [km]",'vehicles specifications'!$B$2:$CK$2,0))</f>
        <v>304.96968013312937</v>
      </c>
    </row>
    <row r="634" spans="1:8" x14ac:dyDescent="0.3">
      <c r="A634" t="s">
        <v>142</v>
      </c>
      <c r="B634" t="str">
        <f>INDEX('vehicles specifications'!$B$3:$CK$86,MATCH(B617,'vehicles specifications'!$A$3:$A$86,0),MATCH("Emission standard",'vehicles specifications'!$B$2:$CK$2,0))</f>
        <v>EURO-5</v>
      </c>
    </row>
    <row r="635" spans="1:8" x14ac:dyDescent="0.3">
      <c r="A635" t="s">
        <v>144</v>
      </c>
      <c r="B635" s="6">
        <f>INDEX('vehicles specifications'!$B$3:$CK$86,MATCH(B617,'vehicles specifications'!$A$3:$A$86,0),MATCH("Lightweighting rate [%]",'vehicles specifications'!$B$2:$CK$2,0))</f>
        <v>7.0000000000000007E-2</v>
      </c>
    </row>
    <row r="636" spans="1:8" x14ac:dyDescent="0.3">
      <c r="A636"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91 kW. Lifetime: 62100 km. Annual kilometers: 4592 km. Number of passengers: 1.1. Curb mass: 248.8 kg. Lightweighting of glider: 7%. Emission standard: EURO-5. Service visits throughout lifetime: 1.2. Range: 305 km. Battery capacity: 0 kWh. Battery mass: 0 kg. Battery replacement throughout lifetime: 0. Fuel tank capacity: 159 kWh. Fuel mass: 13.5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t="s">
        <v>81</v>
      </c>
      <c r="B638" t="s">
        <v>82</v>
      </c>
      <c r="C638" t="s">
        <v>73</v>
      </c>
      <c r="D638" t="s">
        <v>77</v>
      </c>
      <c r="E638" t="s">
        <v>83</v>
      </c>
      <c r="F638" t="s">
        <v>75</v>
      </c>
      <c r="G638" t="s">
        <v>84</v>
      </c>
      <c r="H638" t="s">
        <v>74</v>
      </c>
    </row>
    <row r="639" spans="1:8" x14ac:dyDescent="0.3">
      <c r="A639" s="12" t="str">
        <f>B612</f>
        <v>transport, Motorbike, gasoline, &gt;35kW, EURO-5, 2050</v>
      </c>
      <c r="B639" s="12">
        <v>1</v>
      </c>
      <c r="C639" s="12" t="str">
        <f>B613</f>
        <v>CH</v>
      </c>
      <c r="D639" s="12" t="s">
        <v>172</v>
      </c>
      <c r="E639" s="12"/>
      <c r="F639" s="12" t="s">
        <v>85</v>
      </c>
      <c r="G639" s="12" t="s">
        <v>86</v>
      </c>
      <c r="H639" s="12" t="str">
        <f>B618</f>
        <v>transport, Motorbike, gasoline, &gt;35kW, EURO-5</v>
      </c>
    </row>
    <row r="640" spans="1:8" x14ac:dyDescent="0.3">
      <c r="A640" s="12" t="str">
        <f>RIGHT(A639,LEN(A639)-11)</f>
        <v>Motorbike, gasoline, &gt;35kW, EURO-5, 2050</v>
      </c>
      <c r="B640" s="12">
        <f>1/B622</f>
        <v>1.6103059581320449E-5</v>
      </c>
      <c r="C640" s="12" t="str">
        <f>B613</f>
        <v>CH</v>
      </c>
      <c r="D640" s="12" t="s">
        <v>77</v>
      </c>
      <c r="E640" s="12"/>
      <c r="F640" s="12" t="s">
        <v>91</v>
      </c>
      <c r="G640" s="12"/>
      <c r="H640" s="12" t="str">
        <f>RIGHT(H639,LEN(H639)-11)</f>
        <v>Motorbike, gasoline, &gt;35kW, EURO-5</v>
      </c>
    </row>
    <row r="641" spans="1:8" s="21" customFormat="1"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1.7815243499999999E-4</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road maintenance</v>
      </c>
      <c r="B642" s="16">
        <f>INDEX('vehicles specifications'!$B$3:$CK$86,MATCH(B617,'vehicles specifications'!$A$3:$A$86,0),MATCH(G642,'vehicles specifications'!$B$2:$CK$2,0))*INDEX('ei names mapping'!$B$137:$BK$220,MATCH(B617,'ei names mapping'!$A$137:$A$220,0),MATCH(G642,'ei names mapping'!$B$136:$BK$136,0))</f>
        <v>1.2899999999999999E-3</v>
      </c>
      <c r="C642" s="12" t="str">
        <f>INDEX('ei names mapping'!$B$38:$R$67,MATCH(B614,'ei names mapping'!$A$4:$A$33,0),MATCH(G642,'ei names mapping'!$B$3:$R$3,0))</f>
        <v>CH</v>
      </c>
      <c r="D642" s="12" t="str">
        <f>INDEX('ei names mapping'!$B$104:$BK$133,MATCH(B614,'ei names mapping'!$A$4:$A$33,0),MATCH(G642,'ei names mapping'!$B$3:$BK$3,0))</f>
        <v>meter-year</v>
      </c>
      <c r="E642" s="12"/>
      <c r="F642" s="12" t="s">
        <v>91</v>
      </c>
      <c r="G642" t="s">
        <v>117</v>
      </c>
      <c r="H642" s="12" t="str">
        <f>INDEX('ei names mapping'!$B$71:$BK$100,MATCH(B614,'ei names mapping'!$A$4:$A$33,0),MATCH(G642,'ei names mapping'!$B$3:$BK$3,0))</f>
        <v>road maintenance</v>
      </c>
    </row>
    <row r="643" spans="1:8" x14ac:dyDescent="0.3">
      <c r="A643" s="12" t="str">
        <f>INDEX('ei names mapping'!$B$4:$R$33,MATCH(B614,'ei names mapping'!$A$4:$A$33,0),MATCH(G643,'ei names mapping'!$B$3:$R$3,0))</f>
        <v>maintenance, motor scooter</v>
      </c>
      <c r="B643" s="16">
        <f>INDEX('vehicles specifications'!$B$3:$CK$86,MATCH(B617,'vehicles specifications'!$A$3:$A$86,0),MATCH(G643,'vehicles specifications'!$B$2:$CK$2,0))*INDEX('ei names mapping'!$B$137:$BK$220,MATCH(B617,'ei names mapping'!$A$137:$A$220,0),MATCH(G643,'ei names mapping'!$B$136:$BK$136,0))</f>
        <v>1.9999999999999998E-5</v>
      </c>
      <c r="C643" s="12" t="str">
        <f>INDEX('ei names mapping'!$B$38:$BK$67,MATCH(B614,'ei names mapping'!$A$4:$A$33,0),MATCH(G643,'ei names mapping'!$B$3:$BK$3,0))</f>
        <v>CH</v>
      </c>
      <c r="D643" s="12" t="str">
        <f>INDEX('ei names mapping'!$B$104:$BK$133,MATCH(B614,'ei names mapping'!$A$4:$A$33,0),MATCH(G643,'ei names mapping'!$B$3:$BK$3,0))</f>
        <v>unit</v>
      </c>
      <c r="F643" s="12" t="s">
        <v>91</v>
      </c>
      <c r="G643" s="12" t="s">
        <v>123</v>
      </c>
      <c r="H643" s="12" t="str">
        <f>INDEX('ei names mapping'!$B$71:$BK$100,MATCH(B614,'ei names mapping'!$A$4:$A$33,0),MATCH(G643,'ei names mapping'!$B$3:$BK$3,0))</f>
        <v>maintenance, motor scooter</v>
      </c>
    </row>
    <row r="644" spans="1:8" x14ac:dyDescent="0.3">
      <c r="A644" s="12" t="str">
        <f>INDEX('ei names mapping'!$B$4:$R$33,MATCH(B614,'ei names mapping'!$A$4:$A$33,0),MATCH(G644,'ei names mapping'!$B$3:$R$3,0))</f>
        <v>market for petrol, low-sulfur</v>
      </c>
      <c r="B644" s="16">
        <f>INDEX('vehicles specifications'!$B$3:$CK$86,MATCH(B617,'vehicles specifications'!$A$3:$A$86,0),MATCH(G644,'vehicles specifications'!$B$2:$CK$2,0))*INDEX('ei names mapping'!$B$137:$BK$220,MATCH(B617,'ei names mapping'!$A$137:$A$220,0),MATCH(G644,'ei names mapping'!$B$136:$BK$136,0))</f>
        <v>4.4266695607598772E-2</v>
      </c>
      <c r="C644" s="12" t="str">
        <f>INDEX('ei names mapping'!$B$38:$BK$67,MATCH(B614,'ei names mapping'!$A$4:$A$33,0),MATCH(G644,'ei names mapping'!$B$3:$BK$3,0))</f>
        <v>CH</v>
      </c>
      <c r="D644" s="12" t="str">
        <f>INDEX('ei names mapping'!$B$104:$BK$133,MATCH(B614,'ei names mapping'!$A$4:$A$33,0),MATCH(G644,'ei names mapping'!$B$3:$BK$3,0))</f>
        <v>kilogram</v>
      </c>
      <c r="F644" s="12" t="s">
        <v>91</v>
      </c>
      <c r="G644" s="12" t="s">
        <v>27</v>
      </c>
      <c r="H644" s="12" t="str">
        <f>INDEX('ei names mapping'!$B$71:$BK$100,MATCH(B614,'ei names mapping'!$A$4:$A$33,0),MATCH(G644,'ei names mapping'!$B$3:$BK$3,0))</f>
        <v>petrol, low-sulfur</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0.14076809203216409</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7.0826712972158032E-7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1.4302341467700663E-6</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2.0159962862331985E-5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1.5663565860987594E-4</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1.0610506769648412E-6</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1.0610506769648412E-6</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8.9306397611533445E-6</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2.6526266924121032E-6</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s="21" customFormat="1"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1.1533652905504065E-5</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s="21" customFormat="1"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8.132703971829788E-7</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s="21" customFormat="1"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1.6571340381471356E-7</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s="21" customFormat="1"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1.3359049784447677E-6</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s="21" customFormat="1"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5.4812895107943716E-7</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s="21" customFormat="1"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4.1045935406413667E-7</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s="21" customFormat="1"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2.9063581592118997E-7</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s="21" customFormat="1"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1.8865833665059698E-7</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s="21" customFormat="1"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1.8610889966883214E-6</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s="21" customFormat="1"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9.7388492703416292E-7</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s="21" customFormat="1"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2.804380679941307E-8</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s="21" customFormat="1"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2.7992818059777767E-6</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s="21" customFormat="1"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1.3843442810982995E-6</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s="21" customFormat="1"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5.761727578788502E-7</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s="21" customFormat="1"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4.3340428690002014E-7</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s="21" customFormat="1"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1.9120777363236179E-7</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s="21" customFormat="1"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5.608761359882614E-8</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s="21" customFormat="1"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1.5551565588765426E-7</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s="21" customFormat="1"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s="21" customFormat="1"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4.843930265353165E-8</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s="21" customFormat="1"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2.5749313515824725E-7</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s="21" customFormat="1"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6.5316394702924136E-8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s="21" customFormat="1"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5.6307236812865639E-10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s="21" customFormat="1"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3.7538157875243757E-10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s="21" customFormat="1"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4.0541210505263257E-6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s="21" customFormat="1"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7.8830131538011886E-8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s="21" customFormat="1"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2.4399802618908446E-8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s="21" customFormat="1"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3.0030526300195015E-8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s="21" customFormat="1"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6.0061052600390007E-11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s="21" customFormat="1"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1.6329098675731034E-8</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s="21" customFormat="1"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2.027060525263163E-8</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-7.3669999999999991E-6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-8.3499999999999997E-6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workbookViewId="0">
      <selection activeCell="B16" sqref="B16"/>
    </sheetView>
  </sheetViews>
  <sheetFormatPr defaultRowHeight="14.4" x14ac:dyDescent="0.3"/>
  <cols>
    <col min="1" max="1" width="48.21875" style="21" bestFit="1" customWidth="1"/>
    <col min="2" max="2" width="15.6640625" style="21" bestFit="1" customWidth="1"/>
    <col min="3" max="6" width="8.88671875" style="21"/>
    <col min="7" max="7" width="32" style="21" bestFit="1" customWidth="1"/>
    <col min="8" max="16384" width="8.88671875" style="21"/>
  </cols>
  <sheetData>
    <row r="1" spans="1:2" ht="15.6" x14ac:dyDescent="0.3">
      <c r="A1" s="11" t="s">
        <v>72</v>
      </c>
      <c r="B1" s="9" t="str">
        <f>B3&amp;", "&amp;B5</f>
        <v>Scooter, gasoline, &lt;4kW, EURO-3, 2006</v>
      </c>
    </row>
    <row r="2" spans="1:2" x14ac:dyDescent="0.3">
      <c r="A2" s="21" t="s">
        <v>73</v>
      </c>
      <c r="B2" s="21" t="s">
        <v>37</v>
      </c>
    </row>
    <row r="3" spans="1:2" x14ac:dyDescent="0.3">
      <c r="A3" s="21" t="s">
        <v>87</v>
      </c>
      <c r="B3" s="21" t="s">
        <v>675</v>
      </c>
    </row>
    <row r="4" spans="1:2" x14ac:dyDescent="0.3">
      <c r="A4" s="21" t="s">
        <v>88</v>
      </c>
      <c r="B4" s="12"/>
    </row>
    <row r="5" spans="1:2" x14ac:dyDescent="0.3">
      <c r="A5" s="21" t="s">
        <v>89</v>
      </c>
      <c r="B5" s="12">
        <v>2006</v>
      </c>
    </row>
    <row r="6" spans="1:2" x14ac:dyDescent="0.3">
      <c r="A6" s="21" t="s">
        <v>131</v>
      </c>
      <c r="B6" s="12" t="str">
        <f>B3&amp;" - "&amp;B5&amp;" - "&amp;B2</f>
        <v>Scooter, gasoline, &lt;4kW, EURO-3 - 2006 - CH</v>
      </c>
    </row>
    <row r="7" spans="1:2" x14ac:dyDescent="0.3">
      <c r="A7" s="21" t="s">
        <v>74</v>
      </c>
      <c r="B7" s="21" t="str">
        <f>B3</f>
        <v>Scooter, gasoline, &lt;4kW, EURO-3</v>
      </c>
    </row>
    <row r="8" spans="1:2" x14ac:dyDescent="0.3">
      <c r="A8" s="21" t="s">
        <v>75</v>
      </c>
      <c r="B8" s="21" t="s">
        <v>76</v>
      </c>
    </row>
    <row r="9" spans="1:2" x14ac:dyDescent="0.3">
      <c r="A9" s="21" t="s">
        <v>77</v>
      </c>
      <c r="B9" s="21" t="s">
        <v>77</v>
      </c>
    </row>
    <row r="10" spans="1:2" x14ac:dyDescent="0.3">
      <c r="A10" s="21" t="s">
        <v>79</v>
      </c>
      <c r="B10" s="21" t="s">
        <v>90</v>
      </c>
    </row>
    <row r="11" spans="1:2" x14ac:dyDescent="0.3">
      <c r="A11" s="21" t="s">
        <v>132</v>
      </c>
      <c r="B11" s="21">
        <f>INDEX('vehicles specifications'!$B$3:$CK$86,MATCH(B6,'vehicles specifications'!$A$3:$A$86,0),MATCH("Lifetime [km]",'vehicles specifications'!$B$2:$CK$2,0))</f>
        <v>33400</v>
      </c>
    </row>
    <row r="12" spans="1:2" x14ac:dyDescent="0.3">
      <c r="A12" s="21" t="s">
        <v>133</v>
      </c>
      <c r="B12" s="21">
        <f>INDEX('vehicles specifications'!$B$3:$CK$86,MATCH(B6,'vehicles specifications'!$A$3:$A$86,0),MATCH("Passengers [unit]",'vehicles specifications'!$B$2:$CK$2,0))</f>
        <v>1</v>
      </c>
    </row>
    <row r="13" spans="1:2" x14ac:dyDescent="0.3">
      <c r="A13" s="21" t="s">
        <v>134</v>
      </c>
      <c r="B13" s="21">
        <f>INDEX('vehicles specifications'!$B$3:$CK$86,MATCH(B6,'vehicles specifications'!$A$3:$A$86,0),MATCH("Servicing [unit]",'vehicles specifications'!$B$2:$CK$2,0))</f>
        <v>1</v>
      </c>
    </row>
    <row r="14" spans="1:2" x14ac:dyDescent="0.3">
      <c r="A14" s="21" t="s">
        <v>135</v>
      </c>
      <c r="B14" s="21">
        <f>INDEX('vehicles specifications'!$B$3:$CK$86,MATCH(B6,'vehicles specifications'!$A$3:$A$86,0),MATCH("Energy battery replacement [unit]",'vehicles specifications'!$B$2:$CK$2,0))</f>
        <v>0</v>
      </c>
    </row>
    <row r="15" spans="1:2" x14ac:dyDescent="0.3">
      <c r="A15" s="21" t="s">
        <v>136</v>
      </c>
      <c r="B15" s="21">
        <f>INDEX('vehicles specifications'!$B$3:$CK$86,MATCH(B6,'vehicles specifications'!$A$3:$A$86,0),MATCH("Annual kilometers [km]",'vehicles specifications'!$B$2:$CK$2,0))</f>
        <v>2553</v>
      </c>
    </row>
    <row r="16" spans="1:2" x14ac:dyDescent="0.3">
      <c r="A16" s="21" t="s">
        <v>137</v>
      </c>
      <c r="B16" s="2">
        <f>INDEX('vehicles specifications'!$B$3:$CK$86,MATCH(B6,'vehicles specifications'!$A$3:$A$86,0),MATCH("Curb mass [kg]",'vehicles specifications'!$B$2:$CK$2,0))</f>
        <v>93.6875</v>
      </c>
    </row>
    <row r="17" spans="1:8" x14ac:dyDescent="0.3">
      <c r="A17" s="21" t="s">
        <v>138</v>
      </c>
      <c r="B17" s="21">
        <f>INDEX('vehicles specifications'!$B$3:$CK$86,MATCH(B6,'vehicles specifications'!$A$3:$A$86,0),MATCH("Power [kW]",'vehicles specifications'!$B$2:$CK$2,0))</f>
        <v>2.8</v>
      </c>
    </row>
    <row r="18" spans="1:8" x14ac:dyDescent="0.3">
      <c r="A18" s="21" t="s">
        <v>139</v>
      </c>
      <c r="B18" s="21">
        <f>INDEX('vehicles specifications'!$B$3:$CK$86,MATCH(B6,'vehicles specifications'!$A$3:$A$86,0),MATCH("Energy battery mass [kg]",'vehicles specifications'!$B$2:$CK$2,0))</f>
        <v>0</v>
      </c>
    </row>
    <row r="19" spans="1:8" x14ac:dyDescent="0.3">
      <c r="A19" s="21" t="s">
        <v>140</v>
      </c>
      <c r="B19" s="21">
        <f>INDEX('vehicles specifications'!$B$3:$CK$86,MATCH(B6,'vehicles specifications'!$A$3:$A$86,0),MATCH("Electric energy available [kWh]",'vehicles specifications'!$B$2:$CK$2,0))</f>
        <v>0</v>
      </c>
    </row>
    <row r="20" spans="1:8" x14ac:dyDescent="0.3">
      <c r="A20" s="21" t="s">
        <v>143</v>
      </c>
      <c r="B20" s="2">
        <f>INDEX('vehicles specifications'!$B$3:$CK$86,MATCH(B6,'vehicles specifications'!$A$3:$A$86,0),MATCH("Oxydation energy stored [kWh]",'vehicles specifications'!$B$2:$CK$2,0))</f>
        <v>61.833333333333329</v>
      </c>
    </row>
    <row r="21" spans="1:8" x14ac:dyDescent="0.3">
      <c r="A21" s="21" t="s">
        <v>145</v>
      </c>
      <c r="B21" s="21">
        <f>INDEX('vehicles specifications'!$B$3:$CK$86,MATCH(B6,'vehicles specifications'!$A$3:$A$86,0),MATCH("Fuel mass [kg]",'vehicles specifications'!$B$2:$CK$2,0))</f>
        <v>5.25</v>
      </c>
    </row>
    <row r="22" spans="1:8" x14ac:dyDescent="0.3">
      <c r="A22" s="21" t="s">
        <v>141</v>
      </c>
      <c r="B22" s="2">
        <f>INDEX('vehicles specifications'!$B$3:$CK$86,MATCH(B6,'vehicles specifications'!$A$3:$A$86,0),MATCH("Range [km]",'vehicles specifications'!$B$2:$CK$2,0))</f>
        <v>161.34686394551844</v>
      </c>
    </row>
    <row r="23" spans="1:8" x14ac:dyDescent="0.3">
      <c r="A23" s="21" t="s">
        <v>142</v>
      </c>
      <c r="B23" s="21" t="str">
        <f>INDEX('vehicles specifications'!$B$3:$CK$86,MATCH(B6,'vehicles specifications'!$A$3:$A$86,0),MATCH("Emission standard",'vehicles specifications'!$B$2:$CK$2,0))</f>
        <v>EURO-5</v>
      </c>
    </row>
    <row r="24" spans="1:8" x14ac:dyDescent="0.3">
      <c r="A24" s="21" t="s">
        <v>144</v>
      </c>
      <c r="B24" s="6">
        <f>INDEX('vehicles specifications'!$B$3:$CK$86,MATCH(B6,'vehicles specifications'!$A$3:$A$86,0),MATCH("Lightweighting rate [%]",'vehicles specifications'!$B$2:$CK$2,0))</f>
        <v>-0.05</v>
      </c>
    </row>
    <row r="25" spans="1:8" x14ac:dyDescent="0.3">
      <c r="A25" s="21" t="s">
        <v>513</v>
      </c>
      <c r="B25" s="6" t="s">
        <v>514</v>
      </c>
    </row>
    <row r="26" spans="1:8" x14ac:dyDescent="0.3">
      <c r="A26" s="21" t="s">
        <v>515</v>
      </c>
      <c r="B26" s="2">
        <v>15900</v>
      </c>
    </row>
    <row r="27" spans="1:8" x14ac:dyDescent="0.3">
      <c r="A27" s="21" t="s">
        <v>516</v>
      </c>
      <c r="B27" s="2">
        <v>1000</v>
      </c>
    </row>
    <row r="28" spans="1:8"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2.8 kW. Lifetime: 33400 km. Annual kilometers: 2553 km. Number of passengers: 1. Curb mass: 93.7 kg. Lightweighting of glider: -5%. Emission standard: EURO-5. Service visits throughout lifetime: 1. Range: 161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s="21" t="s">
        <v>81</v>
      </c>
      <c r="B30" s="21" t="s">
        <v>82</v>
      </c>
      <c r="C30" s="21" t="s">
        <v>73</v>
      </c>
      <c r="D30" s="21" t="s">
        <v>77</v>
      </c>
      <c r="E30" s="21" t="s">
        <v>83</v>
      </c>
      <c r="F30" s="21" t="s">
        <v>75</v>
      </c>
      <c r="G30" s="21" t="s">
        <v>84</v>
      </c>
      <c r="H30" s="21" t="s">
        <v>74</v>
      </c>
    </row>
    <row r="31" spans="1:8" x14ac:dyDescent="0.3">
      <c r="A31" s="12" t="str">
        <f>B1</f>
        <v>Scooter, gasoline, &lt;4kW, EURO-3, 2006</v>
      </c>
      <c r="B31" s="12">
        <v>1</v>
      </c>
      <c r="C31" s="12" t="str">
        <f>B2</f>
        <v>CH</v>
      </c>
      <c r="D31" s="12" t="str">
        <f>B9</f>
        <v>unit</v>
      </c>
      <c r="E31" s="12"/>
      <c r="F31" s="12" t="s">
        <v>85</v>
      </c>
      <c r="G31" s="12" t="s">
        <v>86</v>
      </c>
      <c r="H31" s="12" t="str">
        <f>B3</f>
        <v>Scooter, gasoline, &lt;4kW,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0.58888888888888891</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0.35555555555555557</v>
      </c>
      <c r="C33" s="12" t="str">
        <f>INDEX('ei names mapping'!$B$38:$R$67,MATCH(B3,'ei names mapping'!$A$4:$A$33,0),MATCH(G33,'ei names mapping'!$B$3:$R$3,0))</f>
        <v>RER</v>
      </c>
      <c r="D33" s="12" t="str">
        <f>INDEX('ei names mapping'!$B$104:$R$133,MATCH($B$3,'ei names mapping'!$A$4:$A$33,0),MATCH(G33,'ei names mapping'!$B$3:$R$3,0))</f>
        <v>unit</v>
      </c>
      <c r="E33" s="12"/>
      <c r="F33" s="12" t="s">
        <v>91</v>
      </c>
      <c r="G33" s="21"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0.78749999999999998</v>
      </c>
      <c r="C34" s="12" t="str">
        <f>INDEX('ei names mapping'!$B$38:$R$67,MATCH(B3,'ei names mapping'!$A$4:$A$33,0),MATCH(G34,'ei names mapping'!$B$3:$R$3,0))</f>
        <v>RER</v>
      </c>
      <c r="D34" s="12" t="str">
        <f>INDEX('ei names mapping'!$B$104:$R$133,MATCH($B$3,'ei names mapping'!$A$4:$A$33,0),MATCH(G34,'ei names mapping'!$B$3:$R$3,0))</f>
        <v>kilogram</v>
      </c>
      <c r="E34" s="12"/>
      <c r="F34" s="12" t="s">
        <v>91</v>
      </c>
      <c r="G34" s="21" t="s">
        <v>24</v>
      </c>
      <c r="H34" s="12" t="str">
        <f>INDEX('ei names mapping'!$B$71:$R$100,MATCH(B3,'ei names mapping'!$A$4:$A$33,0),MATCH(G34,'ei names mapping'!$B$3:$R$3,0))</f>
        <v>polyethylene, high density, granulate</v>
      </c>
    </row>
    <row r="35" spans="1:8" x14ac:dyDescent="0.3">
      <c r="A35" s="22" t="s">
        <v>468</v>
      </c>
      <c r="B35" s="21">
        <f>(B16/1000)*B27</f>
        <v>93.6875</v>
      </c>
      <c r="C35" s="21" t="s">
        <v>94</v>
      </c>
      <c r="D35" s="21" t="s">
        <v>243</v>
      </c>
      <c r="F35" s="21" t="s">
        <v>91</v>
      </c>
      <c r="H35" s="22" t="s">
        <v>469</v>
      </c>
    </row>
    <row r="36" spans="1:8" x14ac:dyDescent="0.3">
      <c r="A36" s="22" t="s">
        <v>467</v>
      </c>
      <c r="B36" s="2">
        <f>(B16/1000)*B26</f>
        <v>1489.6312500000001</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Scooter, gasoline, &lt;4kW, EURO-4, 2016</v>
      </c>
    </row>
    <row r="39" spans="1:8" x14ac:dyDescent="0.3">
      <c r="A39" s="21" t="s">
        <v>73</v>
      </c>
      <c r="B39" s="21" t="s">
        <v>37</v>
      </c>
    </row>
    <row r="40" spans="1:8" x14ac:dyDescent="0.3">
      <c r="A40" s="21" t="s">
        <v>87</v>
      </c>
      <c r="B40" s="21" t="s">
        <v>676</v>
      </c>
    </row>
    <row r="41" spans="1:8" x14ac:dyDescent="0.3">
      <c r="A41" s="21" t="s">
        <v>88</v>
      </c>
      <c r="B41" s="12"/>
    </row>
    <row r="42" spans="1:8" x14ac:dyDescent="0.3">
      <c r="A42" s="21" t="s">
        <v>89</v>
      </c>
      <c r="B42" s="12">
        <v>2016</v>
      </c>
    </row>
    <row r="43" spans="1:8" x14ac:dyDescent="0.3">
      <c r="A43" s="21" t="s">
        <v>131</v>
      </c>
      <c r="B43" s="12" t="str">
        <f>B40&amp;" - "&amp;B42&amp;" - "&amp;B39</f>
        <v>Scooter, gasoline, &lt;4kW, EURO-4 - 2016 - CH</v>
      </c>
    </row>
    <row r="44" spans="1:8" x14ac:dyDescent="0.3">
      <c r="A44" s="21" t="s">
        <v>74</v>
      </c>
      <c r="B44" s="21" t="str">
        <f>B40</f>
        <v>Scooter, gasoline, &lt;4kW, EURO-4</v>
      </c>
    </row>
    <row r="45" spans="1:8" x14ac:dyDescent="0.3">
      <c r="A45" s="21" t="s">
        <v>75</v>
      </c>
      <c r="B45" s="21" t="s">
        <v>76</v>
      </c>
    </row>
    <row r="46" spans="1:8" x14ac:dyDescent="0.3">
      <c r="A46" s="21" t="s">
        <v>77</v>
      </c>
      <c r="B46" s="21" t="s">
        <v>77</v>
      </c>
    </row>
    <row r="47" spans="1:8" x14ac:dyDescent="0.3">
      <c r="A47" s="21" t="s">
        <v>79</v>
      </c>
      <c r="B47" s="21" t="s">
        <v>90</v>
      </c>
    </row>
    <row r="48" spans="1:8" x14ac:dyDescent="0.3">
      <c r="A48" s="21" t="s">
        <v>132</v>
      </c>
      <c r="B48" s="21">
        <f>INDEX('vehicles specifications'!$B$3:$CK$86,MATCH(B43,'vehicles specifications'!$A$3:$A$86,0),MATCH("Lifetime [km]",'vehicles specifications'!$B$2:$CK$2,0))</f>
        <v>33400</v>
      </c>
    </row>
    <row r="49" spans="1:2" x14ac:dyDescent="0.3">
      <c r="A49" s="21" t="s">
        <v>133</v>
      </c>
      <c r="B49" s="21">
        <f>INDEX('vehicles specifications'!$B$3:$CK$86,MATCH(B43,'vehicles specifications'!$A$3:$A$86,0),MATCH("Passengers [unit]",'vehicles specifications'!$B$2:$CK$2,0))</f>
        <v>1</v>
      </c>
    </row>
    <row r="50" spans="1:2" x14ac:dyDescent="0.3">
      <c r="A50" s="21" t="s">
        <v>134</v>
      </c>
      <c r="B50" s="21">
        <f>INDEX('vehicles specifications'!$B$3:$CK$86,MATCH(B43,'vehicles specifications'!$A$3:$A$86,0),MATCH("Servicing [unit]",'vehicles specifications'!$B$2:$CK$2,0))</f>
        <v>1</v>
      </c>
    </row>
    <row r="51" spans="1:2" x14ac:dyDescent="0.3">
      <c r="A51" s="21" t="s">
        <v>135</v>
      </c>
      <c r="B51" s="21">
        <f>INDEX('vehicles specifications'!$B$3:$CK$86,MATCH(B43,'vehicles specifications'!$A$3:$A$86,0),MATCH("Energy battery replacement [unit]",'vehicles specifications'!$B$2:$CK$2,0))</f>
        <v>0</v>
      </c>
    </row>
    <row r="52" spans="1:2" x14ac:dyDescent="0.3">
      <c r="A52" s="21" t="s">
        <v>136</v>
      </c>
      <c r="B52" s="21">
        <f>INDEX('vehicles specifications'!$B$3:$CK$86,MATCH(B43,'vehicles specifications'!$A$3:$A$86,0),MATCH("Annual kilometers [km]",'vehicles specifications'!$B$2:$CK$2,0))</f>
        <v>2553</v>
      </c>
    </row>
    <row r="53" spans="1:2" x14ac:dyDescent="0.3">
      <c r="A53" s="21" t="s">
        <v>137</v>
      </c>
      <c r="B53" s="2">
        <f>INDEX('vehicles specifications'!$B$3:$CK$86,MATCH(B43,'vehicles specifications'!$A$3:$A$86,0),MATCH("Curb mass [kg]",'vehicles specifications'!$B$2:$CK$2,0))</f>
        <v>92.097499999999997</v>
      </c>
    </row>
    <row r="54" spans="1:2" x14ac:dyDescent="0.3">
      <c r="A54" s="21" t="s">
        <v>138</v>
      </c>
      <c r="B54" s="21">
        <f>INDEX('vehicles specifications'!$B$3:$CK$86,MATCH(B43,'vehicles specifications'!$A$3:$A$86,0),MATCH("Power [kW]",'vehicles specifications'!$B$2:$CK$2,0))</f>
        <v>2.8</v>
      </c>
    </row>
    <row r="55" spans="1:2" x14ac:dyDescent="0.3">
      <c r="A55" s="21" t="s">
        <v>139</v>
      </c>
      <c r="B55" s="21">
        <f>INDEX('vehicles specifications'!$B$3:$CK$86,MATCH(B43,'vehicles specifications'!$A$3:$A$86,0),MATCH("Energy battery mass [kg]",'vehicles specifications'!$B$2:$CK$2,0))</f>
        <v>0</v>
      </c>
    </row>
    <row r="56" spans="1:2" x14ac:dyDescent="0.3">
      <c r="A56" s="21" t="s">
        <v>140</v>
      </c>
      <c r="B56" s="21">
        <f>INDEX('vehicles specifications'!$B$3:$CK$86,MATCH(B43,'vehicles specifications'!$A$3:$A$86,0),MATCH("Electric energy available [kWh]",'vehicles specifications'!$B$2:$CK$2,0))</f>
        <v>0</v>
      </c>
    </row>
    <row r="57" spans="1:2" x14ac:dyDescent="0.3">
      <c r="A57" s="21" t="s">
        <v>143</v>
      </c>
      <c r="B57" s="2">
        <f>INDEX('vehicles specifications'!$B$3:$CK$86,MATCH(B43,'vehicles specifications'!$A$3:$A$86,0),MATCH("Oxydation energy stored [kWh]",'vehicles specifications'!$B$2:$CK$2,0))</f>
        <v>61.833333333333329</v>
      </c>
    </row>
    <row r="58" spans="1:2" x14ac:dyDescent="0.3">
      <c r="A58" s="21" t="s">
        <v>145</v>
      </c>
      <c r="B58" s="21">
        <f>INDEX('vehicles specifications'!$B$3:$CK$86,MATCH(B43,'vehicles specifications'!$A$3:$A$86,0),MATCH("Fuel mass [kg]",'vehicles specifications'!$B$2:$CK$2,0))</f>
        <v>5.25</v>
      </c>
    </row>
    <row r="59" spans="1:2" x14ac:dyDescent="0.3">
      <c r="A59" s="21" t="s">
        <v>141</v>
      </c>
      <c r="B59" s="2">
        <f>INDEX('vehicles specifications'!$B$3:$CK$86,MATCH(B43,'vehicles specifications'!$A$3:$A$86,0),MATCH("Range [km]",'vehicles specifications'!$B$2:$CK$2,0))</f>
        <v>171.02767578224956</v>
      </c>
    </row>
    <row r="60" spans="1:2" x14ac:dyDescent="0.3">
      <c r="A60" s="21" t="s">
        <v>142</v>
      </c>
      <c r="B60" s="21" t="str">
        <f>INDEX('vehicles specifications'!$B$3:$CK$86,MATCH(B43,'vehicles specifications'!$A$3:$A$86,0),MATCH("Emission standard",'vehicles specifications'!$B$2:$CK$2,0))</f>
        <v>EURO-4</v>
      </c>
    </row>
    <row r="61" spans="1:2" x14ac:dyDescent="0.3">
      <c r="A61" s="21" t="s">
        <v>144</v>
      </c>
      <c r="B61" s="6">
        <f>INDEX('vehicles specifications'!$B$3:$CK$86,MATCH(B43,'vehicles specifications'!$A$3:$A$86,0),MATCH("Lightweighting rate [%]",'vehicles specifications'!$B$2:$CK$2,0))</f>
        <v>-0.02</v>
      </c>
    </row>
    <row r="62" spans="1:2" x14ac:dyDescent="0.3">
      <c r="A62" s="21" t="s">
        <v>513</v>
      </c>
      <c r="B62" s="6" t="s">
        <v>514</v>
      </c>
    </row>
    <row r="63" spans="1:2" x14ac:dyDescent="0.3">
      <c r="A63" s="21" t="s">
        <v>515</v>
      </c>
      <c r="B63" s="2">
        <v>15900</v>
      </c>
    </row>
    <row r="64" spans="1:2" x14ac:dyDescent="0.3">
      <c r="A64" s="21" t="s">
        <v>516</v>
      </c>
      <c r="B64" s="2">
        <v>1000</v>
      </c>
    </row>
    <row r="65" spans="1:8"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2.8 kW. Lifetime: 33400 km. Annual kilometers: 2553 km. Number of passengers: 1. Curb mass: 92.1 kg. Lightweighting of glider: -2%. Emission standard: EURO-4. Service visits throughout lifetime: 1. Range: 171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s="21" t="s">
        <v>81</v>
      </c>
      <c r="B67" s="21" t="s">
        <v>82</v>
      </c>
      <c r="C67" s="21" t="s">
        <v>73</v>
      </c>
      <c r="D67" s="21" t="s">
        <v>77</v>
      </c>
      <c r="E67" s="21" t="s">
        <v>83</v>
      </c>
      <c r="F67" s="21" t="s">
        <v>75</v>
      </c>
      <c r="G67" s="21" t="s">
        <v>84</v>
      </c>
      <c r="H67" s="21" t="s">
        <v>74</v>
      </c>
    </row>
    <row r="68" spans="1:8" x14ac:dyDescent="0.3">
      <c r="A68" s="12" t="str">
        <f>B38</f>
        <v>Scooter, gasoline, &lt;4kW, EURO-4, 2016</v>
      </c>
      <c r="B68" s="12">
        <v>1</v>
      </c>
      <c r="C68" s="12" t="str">
        <f>B39</f>
        <v>CH</v>
      </c>
      <c r="D68" s="12" t="str">
        <f>B46</f>
        <v>unit</v>
      </c>
      <c r="E68" s="12"/>
      <c r="F68" s="12" t="s">
        <v>85</v>
      </c>
      <c r="G68" s="12" t="s">
        <v>86</v>
      </c>
      <c r="H68" s="12" t="str">
        <f>B40</f>
        <v>Scooter, gasoline, &lt;4kW,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0.58888888888888891</v>
      </c>
      <c r="C69" s="12" t="str">
        <f>INDEX('ei names mapping'!$B$38:$R$67,MATCH(B40,'ei names mapping'!$A$4:$A$33,0),MATCH(G69,'ei names mapping'!$B$3:$R$3,0))</f>
        <v>RER</v>
      </c>
      <c r="D69" s="12" t="str">
        <f>INDEX('ei names mapping'!$B$104:$R$133,MATCH($B$3,'ei names mapping'!$A$4:$A$33,0),MATCH(G69,'ei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0.35555555555555557</v>
      </c>
      <c r="C70" s="12" t="str">
        <f>INDEX('ei names mapping'!$B$38:$R$67,MATCH(B40,'ei names mapping'!$A$4:$A$33,0),MATCH(G70,'ei names mapping'!$B$3:$R$3,0))</f>
        <v>RER</v>
      </c>
      <c r="D70" s="12" t="str">
        <f>INDEX('ei names mapping'!$B$104:$R$133,MATCH($B$3,'ei names mapping'!$A$4:$A$33,0),MATCH(G70,'ei names mapping'!$B$3:$R$3,0))</f>
        <v>unit</v>
      </c>
      <c r="E70" s="12"/>
      <c r="F70" s="12" t="s">
        <v>91</v>
      </c>
      <c r="G70" s="21"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0.78749999999999998</v>
      </c>
      <c r="C71" s="12" t="str">
        <f>INDEX('ei names mapping'!$B$38:$R$67,MATCH(B40,'ei names mapping'!$A$4:$A$33,0),MATCH(G71,'ei names mapping'!$B$3:$R$3,0))</f>
        <v>RER</v>
      </c>
      <c r="D71" s="12" t="str">
        <f>INDEX('ei names mapping'!$B$104:$R$133,MATCH($B$3,'ei names mapping'!$A$4:$A$33,0),MATCH(G71,'ei names mapping'!$B$3:$R$3,0))</f>
        <v>kilogram</v>
      </c>
      <c r="E71" s="12"/>
      <c r="F71" s="12" t="s">
        <v>91</v>
      </c>
      <c r="G71" s="21" t="s">
        <v>24</v>
      </c>
      <c r="H71" s="12" t="str">
        <f>INDEX('ei names mapping'!$B$71:$R$100,MATCH(B40,'ei names mapping'!$A$4:$A$33,0),MATCH(G71,'ei names mapping'!$B$3:$R$3,0))</f>
        <v>polyethylene, high density, granulate</v>
      </c>
    </row>
    <row r="72" spans="1:8" x14ac:dyDescent="0.3">
      <c r="A72" s="22" t="s">
        <v>468</v>
      </c>
      <c r="B72" s="21">
        <f>(B53/1000)*B64</f>
        <v>92.097499999999997</v>
      </c>
      <c r="C72" s="21" t="s">
        <v>94</v>
      </c>
      <c r="D72" s="21" t="s">
        <v>243</v>
      </c>
      <c r="F72" s="21" t="s">
        <v>91</v>
      </c>
      <c r="H72" s="22" t="s">
        <v>469</v>
      </c>
    </row>
    <row r="73" spans="1:8" x14ac:dyDescent="0.3">
      <c r="A73" s="22" t="s">
        <v>467</v>
      </c>
      <c r="B73" s="2">
        <f>(B53/1000)*B63</f>
        <v>1464.35025</v>
      </c>
      <c r="C73" s="21" t="s">
        <v>98</v>
      </c>
      <c r="D73" s="21" t="s">
        <v>243</v>
      </c>
      <c r="F73" s="21" t="s">
        <v>91</v>
      </c>
      <c r="H73" s="22" t="s">
        <v>467</v>
      </c>
    </row>
    <row r="75" spans="1:8" ht="15.6" x14ac:dyDescent="0.3">
      <c r="A75" s="11" t="s">
        <v>72</v>
      </c>
      <c r="B75" s="9" t="str">
        <f>B77&amp;", "&amp;B79</f>
        <v>Scooter, gasoline, &lt;4kW, EURO-5, 2020</v>
      </c>
    </row>
    <row r="76" spans="1:8" x14ac:dyDescent="0.3">
      <c r="A76" s="21" t="s">
        <v>73</v>
      </c>
      <c r="B76" s="21" t="s">
        <v>37</v>
      </c>
    </row>
    <row r="77" spans="1:8" x14ac:dyDescent="0.3">
      <c r="A77" s="21" t="s">
        <v>87</v>
      </c>
      <c r="B77" s="21" t="s">
        <v>677</v>
      </c>
    </row>
    <row r="78" spans="1:8" x14ac:dyDescent="0.3">
      <c r="A78" s="21" t="s">
        <v>88</v>
      </c>
      <c r="B78" s="12"/>
    </row>
    <row r="79" spans="1:8" x14ac:dyDescent="0.3">
      <c r="A79" s="21" t="s">
        <v>89</v>
      </c>
      <c r="B79" s="12">
        <v>2020</v>
      </c>
    </row>
    <row r="80" spans="1:8" x14ac:dyDescent="0.3">
      <c r="A80" s="21" t="s">
        <v>131</v>
      </c>
      <c r="B80" s="12" t="str">
        <f>B77&amp;" - "&amp;B79&amp;" - "&amp;B76</f>
        <v>Scooter, gasoline, &lt;4kW, EURO-5 - 2020 - CH</v>
      </c>
    </row>
    <row r="81" spans="1:2" x14ac:dyDescent="0.3">
      <c r="A81" s="21" t="s">
        <v>74</v>
      </c>
      <c r="B81" s="21" t="str">
        <f>B77</f>
        <v>Scooter, gasoline, &lt;4kW, EURO-5</v>
      </c>
    </row>
    <row r="82" spans="1:2" x14ac:dyDescent="0.3">
      <c r="A82" s="21" t="s">
        <v>75</v>
      </c>
      <c r="B82" s="21" t="s">
        <v>76</v>
      </c>
    </row>
    <row r="83" spans="1:2" x14ac:dyDescent="0.3">
      <c r="A83" s="21" t="s">
        <v>77</v>
      </c>
      <c r="B83" s="21" t="s">
        <v>77</v>
      </c>
    </row>
    <row r="84" spans="1:2" x14ac:dyDescent="0.3">
      <c r="A84" s="21" t="s">
        <v>79</v>
      </c>
      <c r="B84" s="21" t="s">
        <v>90</v>
      </c>
    </row>
    <row r="85" spans="1:2" x14ac:dyDescent="0.3">
      <c r="A85" s="21" t="s">
        <v>132</v>
      </c>
      <c r="B85" s="21">
        <f>INDEX('vehicles specifications'!$B$3:$CK$86,MATCH(B80,'vehicles specifications'!$A$3:$A$86,0),MATCH("Lifetime [km]",'vehicles specifications'!$B$2:$CK$2,0))</f>
        <v>33400</v>
      </c>
    </row>
    <row r="86" spans="1:2" x14ac:dyDescent="0.3">
      <c r="A86" s="21" t="s">
        <v>133</v>
      </c>
      <c r="B86" s="21">
        <f>INDEX('vehicles specifications'!$B$3:$CK$86,MATCH(B80,'vehicles specifications'!$A$3:$A$86,0),MATCH("Passengers [unit]",'vehicles specifications'!$B$2:$CK$2,0))</f>
        <v>1</v>
      </c>
    </row>
    <row r="87" spans="1:2" x14ac:dyDescent="0.3">
      <c r="A87" s="21" t="s">
        <v>134</v>
      </c>
      <c r="B87" s="21">
        <f>INDEX('vehicles specifications'!$B$3:$CK$86,MATCH(B80,'vehicles specifications'!$A$3:$A$86,0),MATCH("Servicing [unit]",'vehicles specifications'!$B$2:$CK$2,0))</f>
        <v>1</v>
      </c>
    </row>
    <row r="88" spans="1:2" x14ac:dyDescent="0.3">
      <c r="A88" s="21" t="s">
        <v>135</v>
      </c>
      <c r="B88" s="21">
        <f>INDEX('vehicles specifications'!$B$3:$CK$86,MATCH(B80,'vehicles specifications'!$A$3:$A$86,0),MATCH("Energy battery replacement [unit]",'vehicles specifications'!$B$2:$CK$2,0))</f>
        <v>0</v>
      </c>
    </row>
    <row r="89" spans="1:2" x14ac:dyDescent="0.3">
      <c r="A89" s="21" t="s">
        <v>136</v>
      </c>
      <c r="B89" s="21">
        <f>INDEX('vehicles specifications'!$B$3:$CK$86,MATCH(B80,'vehicles specifications'!$A$3:$A$86,0),MATCH("Annual kilometers [km]",'vehicles specifications'!$B$2:$CK$2,0))</f>
        <v>2553</v>
      </c>
    </row>
    <row r="90" spans="1:2" x14ac:dyDescent="0.3">
      <c r="A90" s="21" t="s">
        <v>137</v>
      </c>
      <c r="B90" s="2">
        <f>INDEX('vehicles specifications'!$B$3:$CK$86,MATCH(B80,'vehicles specifications'!$A$3:$A$86,0),MATCH("Curb mass [kg]",'vehicles specifications'!$B$2:$CK$2,0))</f>
        <v>91.037499999999994</v>
      </c>
    </row>
    <row r="91" spans="1:2" x14ac:dyDescent="0.3">
      <c r="A91" s="21" t="s">
        <v>138</v>
      </c>
      <c r="B91" s="21">
        <f>INDEX('vehicles specifications'!$B$3:$CK$86,MATCH(B80,'vehicles specifications'!$A$3:$A$86,0),MATCH("Power [kW]",'vehicles specifications'!$B$2:$CK$2,0))</f>
        <v>2.8</v>
      </c>
    </row>
    <row r="92" spans="1:2" x14ac:dyDescent="0.3">
      <c r="A92" s="21" t="s">
        <v>139</v>
      </c>
      <c r="B92" s="21">
        <f>INDEX('vehicles specifications'!$B$3:$CK$86,MATCH(B80,'vehicles specifications'!$A$3:$A$86,0),MATCH("Energy battery mass [kg]",'vehicles specifications'!$B$2:$CK$2,0))</f>
        <v>0</v>
      </c>
    </row>
    <row r="93" spans="1:2" x14ac:dyDescent="0.3">
      <c r="A93" s="21" t="s">
        <v>140</v>
      </c>
      <c r="B93" s="21">
        <f>INDEX('vehicles specifications'!$B$3:$CK$86,MATCH(B80,'vehicles specifications'!$A$3:$A$86,0),MATCH("Electric energy available [kWh]",'vehicles specifications'!$B$2:$CK$2,0))</f>
        <v>0</v>
      </c>
    </row>
    <row r="94" spans="1:2" x14ac:dyDescent="0.3">
      <c r="A94" s="21" t="s">
        <v>143</v>
      </c>
      <c r="B94" s="2">
        <f>INDEX('vehicles specifications'!$B$3:$CK$86,MATCH(B80,'vehicles specifications'!$A$3:$A$86,0),MATCH("Oxydation energy stored [kWh]",'vehicles specifications'!$B$2:$CK$2,0))</f>
        <v>61.833333333333329</v>
      </c>
    </row>
    <row r="95" spans="1:2" x14ac:dyDescent="0.3">
      <c r="A95" s="21" t="s">
        <v>145</v>
      </c>
      <c r="B95" s="21">
        <f>INDEX('vehicles specifications'!$B$3:$CK$86,MATCH(B80,'vehicles specifications'!$A$3:$A$86,0),MATCH("Fuel mass [kg]",'vehicles specifications'!$B$2:$CK$2,0))</f>
        <v>5.25</v>
      </c>
    </row>
    <row r="96" spans="1:2" x14ac:dyDescent="0.3">
      <c r="A96" s="21" t="s">
        <v>141</v>
      </c>
      <c r="B96" s="2">
        <f>INDEX('vehicles specifications'!$B$3:$CK$86,MATCH(B80,'vehicles specifications'!$A$3:$A$86,0),MATCH("Range [km]",'vehicles specifications'!$B$2:$CK$2,0))</f>
        <v>172.75522806287836</v>
      </c>
    </row>
    <row r="97" spans="1:8" x14ac:dyDescent="0.3">
      <c r="A97" s="21" t="s">
        <v>142</v>
      </c>
      <c r="B97" s="21" t="str">
        <f>INDEX('vehicles specifications'!$B$3:$CK$86,MATCH(B80,'vehicles specifications'!$A$3:$A$86,0),MATCH("Emission standard",'vehicles specifications'!$B$2:$CK$2,0))</f>
        <v>EURO-5</v>
      </c>
    </row>
    <row r="98" spans="1:8" x14ac:dyDescent="0.3">
      <c r="A98" s="21" t="s">
        <v>144</v>
      </c>
      <c r="B98" s="6">
        <f>INDEX('vehicles specifications'!$B$3:$CK$86,MATCH(B80,'vehicles specifications'!$A$3:$A$86,0),MATCH("Lightweighting rate [%]",'vehicles specifications'!$B$2:$CK$2,0))</f>
        <v>0</v>
      </c>
    </row>
    <row r="99" spans="1:8" x14ac:dyDescent="0.3">
      <c r="A99" s="21" t="s">
        <v>513</v>
      </c>
      <c r="B99" s="6" t="s">
        <v>514</v>
      </c>
    </row>
    <row r="100" spans="1:8" x14ac:dyDescent="0.3">
      <c r="A100" s="21" t="s">
        <v>515</v>
      </c>
      <c r="B100" s="2">
        <v>15900</v>
      </c>
    </row>
    <row r="101" spans="1:8" x14ac:dyDescent="0.3">
      <c r="A101" s="21" t="s">
        <v>516</v>
      </c>
      <c r="B101" s="2">
        <v>1000</v>
      </c>
    </row>
    <row r="102" spans="1:8"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2.8 kW. Lifetime: 33400 km. Annual kilometers: 2553 km. Number of passengers: 1. Curb mass: 91 kg. Lightweighting of glider: 0%. Emission standard: EURO-5. Service visits throughout lifetime: 1. Range: 173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s="21" t="s">
        <v>81</v>
      </c>
      <c r="B104" s="21" t="s">
        <v>82</v>
      </c>
      <c r="C104" s="21" t="s">
        <v>73</v>
      </c>
      <c r="D104" s="21" t="s">
        <v>77</v>
      </c>
      <c r="E104" s="21" t="s">
        <v>83</v>
      </c>
      <c r="F104" s="21" t="s">
        <v>75</v>
      </c>
      <c r="G104" s="21" t="s">
        <v>84</v>
      </c>
      <c r="H104" s="21" t="s">
        <v>74</v>
      </c>
    </row>
    <row r="105" spans="1:8" x14ac:dyDescent="0.3">
      <c r="A105" s="12" t="str">
        <f>B75</f>
        <v>Scooter, gasoline, &lt;4kW, EURO-5, 2020</v>
      </c>
      <c r="B105" s="12">
        <v>1</v>
      </c>
      <c r="C105" s="12" t="str">
        <f>B76</f>
        <v>CH</v>
      </c>
      <c r="D105" s="12" t="str">
        <f>B83</f>
        <v>unit</v>
      </c>
      <c r="E105" s="12"/>
      <c r="F105" s="12" t="s">
        <v>85</v>
      </c>
      <c r="G105" s="12" t="s">
        <v>86</v>
      </c>
      <c r="H105" s="12" t="str">
        <f>B77</f>
        <v>Scooter, gasoline, &lt;4kW,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0.58888888888888891</v>
      </c>
      <c r="C106" s="12" t="str">
        <f>INDEX('ei names mapping'!$B$38:$R$67,MATCH(B77,'ei names mapping'!$A$4:$A$33,0),MATCH(G106,'ei names mapping'!$B$3:$R$3,0))</f>
        <v>RER</v>
      </c>
      <c r="D106" s="12" t="str">
        <f>INDEX('ei names mapping'!$B$104:$R$133,MATCH($B$3,'ei names mapping'!$A$4:$A$33,0),MATCH(G106,'ei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0.35555555555555557</v>
      </c>
      <c r="C107" s="12" t="str">
        <f>INDEX('ei names mapping'!$B$38:$R$67,MATCH(B77,'ei names mapping'!$A$4:$A$33,0),MATCH(G107,'ei names mapping'!$B$3:$R$3,0))</f>
        <v>RER</v>
      </c>
      <c r="D107" s="12" t="str">
        <f>INDEX('ei names mapping'!$B$104:$R$133,MATCH($B$3,'ei names mapping'!$A$4:$A$33,0),MATCH(G107,'ei names mapping'!$B$3:$R$3,0))</f>
        <v>unit</v>
      </c>
      <c r="E107" s="12"/>
      <c r="F107" s="12" t="s">
        <v>91</v>
      </c>
      <c r="G107" s="21" t="s">
        <v>16</v>
      </c>
      <c r="H107" s="12" t="str">
        <f>INDEX('ei names mapping'!$B$71:$R$100,MATCH(B77,'ei names mapping'!$A$4:$A$33,0),MATCH(G107,'ei names mapping'!$B$3:$R$3,0))</f>
        <v>motor scooter, 50 cubic cm engine</v>
      </c>
    </row>
    <row r="108" spans="1:8"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mapping'!$A$4:$A$33,0),MATCH(G108,'ei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0.78749999999999998</v>
      </c>
      <c r="C109" s="12" t="str">
        <f>INDEX('ei names mapping'!$B$38:$R$67,MATCH(B77,'ei names mapping'!$A$4:$A$33,0),MATCH(G109,'ei names mapping'!$B$3:$R$3,0))</f>
        <v>RER</v>
      </c>
      <c r="D109" s="12" t="str">
        <f>INDEX('ei names mapping'!$B$104:$R$133,MATCH($B$3,'ei names mapping'!$A$4:$A$33,0),MATCH(G109,'ei names mapping'!$B$3:$R$3,0))</f>
        <v>kilogram</v>
      </c>
      <c r="E109" s="12"/>
      <c r="F109" s="12" t="s">
        <v>91</v>
      </c>
      <c r="G109" s="21" t="s">
        <v>24</v>
      </c>
      <c r="H109" s="12" t="str">
        <f>INDEX('ei names mapping'!$B$71:$R$100,MATCH(B77,'ei names mapping'!$A$4:$A$33,0),MATCH(G109,'ei names mapping'!$B$3:$R$3,0))</f>
        <v>polyethylene, high density, granulate</v>
      </c>
    </row>
    <row r="110" spans="1:8" x14ac:dyDescent="0.3">
      <c r="A110" s="22" t="s">
        <v>468</v>
      </c>
      <c r="B110" s="21">
        <f>(B90/1000)*B101</f>
        <v>91.037499999999994</v>
      </c>
      <c r="C110" s="21" t="s">
        <v>94</v>
      </c>
      <c r="D110" s="21" t="s">
        <v>243</v>
      </c>
      <c r="F110" s="21" t="s">
        <v>91</v>
      </c>
      <c r="H110" s="22" t="s">
        <v>469</v>
      </c>
    </row>
    <row r="111" spans="1:8" x14ac:dyDescent="0.3">
      <c r="A111" s="22" t="s">
        <v>467</v>
      </c>
      <c r="B111" s="2">
        <f>(B90/1000)*B100</f>
        <v>1447.4962499999999</v>
      </c>
      <c r="C111" s="21" t="s">
        <v>98</v>
      </c>
      <c r="D111" s="21" t="s">
        <v>243</v>
      </c>
      <c r="F111" s="21" t="s">
        <v>91</v>
      </c>
      <c r="H111" s="22" t="s">
        <v>467</v>
      </c>
    </row>
    <row r="113" spans="1:2" ht="15.6" x14ac:dyDescent="0.3">
      <c r="A113" s="11" t="s">
        <v>72</v>
      </c>
      <c r="B113" s="9" t="str">
        <f>B115&amp;", "&amp;B117</f>
        <v>Scooter, gasoline, &lt;4kW, EURO-5, 2030</v>
      </c>
    </row>
    <row r="114" spans="1:2" x14ac:dyDescent="0.3">
      <c r="A114" s="21" t="s">
        <v>73</v>
      </c>
      <c r="B114" s="21" t="s">
        <v>37</v>
      </c>
    </row>
    <row r="115" spans="1:2" x14ac:dyDescent="0.3">
      <c r="A115" s="21" t="s">
        <v>87</v>
      </c>
      <c r="B115" s="21" t="s">
        <v>677</v>
      </c>
    </row>
    <row r="116" spans="1:2" x14ac:dyDescent="0.3">
      <c r="A116" s="21" t="s">
        <v>88</v>
      </c>
      <c r="B116" s="12"/>
    </row>
    <row r="117" spans="1:2" x14ac:dyDescent="0.3">
      <c r="A117" s="21" t="s">
        <v>89</v>
      </c>
      <c r="B117" s="12">
        <v>2030</v>
      </c>
    </row>
    <row r="118" spans="1:2" x14ac:dyDescent="0.3">
      <c r="A118" s="21" t="s">
        <v>131</v>
      </c>
      <c r="B118" s="12" t="str">
        <f>B115&amp;" - "&amp;B117&amp;" - "&amp;B114</f>
        <v>Scooter, gasoline, &lt;4kW, EURO-5 - 2030 - CH</v>
      </c>
    </row>
    <row r="119" spans="1:2" x14ac:dyDescent="0.3">
      <c r="A119" s="21" t="s">
        <v>74</v>
      </c>
      <c r="B119" s="21" t="str">
        <f>B115</f>
        <v>Scooter, gasoline, &lt;4kW, EURO-5</v>
      </c>
    </row>
    <row r="120" spans="1:2" x14ac:dyDescent="0.3">
      <c r="A120" s="21" t="s">
        <v>75</v>
      </c>
      <c r="B120" s="21" t="s">
        <v>76</v>
      </c>
    </row>
    <row r="121" spans="1:2" x14ac:dyDescent="0.3">
      <c r="A121" s="21" t="s">
        <v>77</v>
      </c>
      <c r="B121" s="21" t="s">
        <v>77</v>
      </c>
    </row>
    <row r="122" spans="1:2" x14ac:dyDescent="0.3">
      <c r="A122" s="21" t="s">
        <v>79</v>
      </c>
      <c r="B122" s="21" t="s">
        <v>90</v>
      </c>
    </row>
    <row r="123" spans="1:2" x14ac:dyDescent="0.3">
      <c r="A123" s="21" t="s">
        <v>132</v>
      </c>
      <c r="B123" s="21">
        <f>INDEX('vehicles specifications'!$B$3:$CK$86,MATCH(B118,'vehicles specifications'!$A$3:$A$86,0),MATCH("Lifetime [km]",'vehicles specifications'!$B$2:$CK$2,0))</f>
        <v>33400</v>
      </c>
    </row>
    <row r="124" spans="1:2" x14ac:dyDescent="0.3">
      <c r="A124" s="21" t="s">
        <v>133</v>
      </c>
      <c r="B124" s="21">
        <f>INDEX('vehicles specifications'!$B$3:$CK$86,MATCH(B118,'vehicles specifications'!$A$3:$A$86,0),MATCH("Passengers [unit]",'vehicles specifications'!$B$2:$CK$2,0))</f>
        <v>1</v>
      </c>
    </row>
    <row r="125" spans="1:2" x14ac:dyDescent="0.3">
      <c r="A125" s="21" t="s">
        <v>134</v>
      </c>
      <c r="B125" s="21">
        <f>INDEX('vehicles specifications'!$B$3:$CK$86,MATCH(B118,'vehicles specifications'!$A$3:$A$86,0),MATCH("Servicing [unit]",'vehicles specifications'!$B$2:$CK$2,0))</f>
        <v>1</v>
      </c>
    </row>
    <row r="126" spans="1:2" x14ac:dyDescent="0.3">
      <c r="A126" s="21" t="s">
        <v>135</v>
      </c>
      <c r="B126" s="21">
        <f>INDEX('vehicles specifications'!$B$3:$CK$86,MATCH(B118,'vehicles specifications'!$A$3:$A$86,0),MATCH("Energy battery replacement [unit]",'vehicles specifications'!$B$2:$CK$2,0))</f>
        <v>0</v>
      </c>
    </row>
    <row r="127" spans="1:2" x14ac:dyDescent="0.3">
      <c r="A127" s="21" t="s">
        <v>136</v>
      </c>
      <c r="B127" s="21">
        <f>INDEX('vehicles specifications'!$B$3:$CK$86,MATCH(B118,'vehicles specifications'!$A$3:$A$86,0),MATCH("Annual kilometers [km]",'vehicles specifications'!$B$2:$CK$2,0))</f>
        <v>2553</v>
      </c>
    </row>
    <row r="128" spans="1:2" x14ac:dyDescent="0.3">
      <c r="A128" s="21" t="s">
        <v>137</v>
      </c>
      <c r="B128" s="2">
        <f>INDEX('vehicles specifications'!$B$3:$CK$86,MATCH(B118,'vehicles specifications'!$A$3:$A$86,0),MATCH("Curb mass [kg]",'vehicles specifications'!$B$2:$CK$2,0))</f>
        <v>88.447499999999991</v>
      </c>
    </row>
    <row r="129" spans="1:8" x14ac:dyDescent="0.3">
      <c r="A129" s="21" t="s">
        <v>138</v>
      </c>
      <c r="B129" s="21">
        <f>INDEX('vehicles specifications'!$B$3:$CK$86,MATCH(B118,'vehicles specifications'!$A$3:$A$86,0),MATCH("Power [kW]",'vehicles specifications'!$B$2:$CK$2,0))</f>
        <v>2.8</v>
      </c>
    </row>
    <row r="130" spans="1:8" x14ac:dyDescent="0.3">
      <c r="A130" s="21" t="s">
        <v>139</v>
      </c>
      <c r="B130" s="21">
        <f>INDEX('vehicles specifications'!$B$3:$CK$86,MATCH(B118,'vehicles specifications'!$A$3:$A$86,0),MATCH("Energy battery mass [kg]",'vehicles specifications'!$B$2:$CK$2,0))</f>
        <v>0</v>
      </c>
    </row>
    <row r="131" spans="1:8" x14ac:dyDescent="0.3">
      <c r="A131" s="21" t="s">
        <v>140</v>
      </c>
      <c r="B131" s="21">
        <f>INDEX('vehicles specifications'!$B$3:$CK$86,MATCH(B118,'vehicles specifications'!$A$3:$A$86,0),MATCH("Electric energy available [kWh]",'vehicles specifications'!$B$2:$CK$2,0))</f>
        <v>0</v>
      </c>
    </row>
    <row r="132" spans="1:8" x14ac:dyDescent="0.3">
      <c r="A132" s="21" t="s">
        <v>143</v>
      </c>
      <c r="B132" s="2">
        <f>INDEX('vehicles specifications'!$B$3:$CK$86,MATCH(B118,'vehicles specifications'!$A$3:$A$86,0),MATCH("Oxydation energy stored [kWh]",'vehicles specifications'!$B$2:$CK$2,0))</f>
        <v>61.833333333333329</v>
      </c>
    </row>
    <row r="133" spans="1:8" x14ac:dyDescent="0.3">
      <c r="A133" s="21" t="s">
        <v>145</v>
      </c>
      <c r="B133" s="21">
        <f>INDEX('vehicles specifications'!$B$3:$CK$86,MATCH(B118,'vehicles specifications'!$A$3:$A$86,0),MATCH("Fuel mass [kg]",'vehicles specifications'!$B$2:$CK$2,0))</f>
        <v>5.25</v>
      </c>
    </row>
    <row r="134" spans="1:8" x14ac:dyDescent="0.3">
      <c r="A134" s="21" t="s">
        <v>141</v>
      </c>
      <c r="B134" s="2">
        <f>INDEX('vehicles specifications'!$B$3:$CK$86,MATCH(B118,'vehicles specifications'!$A$3:$A$86,0),MATCH("Range [km]",'vehicles specifications'!$B$2:$CK$2,0))</f>
        <v>174.5002303665438</v>
      </c>
    </row>
    <row r="135" spans="1:8" x14ac:dyDescent="0.3">
      <c r="A135" s="21" t="s">
        <v>142</v>
      </c>
      <c r="B135" s="21" t="str">
        <f>INDEX('vehicles specifications'!$B$3:$CK$86,MATCH(B118,'vehicles specifications'!$A$3:$A$86,0),MATCH("Emission standard",'vehicles specifications'!$B$2:$CK$2,0))</f>
        <v>EURO-5</v>
      </c>
    </row>
    <row r="136" spans="1:8" x14ac:dyDescent="0.3">
      <c r="A136" s="21" t="s">
        <v>144</v>
      </c>
      <c r="B136" s="6">
        <f>INDEX('vehicles specifications'!$B$3:$CK$86,MATCH(B118,'vehicles specifications'!$A$3:$A$86,0),MATCH("Lightweighting rate [%]",'vehicles specifications'!$B$2:$CK$2,0))</f>
        <v>0.03</v>
      </c>
    </row>
    <row r="137" spans="1:8" x14ac:dyDescent="0.3">
      <c r="A137" s="21" t="s">
        <v>513</v>
      </c>
      <c r="B137" s="6" t="s">
        <v>514</v>
      </c>
    </row>
    <row r="138" spans="1:8" x14ac:dyDescent="0.3">
      <c r="A138" s="21" t="s">
        <v>515</v>
      </c>
      <c r="B138" s="2">
        <v>15900</v>
      </c>
    </row>
    <row r="139" spans="1:8" x14ac:dyDescent="0.3">
      <c r="A139" s="21" t="s">
        <v>516</v>
      </c>
      <c r="B139" s="2">
        <v>1000</v>
      </c>
    </row>
    <row r="140" spans="1:8"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2.8 kW. Lifetime: 33400 km. Annual kilometers: 2553 km. Number of passengers: 1. Curb mass: 88.4 kg. Lightweighting of glider: 3%. Emission standard: EURO-5. Service visits throughout lifetime: 1. Range: 175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s="21" t="s">
        <v>81</v>
      </c>
      <c r="B142" s="21" t="s">
        <v>82</v>
      </c>
      <c r="C142" s="21" t="s">
        <v>73</v>
      </c>
      <c r="D142" s="21" t="s">
        <v>77</v>
      </c>
      <c r="E142" s="21" t="s">
        <v>83</v>
      </c>
      <c r="F142" s="21" t="s">
        <v>75</v>
      </c>
      <c r="G142" s="21" t="s">
        <v>84</v>
      </c>
      <c r="H142" s="21" t="s">
        <v>74</v>
      </c>
    </row>
    <row r="143" spans="1:8" x14ac:dyDescent="0.3">
      <c r="A143" s="12" t="str">
        <f>B113</f>
        <v>Scooter, gasoline, &lt;4kW, EURO-5, 2030</v>
      </c>
      <c r="B143" s="12">
        <v>1</v>
      </c>
      <c r="C143" s="12" t="str">
        <f>B114</f>
        <v>CH</v>
      </c>
      <c r="D143" s="12" t="str">
        <f>B121</f>
        <v>unit</v>
      </c>
      <c r="E143" s="12"/>
      <c r="F143" s="12" t="s">
        <v>85</v>
      </c>
      <c r="G143" s="12" t="s">
        <v>86</v>
      </c>
      <c r="H143" s="12" t="str">
        <f>B115</f>
        <v>Scooter, gasoline, &lt;4kW,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0.58888888888888891</v>
      </c>
      <c r="C144" s="12" t="str">
        <f>INDEX('ei names mapping'!$B$38:$R$67,MATCH(B115,'ei names mapping'!$A$4:$A$33,0),MATCH(G144,'ei names mapping'!$B$3:$R$3,0))</f>
        <v>RER</v>
      </c>
      <c r="D144" s="12" t="str">
        <f>INDEX('ei names mapping'!$B$104:$R$133,MATCH($B$3,'ei names mapping'!$A$4:$A$33,0),MATCH(G144,'ei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0.34444444444444444</v>
      </c>
      <c r="C145" s="12" t="str">
        <f>INDEX('ei names mapping'!$B$38:$R$67,MATCH(B115,'ei names mapping'!$A$4:$A$33,0),MATCH(G145,'ei names mapping'!$B$3:$R$3,0))</f>
        <v>RER</v>
      </c>
      <c r="D145" s="12" t="str">
        <f>INDEX('ei names mapping'!$B$104:$R$133,MATCH($B$3,'ei names mapping'!$A$4:$A$33,0),MATCH(G145,'ei names mapping'!$B$3:$R$3,0))</f>
        <v>unit</v>
      </c>
      <c r="E145" s="12"/>
      <c r="F145" s="12" t="s">
        <v>91</v>
      </c>
      <c r="G145" s="21" t="s">
        <v>16</v>
      </c>
      <c r="H145" s="12" t="str">
        <f>INDEX('ei names mapping'!$B$71:$R$100,MATCH(B115,'ei names mapping'!$A$4:$A$33,0),MATCH(G145,'ei names mapping'!$B$3:$R$3,0))</f>
        <v>motor scooter, 50 cubic cm engine</v>
      </c>
    </row>
    <row r="146" spans="1:8"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1.5899999999999999</v>
      </c>
      <c r="C146" s="12" t="str">
        <f>INDEX('ei names mapping'!$B$38:$R$67,MATCH(B115,'ei names mapping'!$A$4:$A$33,0),MATCH(G146,'ei names mapping'!$B$3:$R$3,0))</f>
        <v>GLO</v>
      </c>
      <c r="D146" s="12" t="str">
        <f>INDEX('ei names mapping'!$B$104:$R$133,MATCH(B115,'ei names mapping'!$A$4:$A$33,0),MATCH(G146,'ei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0.78749999999999998</v>
      </c>
      <c r="C147" s="12" t="str">
        <f>INDEX('ei names mapping'!$B$38:$R$67,MATCH(B115,'ei names mapping'!$A$4:$A$33,0),MATCH(G147,'ei names mapping'!$B$3:$R$3,0))</f>
        <v>RER</v>
      </c>
      <c r="D147" s="12" t="str">
        <f>INDEX('ei names mapping'!$B$104:$R$133,MATCH($B$3,'ei names mapping'!$A$4:$A$33,0),MATCH(G147,'ei names mapping'!$B$3:$R$3,0))</f>
        <v>kilogram</v>
      </c>
      <c r="E147" s="12"/>
      <c r="F147" s="12" t="s">
        <v>91</v>
      </c>
      <c r="G147" s="21" t="s">
        <v>24</v>
      </c>
      <c r="H147" s="12" t="str">
        <f>INDEX('ei names mapping'!$B$71:$R$100,MATCH(B115,'ei names mapping'!$A$4:$A$33,0),MATCH(G147,'ei names mapping'!$B$3:$R$3,0))</f>
        <v>polyethylene, high density, granulate</v>
      </c>
    </row>
    <row r="148" spans="1:8" x14ac:dyDescent="0.3">
      <c r="A148" s="22" t="s">
        <v>468</v>
      </c>
      <c r="B148" s="21">
        <f>(B128/1000)*B139</f>
        <v>88.447499999999991</v>
      </c>
      <c r="C148" s="21" t="s">
        <v>94</v>
      </c>
      <c r="D148" s="21" t="s">
        <v>243</v>
      </c>
      <c r="F148" s="21" t="s">
        <v>91</v>
      </c>
      <c r="H148" s="22" t="s">
        <v>469</v>
      </c>
    </row>
    <row r="149" spans="1:8" x14ac:dyDescent="0.3">
      <c r="A149" s="22" t="s">
        <v>467</v>
      </c>
      <c r="B149" s="2">
        <f>(B128/1000)*B138</f>
        <v>1406.3152499999997</v>
      </c>
      <c r="C149" s="21" t="s">
        <v>98</v>
      </c>
      <c r="D149" s="21" t="s">
        <v>243</v>
      </c>
      <c r="F149" s="21" t="s">
        <v>91</v>
      </c>
      <c r="H149" s="22" t="s">
        <v>467</v>
      </c>
    </row>
    <row r="151" spans="1:8" ht="15.6" x14ac:dyDescent="0.3">
      <c r="A151" s="11" t="s">
        <v>72</v>
      </c>
      <c r="B151" s="9" t="str">
        <f>B153&amp;", "&amp;B155</f>
        <v>Scooter, gasoline, &lt;4kW, EURO-5, 2040</v>
      </c>
    </row>
    <row r="152" spans="1:8" x14ac:dyDescent="0.3">
      <c r="A152" s="21" t="s">
        <v>73</v>
      </c>
      <c r="B152" s="21" t="s">
        <v>37</v>
      </c>
    </row>
    <row r="153" spans="1:8" x14ac:dyDescent="0.3">
      <c r="A153" s="21" t="s">
        <v>87</v>
      </c>
      <c r="B153" s="21" t="s">
        <v>677</v>
      </c>
    </row>
    <row r="154" spans="1:8" x14ac:dyDescent="0.3">
      <c r="A154" s="21" t="s">
        <v>88</v>
      </c>
      <c r="B154" s="12"/>
    </row>
    <row r="155" spans="1:8" x14ac:dyDescent="0.3">
      <c r="A155" s="21" t="s">
        <v>89</v>
      </c>
      <c r="B155" s="12">
        <v>2040</v>
      </c>
    </row>
    <row r="156" spans="1:8" x14ac:dyDescent="0.3">
      <c r="A156" s="21" t="s">
        <v>131</v>
      </c>
      <c r="B156" s="12" t="str">
        <f>B153&amp;" - "&amp;B155&amp;" - "&amp;B152</f>
        <v>Scooter, gasoline, &lt;4kW, EURO-5 - 2040 - CH</v>
      </c>
    </row>
    <row r="157" spans="1:8" x14ac:dyDescent="0.3">
      <c r="A157" s="21" t="s">
        <v>74</v>
      </c>
      <c r="B157" s="21" t="str">
        <f>B153</f>
        <v>Scooter, gasoline, &lt;4kW, EURO-5</v>
      </c>
    </row>
    <row r="158" spans="1:8" x14ac:dyDescent="0.3">
      <c r="A158" s="21" t="s">
        <v>75</v>
      </c>
      <c r="B158" s="21" t="s">
        <v>76</v>
      </c>
    </row>
    <row r="159" spans="1:8" x14ac:dyDescent="0.3">
      <c r="A159" s="21" t="s">
        <v>77</v>
      </c>
      <c r="B159" s="21" t="s">
        <v>77</v>
      </c>
    </row>
    <row r="160" spans="1:8" x14ac:dyDescent="0.3">
      <c r="A160" s="21" t="s">
        <v>79</v>
      </c>
      <c r="B160" s="21" t="s">
        <v>90</v>
      </c>
    </row>
    <row r="161" spans="1:2" x14ac:dyDescent="0.3">
      <c r="A161" s="21" t="s">
        <v>132</v>
      </c>
      <c r="B161" s="21">
        <f>INDEX('vehicles specifications'!$B$3:$CK$86,MATCH(B156,'vehicles specifications'!$A$3:$A$86,0),MATCH("Lifetime [km]",'vehicles specifications'!$B$2:$CK$2,0))</f>
        <v>33400</v>
      </c>
    </row>
    <row r="162" spans="1:2" x14ac:dyDescent="0.3">
      <c r="A162" s="21" t="s">
        <v>133</v>
      </c>
      <c r="B162" s="21">
        <f>INDEX('vehicles specifications'!$B$3:$CK$86,MATCH(B156,'vehicles specifications'!$A$3:$A$86,0),MATCH("Passengers [unit]",'vehicles specifications'!$B$2:$CK$2,0))</f>
        <v>1</v>
      </c>
    </row>
    <row r="163" spans="1:2" x14ac:dyDescent="0.3">
      <c r="A163" s="21" t="s">
        <v>134</v>
      </c>
      <c r="B163" s="21">
        <f>INDEX('vehicles specifications'!$B$3:$CK$86,MATCH(B156,'vehicles specifications'!$A$3:$A$86,0),MATCH("Servicing [unit]",'vehicles specifications'!$B$2:$CK$2,0))</f>
        <v>1</v>
      </c>
    </row>
    <row r="164" spans="1:2" x14ac:dyDescent="0.3">
      <c r="A164" s="21" t="s">
        <v>135</v>
      </c>
      <c r="B164" s="21">
        <f>INDEX('vehicles specifications'!$B$3:$CK$86,MATCH(B156,'vehicles specifications'!$A$3:$A$86,0),MATCH("Energy battery replacement [unit]",'vehicles specifications'!$B$2:$CK$2,0))</f>
        <v>0</v>
      </c>
    </row>
    <row r="165" spans="1:2" x14ac:dyDescent="0.3">
      <c r="A165" s="21" t="s">
        <v>136</v>
      </c>
      <c r="B165" s="21">
        <f>INDEX('vehicles specifications'!$B$3:$CK$86,MATCH(B156,'vehicles specifications'!$A$3:$A$86,0),MATCH("Annual kilometers [km]",'vehicles specifications'!$B$2:$CK$2,0))</f>
        <v>2553</v>
      </c>
    </row>
    <row r="166" spans="1:2" x14ac:dyDescent="0.3">
      <c r="A166" s="21" t="s">
        <v>137</v>
      </c>
      <c r="B166" s="2">
        <f>INDEX('vehicles specifications'!$B$3:$CK$86,MATCH(B156,'vehicles specifications'!$A$3:$A$86,0),MATCH("Curb mass [kg]",'vehicles specifications'!$B$2:$CK$2,0))</f>
        <v>86.487499999999983</v>
      </c>
    </row>
    <row r="167" spans="1:2" x14ac:dyDescent="0.3">
      <c r="A167" s="21" t="s">
        <v>138</v>
      </c>
      <c r="B167" s="21">
        <f>INDEX('vehicles specifications'!$B$3:$CK$86,MATCH(B156,'vehicles specifications'!$A$3:$A$86,0),MATCH("Power [kW]",'vehicles specifications'!$B$2:$CK$2,0))</f>
        <v>2.8</v>
      </c>
    </row>
    <row r="168" spans="1:2" x14ac:dyDescent="0.3">
      <c r="A168" s="21" t="s">
        <v>139</v>
      </c>
      <c r="B168" s="21">
        <f>INDEX('vehicles specifications'!$B$3:$CK$86,MATCH(B156,'vehicles specifications'!$A$3:$A$86,0),MATCH("Energy battery mass [kg]",'vehicles specifications'!$B$2:$CK$2,0))</f>
        <v>0</v>
      </c>
    </row>
    <row r="169" spans="1:2" x14ac:dyDescent="0.3">
      <c r="A169" s="21" t="s">
        <v>140</v>
      </c>
      <c r="B169" s="21">
        <f>INDEX('vehicles specifications'!$B$3:$CK$86,MATCH(B156,'vehicles specifications'!$A$3:$A$86,0),MATCH("Electric energy available [kWh]",'vehicles specifications'!$B$2:$CK$2,0))</f>
        <v>0</v>
      </c>
    </row>
    <row r="170" spans="1:2" x14ac:dyDescent="0.3">
      <c r="A170" s="21" t="s">
        <v>143</v>
      </c>
      <c r="B170" s="2">
        <f>INDEX('vehicles specifications'!$B$3:$CK$86,MATCH(B156,'vehicles specifications'!$A$3:$A$86,0),MATCH("Oxydation energy stored [kWh]",'vehicles specifications'!$B$2:$CK$2,0))</f>
        <v>61.833333333333329</v>
      </c>
    </row>
    <row r="171" spans="1:2" x14ac:dyDescent="0.3">
      <c r="A171" s="21" t="s">
        <v>145</v>
      </c>
      <c r="B171" s="21">
        <f>INDEX('vehicles specifications'!$B$3:$CK$86,MATCH(B156,'vehicles specifications'!$A$3:$A$86,0),MATCH("Fuel mass [kg]",'vehicles specifications'!$B$2:$CK$2,0))</f>
        <v>5.25</v>
      </c>
    </row>
    <row r="172" spans="1:2" x14ac:dyDescent="0.3">
      <c r="A172" s="21" t="s">
        <v>141</v>
      </c>
      <c r="B172" s="2">
        <f>INDEX('vehicles specifications'!$B$3:$CK$86,MATCH(B156,'vehicles specifications'!$A$3:$A$86,0),MATCH("Range [km]",'vehicles specifications'!$B$2:$CK$2,0))</f>
        <v>176.26285895610485</v>
      </c>
    </row>
    <row r="173" spans="1:2" x14ac:dyDescent="0.3">
      <c r="A173" s="21" t="s">
        <v>142</v>
      </c>
      <c r="B173" s="21" t="str">
        <f>INDEX('vehicles specifications'!$B$3:$CK$86,MATCH(B156,'vehicles specifications'!$A$3:$A$86,0),MATCH("Emission standard",'vehicles specifications'!$B$2:$CK$2,0))</f>
        <v>EURO-5</v>
      </c>
    </row>
    <row r="174" spans="1:2" x14ac:dyDescent="0.3">
      <c r="A174" s="21" t="s">
        <v>144</v>
      </c>
      <c r="B174" s="6">
        <f>INDEX('vehicles specifications'!$B$3:$CK$86,MATCH(B156,'vehicles specifications'!$A$3:$A$86,0),MATCH("Lightweighting rate [%]",'vehicles specifications'!$B$2:$CK$2,0))</f>
        <v>0.05</v>
      </c>
    </row>
    <row r="175" spans="1:2" x14ac:dyDescent="0.3">
      <c r="A175" s="21" t="s">
        <v>513</v>
      </c>
      <c r="B175" s="6" t="s">
        <v>514</v>
      </c>
    </row>
    <row r="176" spans="1:2" x14ac:dyDescent="0.3">
      <c r="A176" s="21" t="s">
        <v>515</v>
      </c>
      <c r="B176" s="2">
        <v>15900</v>
      </c>
    </row>
    <row r="177" spans="1:8" x14ac:dyDescent="0.3">
      <c r="A177" s="21" t="s">
        <v>516</v>
      </c>
      <c r="B177" s="2">
        <v>1000</v>
      </c>
    </row>
    <row r="178" spans="1:8"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2.8 kW. Lifetime: 33400 km. Annual kilometers: 2553 km. Number of passengers: 1. Curb mass: 86.5 kg. Lightweighting of glider: 5%. Emission standard: EURO-5. Service visits throughout lifetime: 1. Range: 176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s="21" t="s">
        <v>81</v>
      </c>
      <c r="B180" s="21" t="s">
        <v>82</v>
      </c>
      <c r="C180" s="21" t="s">
        <v>73</v>
      </c>
      <c r="D180" s="21" t="s">
        <v>77</v>
      </c>
      <c r="E180" s="21" t="s">
        <v>83</v>
      </c>
      <c r="F180" s="21" t="s">
        <v>75</v>
      </c>
      <c r="G180" s="21" t="s">
        <v>84</v>
      </c>
      <c r="H180" s="21" t="s">
        <v>74</v>
      </c>
    </row>
    <row r="181" spans="1:8" x14ac:dyDescent="0.3">
      <c r="A181" s="12" t="str">
        <f>B151</f>
        <v>Scooter, gasoline, &lt;4kW, EURO-5, 2040</v>
      </c>
      <c r="B181" s="12">
        <v>1</v>
      </c>
      <c r="C181" s="12" t="str">
        <f>B152</f>
        <v>CH</v>
      </c>
      <c r="D181" s="12" t="str">
        <f>B159</f>
        <v>unit</v>
      </c>
      <c r="E181" s="12"/>
      <c r="F181" s="12" t="s">
        <v>85</v>
      </c>
      <c r="G181" s="12" t="s">
        <v>86</v>
      </c>
      <c r="H181" s="12" t="str">
        <f>B153</f>
        <v>Scooter, gasoline, &lt;4kW,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0.58888888888888891</v>
      </c>
      <c r="C182" s="12" t="str">
        <f>INDEX('ei names mapping'!$B$38:$R$67,MATCH(B153,'ei names mapping'!$A$4:$A$33,0),MATCH(G182,'ei names mapping'!$B$3:$R$3,0))</f>
        <v>RER</v>
      </c>
      <c r="D182" s="12" t="str">
        <f>INDEX('ei names mapping'!$B$104:$R$133,MATCH($B$3,'ei names mapping'!$A$4:$A$33,0),MATCH(G182,'ei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0.33444444444444449</v>
      </c>
      <c r="C183" s="12" t="str">
        <f>INDEX('ei names mapping'!$B$38:$R$67,MATCH(B153,'ei names mapping'!$A$4:$A$33,0),MATCH(G183,'ei names mapping'!$B$3:$R$3,0))</f>
        <v>RER</v>
      </c>
      <c r="D183" s="12" t="str">
        <f>INDEX('ei names mapping'!$B$104:$R$133,MATCH($B$3,'ei names mapping'!$A$4:$A$33,0),MATCH(G183,'ei names mapping'!$B$3:$R$3,0))</f>
        <v>unit</v>
      </c>
      <c r="E183" s="12"/>
      <c r="F183" s="12" t="s">
        <v>91</v>
      </c>
      <c r="G183" s="21" t="s">
        <v>16</v>
      </c>
      <c r="H183" s="12" t="str">
        <f>INDEX('ei names mapping'!$B$71:$R$100,MATCH(B153,'ei names mapping'!$A$4:$A$33,0),MATCH(G183,'ei names mapping'!$B$3:$R$3,0))</f>
        <v>motor scooter, 50 cubic cm engine</v>
      </c>
    </row>
    <row r="184" spans="1:8"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2.6500000000000004</v>
      </c>
      <c r="C184" s="12" t="str">
        <f>INDEX('ei names mapping'!$B$38:$R$67,MATCH(B153,'ei names mapping'!$A$4:$A$33,0),MATCH(G184,'ei names mapping'!$B$3:$R$3,0))</f>
        <v>GLO</v>
      </c>
      <c r="D184" s="12" t="str">
        <f>INDEX('ei names mapping'!$B$104:$R$133,MATCH(B153,'ei names mapping'!$A$4:$A$33,0),MATCH(G184,'ei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0.78749999999999998</v>
      </c>
      <c r="C185" s="12" t="str">
        <f>INDEX('ei names mapping'!$B$38:$R$67,MATCH(B153,'ei names mapping'!$A$4:$A$33,0),MATCH(G185,'ei names mapping'!$B$3:$R$3,0))</f>
        <v>RER</v>
      </c>
      <c r="D185" s="12" t="str">
        <f>INDEX('ei names mapping'!$B$104:$R$133,MATCH($B$3,'ei names mapping'!$A$4:$A$33,0),MATCH(G185,'ei names mapping'!$B$3:$R$3,0))</f>
        <v>kilogram</v>
      </c>
      <c r="E185" s="12"/>
      <c r="F185" s="12" t="s">
        <v>91</v>
      </c>
      <c r="G185" s="21" t="s">
        <v>24</v>
      </c>
      <c r="H185" s="12" t="str">
        <f>INDEX('ei names mapping'!$B$71:$R$100,MATCH(B153,'ei names mapping'!$A$4:$A$33,0),MATCH(G185,'ei names mapping'!$B$3:$R$3,0))</f>
        <v>polyethylene, high density, granulate</v>
      </c>
    </row>
    <row r="186" spans="1:8" x14ac:dyDescent="0.3">
      <c r="A186" s="22" t="s">
        <v>468</v>
      </c>
      <c r="B186" s="21">
        <f>(B166/1000)*B177</f>
        <v>86.487499999999983</v>
      </c>
      <c r="C186" s="21" t="s">
        <v>94</v>
      </c>
      <c r="D186" s="21" t="s">
        <v>243</v>
      </c>
      <c r="F186" s="21" t="s">
        <v>91</v>
      </c>
      <c r="H186" s="22" t="s">
        <v>469</v>
      </c>
    </row>
    <row r="187" spans="1:8" x14ac:dyDescent="0.3">
      <c r="A187" s="22" t="s">
        <v>467</v>
      </c>
      <c r="B187" s="2">
        <f>(B166/1000)*B176</f>
        <v>1375.1512499999997</v>
      </c>
      <c r="C187" s="21" t="s">
        <v>98</v>
      </c>
      <c r="D187" s="21" t="s">
        <v>243</v>
      </c>
      <c r="F187" s="21" t="s">
        <v>91</v>
      </c>
      <c r="H187" s="22" t="s">
        <v>467</v>
      </c>
    </row>
    <row r="189" spans="1:8" ht="15.6" x14ac:dyDescent="0.3">
      <c r="A189" s="11" t="s">
        <v>72</v>
      </c>
      <c r="B189" s="9" t="str">
        <f>B191&amp;", "&amp;B193</f>
        <v>Scooter, gasoline, &lt;4kW, EURO-5, 2050</v>
      </c>
    </row>
    <row r="190" spans="1:8" x14ac:dyDescent="0.3">
      <c r="A190" s="21" t="s">
        <v>73</v>
      </c>
      <c r="B190" s="21" t="s">
        <v>37</v>
      </c>
    </row>
    <row r="191" spans="1:8" x14ac:dyDescent="0.3">
      <c r="A191" s="21" t="s">
        <v>87</v>
      </c>
      <c r="B191" s="21" t="s">
        <v>677</v>
      </c>
    </row>
    <row r="192" spans="1:8" x14ac:dyDescent="0.3">
      <c r="A192" s="21" t="s">
        <v>88</v>
      </c>
      <c r="B192" s="12"/>
    </row>
    <row r="193" spans="1:2" x14ac:dyDescent="0.3">
      <c r="A193" s="21" t="s">
        <v>89</v>
      </c>
      <c r="B193" s="12">
        <v>2050</v>
      </c>
    </row>
    <row r="194" spans="1:2" x14ac:dyDescent="0.3">
      <c r="A194" s="21" t="s">
        <v>131</v>
      </c>
      <c r="B194" s="12" t="str">
        <f>B191&amp;" - "&amp;B193&amp;" - "&amp;B190</f>
        <v>Scooter, gasoline, &lt;4kW, EURO-5 - 2050 - CH</v>
      </c>
    </row>
    <row r="195" spans="1:2" x14ac:dyDescent="0.3">
      <c r="A195" s="21" t="s">
        <v>74</v>
      </c>
      <c r="B195" s="21" t="str">
        <f>B191</f>
        <v>Scooter, gasoline, &lt;4kW, EURO-5</v>
      </c>
    </row>
    <row r="196" spans="1:2" x14ac:dyDescent="0.3">
      <c r="A196" s="21" t="s">
        <v>75</v>
      </c>
      <c r="B196" s="21" t="s">
        <v>76</v>
      </c>
    </row>
    <row r="197" spans="1:2" x14ac:dyDescent="0.3">
      <c r="A197" s="21" t="s">
        <v>77</v>
      </c>
      <c r="B197" s="21" t="s">
        <v>77</v>
      </c>
    </row>
    <row r="198" spans="1:2" x14ac:dyDescent="0.3">
      <c r="A198" s="21" t="s">
        <v>79</v>
      </c>
      <c r="B198" s="21" t="s">
        <v>90</v>
      </c>
    </row>
    <row r="199" spans="1:2" x14ac:dyDescent="0.3">
      <c r="A199" s="21" t="s">
        <v>132</v>
      </c>
      <c r="B199" s="21">
        <f>INDEX('vehicles specifications'!$B$3:$CK$86,MATCH(B194,'vehicles specifications'!$A$3:$A$86,0),MATCH("Lifetime [km]",'vehicles specifications'!$B$2:$CK$2,0))</f>
        <v>33400</v>
      </c>
    </row>
    <row r="200" spans="1:2" x14ac:dyDescent="0.3">
      <c r="A200" s="21" t="s">
        <v>133</v>
      </c>
      <c r="B200" s="21">
        <f>INDEX('vehicles specifications'!$B$3:$CK$86,MATCH(B194,'vehicles specifications'!$A$3:$A$86,0),MATCH("Passengers [unit]",'vehicles specifications'!$B$2:$CK$2,0))</f>
        <v>1</v>
      </c>
    </row>
    <row r="201" spans="1:2" x14ac:dyDescent="0.3">
      <c r="A201" s="21" t="s">
        <v>134</v>
      </c>
      <c r="B201" s="21">
        <f>INDEX('vehicles specifications'!$B$3:$CK$86,MATCH(B194,'vehicles specifications'!$A$3:$A$86,0),MATCH("Servicing [unit]",'vehicles specifications'!$B$2:$CK$2,0))</f>
        <v>1</v>
      </c>
    </row>
    <row r="202" spans="1:2" x14ac:dyDescent="0.3">
      <c r="A202" s="21" t="s">
        <v>135</v>
      </c>
      <c r="B202" s="21">
        <f>INDEX('vehicles specifications'!$B$3:$CK$86,MATCH(B194,'vehicles specifications'!$A$3:$A$86,0),MATCH("Energy battery replacement [unit]",'vehicles specifications'!$B$2:$CK$2,0))</f>
        <v>0</v>
      </c>
    </row>
    <row r="203" spans="1:2" x14ac:dyDescent="0.3">
      <c r="A203" s="21" t="s">
        <v>136</v>
      </c>
      <c r="B203" s="21">
        <f>INDEX('vehicles specifications'!$B$3:$CK$86,MATCH(B194,'vehicles specifications'!$A$3:$A$86,0),MATCH("Annual kilometers [km]",'vehicles specifications'!$B$2:$CK$2,0))</f>
        <v>2553</v>
      </c>
    </row>
    <row r="204" spans="1:2" x14ac:dyDescent="0.3">
      <c r="A204" s="21" t="s">
        <v>137</v>
      </c>
      <c r="B204" s="2">
        <f>INDEX('vehicles specifications'!$B$3:$CK$86,MATCH(B194,'vehicles specifications'!$A$3:$A$86,0),MATCH("Curb mass [kg]",'vehicles specifications'!$B$2:$CK$2,0))</f>
        <v>84.527499999999989</v>
      </c>
    </row>
    <row r="205" spans="1:2" x14ac:dyDescent="0.3">
      <c r="A205" s="21" t="s">
        <v>138</v>
      </c>
      <c r="B205" s="21">
        <f>INDEX('vehicles specifications'!$B$3:$CK$86,MATCH(B194,'vehicles specifications'!$A$3:$A$86,0),MATCH("Power [kW]",'vehicles specifications'!$B$2:$CK$2,0))</f>
        <v>2.8</v>
      </c>
    </row>
    <row r="206" spans="1:2" x14ac:dyDescent="0.3">
      <c r="A206" s="21" t="s">
        <v>139</v>
      </c>
      <c r="B206" s="21">
        <f>INDEX('vehicles specifications'!$B$3:$CK$86,MATCH(B194,'vehicles specifications'!$A$3:$A$86,0),MATCH("Energy battery mass [kg]",'vehicles specifications'!$B$2:$CK$2,0))</f>
        <v>0</v>
      </c>
    </row>
    <row r="207" spans="1:2" x14ac:dyDescent="0.3">
      <c r="A207" s="21" t="s">
        <v>140</v>
      </c>
      <c r="B207" s="21">
        <f>INDEX('vehicles specifications'!$B$3:$CK$86,MATCH(B194,'vehicles specifications'!$A$3:$A$86,0),MATCH("Electric energy available [kWh]",'vehicles specifications'!$B$2:$CK$2,0))</f>
        <v>0</v>
      </c>
    </row>
    <row r="208" spans="1:2" x14ac:dyDescent="0.3">
      <c r="A208" s="21" t="s">
        <v>143</v>
      </c>
      <c r="B208" s="2">
        <f>INDEX('vehicles specifications'!$B$3:$CK$86,MATCH(B194,'vehicles specifications'!$A$3:$A$86,0),MATCH("Oxydation energy stored [kWh]",'vehicles specifications'!$B$2:$CK$2,0))</f>
        <v>61.833333333333329</v>
      </c>
    </row>
    <row r="209" spans="1:8" x14ac:dyDescent="0.3">
      <c r="A209" s="21" t="s">
        <v>145</v>
      </c>
      <c r="B209" s="21">
        <f>INDEX('vehicles specifications'!$B$3:$CK$86,MATCH(B194,'vehicles specifications'!$A$3:$A$86,0),MATCH("Fuel mass [kg]",'vehicles specifications'!$B$2:$CK$2,0))</f>
        <v>5.25</v>
      </c>
    </row>
    <row r="210" spans="1:8" x14ac:dyDescent="0.3">
      <c r="A210" s="21" t="s">
        <v>141</v>
      </c>
      <c r="B210" s="2">
        <f>INDEX('vehicles specifications'!$B$3:$CK$86,MATCH(B194,'vehicles specifications'!$A$3:$A$86,0),MATCH("Range [km]",'vehicles specifications'!$B$2:$CK$2,0))</f>
        <v>178.04329187485337</v>
      </c>
    </row>
    <row r="211" spans="1:8" x14ac:dyDescent="0.3">
      <c r="A211" s="21" t="s">
        <v>142</v>
      </c>
      <c r="B211" s="21" t="str">
        <f>INDEX('vehicles specifications'!$B$3:$CK$86,MATCH(B194,'vehicles specifications'!$A$3:$A$86,0),MATCH("Emission standard",'vehicles specifications'!$B$2:$CK$2,0))</f>
        <v>EURO-5</v>
      </c>
    </row>
    <row r="212" spans="1:8" x14ac:dyDescent="0.3">
      <c r="A212" s="21" t="s">
        <v>144</v>
      </c>
      <c r="B212" s="6">
        <f>INDEX('vehicles specifications'!$B$3:$CK$86,MATCH(B194,'vehicles specifications'!$A$3:$A$86,0),MATCH("Lightweighting rate [%]",'vehicles specifications'!$B$2:$CK$2,0))</f>
        <v>7.0000000000000007E-2</v>
      </c>
    </row>
    <row r="213" spans="1:8" x14ac:dyDescent="0.3">
      <c r="A213" s="21" t="s">
        <v>513</v>
      </c>
      <c r="B213" s="6" t="s">
        <v>514</v>
      </c>
    </row>
    <row r="214" spans="1:8" x14ac:dyDescent="0.3">
      <c r="A214" s="21" t="s">
        <v>515</v>
      </c>
      <c r="B214" s="2">
        <v>15900</v>
      </c>
    </row>
    <row r="215" spans="1:8" x14ac:dyDescent="0.3">
      <c r="A215" s="21" t="s">
        <v>516</v>
      </c>
      <c r="B215" s="2">
        <v>1000</v>
      </c>
    </row>
    <row r="216" spans="1:8"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2.8 kW. Lifetime: 33400 km. Annual kilometers: 2553 km. Number of passengers: 1. Curb mass: 84.5 kg. Lightweighting of glider: 7%. Emission standard: EURO-5. Service visits throughout lifetime: 1. Range: 178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s="21" t="s">
        <v>81</v>
      </c>
      <c r="B218" s="21" t="s">
        <v>82</v>
      </c>
      <c r="C218" s="21" t="s">
        <v>73</v>
      </c>
      <c r="D218" s="21" t="s">
        <v>77</v>
      </c>
      <c r="E218" s="21" t="s">
        <v>83</v>
      </c>
      <c r="F218" s="21" t="s">
        <v>75</v>
      </c>
      <c r="G218" s="21" t="s">
        <v>84</v>
      </c>
      <c r="H218" s="21" t="s">
        <v>74</v>
      </c>
    </row>
    <row r="219" spans="1:8" x14ac:dyDescent="0.3">
      <c r="A219" s="12" t="str">
        <f>B189</f>
        <v>Scooter, gasoline, &lt;4kW, EURO-5, 2050</v>
      </c>
      <c r="B219" s="12">
        <v>1</v>
      </c>
      <c r="C219" s="12" t="str">
        <f>B190</f>
        <v>CH</v>
      </c>
      <c r="D219" s="12" t="str">
        <f>B197</f>
        <v>unit</v>
      </c>
      <c r="E219" s="12"/>
      <c r="F219" s="12" t="s">
        <v>85</v>
      </c>
      <c r="G219" s="12" t="s">
        <v>86</v>
      </c>
      <c r="H219" s="12" t="str">
        <f>B191</f>
        <v>Scooter, gasoline, &lt;4kW,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0.58888888888888891</v>
      </c>
      <c r="C220" s="12" t="str">
        <f>INDEX('ei names mapping'!$B$38:$R$67,MATCH(B191,'ei names mapping'!$A$4:$A$33,0),MATCH(G220,'ei names mapping'!$B$3:$R$3,0))</f>
        <v>RER</v>
      </c>
      <c r="D220" s="12" t="str">
        <f>INDEX('ei names mapping'!$B$104:$R$133,MATCH($B$3,'ei names mapping'!$A$4:$A$33,0),MATCH(G220,'ei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0.32444444444444442</v>
      </c>
      <c r="C221" s="12" t="str">
        <f>INDEX('ei names mapping'!$B$38:$R$67,MATCH(B191,'ei names mapping'!$A$4:$A$33,0),MATCH(G221,'ei names mapping'!$B$3:$R$3,0))</f>
        <v>RER</v>
      </c>
      <c r="D221" s="12" t="str">
        <f>INDEX('ei names mapping'!$B$104:$R$133,MATCH($B$3,'ei names mapping'!$A$4:$A$33,0),MATCH(G221,'ei names mapping'!$B$3:$R$3,0))</f>
        <v>unit</v>
      </c>
      <c r="E221" s="12"/>
      <c r="F221" s="12" t="s">
        <v>91</v>
      </c>
      <c r="G221" s="21" t="s">
        <v>16</v>
      </c>
      <c r="H221" s="12" t="str">
        <f>INDEX('ei names mapping'!$B$71:$R$100,MATCH(B191,'ei names mapping'!$A$4:$A$33,0),MATCH(G221,'ei names mapping'!$B$3:$R$3,0))</f>
        <v>motor scooter, 50 cubic cm engine</v>
      </c>
    </row>
    <row r="222" spans="1:8"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3.7100000000000004</v>
      </c>
      <c r="C222" s="12" t="str">
        <f>INDEX('ei names mapping'!$B$38:$R$67,MATCH(B191,'ei names mapping'!$A$4:$A$33,0),MATCH(G222,'ei names mapping'!$B$3:$R$3,0))</f>
        <v>GLO</v>
      </c>
      <c r="D222" s="12" t="str">
        <f>INDEX('ei names mapping'!$B$104:$R$133,MATCH(B191,'ei names mapping'!$A$4:$A$33,0),MATCH(G222,'ei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0.78749999999999998</v>
      </c>
      <c r="C223" s="12" t="str">
        <f>INDEX('ei names mapping'!$B$38:$R$67,MATCH(B191,'ei names mapping'!$A$4:$A$33,0),MATCH(G223,'ei names mapping'!$B$3:$R$3,0))</f>
        <v>RER</v>
      </c>
      <c r="D223" s="12" t="str">
        <f>INDEX('ei names mapping'!$B$104:$R$133,MATCH($B$3,'ei names mapping'!$A$4:$A$33,0),MATCH(G223,'ei names mapping'!$B$3:$R$3,0))</f>
        <v>kilogram</v>
      </c>
      <c r="E223" s="12"/>
      <c r="F223" s="12" t="s">
        <v>91</v>
      </c>
      <c r="G223" s="21" t="s">
        <v>24</v>
      </c>
      <c r="H223" s="12" t="str">
        <f>INDEX('ei names mapping'!$B$71:$R$100,MATCH(B191,'ei names mapping'!$A$4:$A$33,0),MATCH(G223,'ei names mapping'!$B$3:$R$3,0))</f>
        <v>polyethylene, high density, granulate</v>
      </c>
    </row>
    <row r="224" spans="1:8" x14ac:dyDescent="0.3">
      <c r="A224" s="22" t="s">
        <v>468</v>
      </c>
      <c r="B224" s="21">
        <f>(B204/1000)*B215</f>
        <v>84.527499999999989</v>
      </c>
      <c r="C224" s="21" t="s">
        <v>94</v>
      </c>
      <c r="D224" s="21" t="s">
        <v>243</v>
      </c>
      <c r="F224" s="21" t="s">
        <v>91</v>
      </c>
      <c r="H224" s="22" t="s">
        <v>469</v>
      </c>
    </row>
    <row r="225" spans="1:8" x14ac:dyDescent="0.3">
      <c r="A225" s="22" t="s">
        <v>467</v>
      </c>
      <c r="B225" s="2">
        <f>(B204/1000)*B214</f>
        <v>1343.9872499999999</v>
      </c>
      <c r="C225" s="21" t="s">
        <v>98</v>
      </c>
      <c r="D225" s="21" t="s">
        <v>243</v>
      </c>
      <c r="F225" s="21" t="s">
        <v>91</v>
      </c>
      <c r="H225" s="22" t="s">
        <v>467</v>
      </c>
    </row>
    <row r="227" spans="1:8" ht="15.6" x14ac:dyDescent="0.3">
      <c r="A227" s="11" t="s">
        <v>72</v>
      </c>
      <c r="B227" s="9" t="str">
        <f>"transport, "&amp;B229&amp;", "&amp;B231</f>
        <v>transport, Scooter, gasoline, &lt;4kW, EURO-3, 2006</v>
      </c>
    </row>
    <row r="228" spans="1:8" x14ac:dyDescent="0.3">
      <c r="A228" s="21" t="s">
        <v>73</v>
      </c>
      <c r="B228" s="21" t="s">
        <v>37</v>
      </c>
    </row>
    <row r="229" spans="1:8" x14ac:dyDescent="0.3">
      <c r="A229" s="21" t="s">
        <v>87</v>
      </c>
      <c r="B229" s="21" t="s">
        <v>675</v>
      </c>
    </row>
    <row r="230" spans="1:8" x14ac:dyDescent="0.3">
      <c r="A230" s="21" t="s">
        <v>88</v>
      </c>
      <c r="B230" s="12"/>
    </row>
    <row r="231" spans="1:8" x14ac:dyDescent="0.3">
      <c r="A231" s="21" t="s">
        <v>89</v>
      </c>
      <c r="B231" s="12">
        <v>2006</v>
      </c>
    </row>
    <row r="232" spans="1:8" x14ac:dyDescent="0.3">
      <c r="A232" s="21" t="s">
        <v>131</v>
      </c>
      <c r="B232" s="12" t="str">
        <f>B229&amp;" - "&amp;B231&amp;" - "&amp;B228</f>
        <v>Scooter, gasoline, &lt;4kW, EURO-3 - 2006 - CH</v>
      </c>
    </row>
    <row r="233" spans="1:8" x14ac:dyDescent="0.3">
      <c r="A233" s="21" t="s">
        <v>74</v>
      </c>
      <c r="B233" s="12" t="str">
        <f>"transport, "&amp;B229</f>
        <v>transport, Scooter, gasoline, &lt;4kW, EURO-3</v>
      </c>
    </row>
    <row r="234" spans="1:8" x14ac:dyDescent="0.3">
      <c r="A234" s="21" t="s">
        <v>75</v>
      </c>
      <c r="B234" s="21" t="s">
        <v>76</v>
      </c>
    </row>
    <row r="235" spans="1:8" x14ac:dyDescent="0.3">
      <c r="A235" s="21" t="s">
        <v>77</v>
      </c>
      <c r="B235" s="21" t="s">
        <v>172</v>
      </c>
    </row>
    <row r="236" spans="1:8" x14ac:dyDescent="0.3">
      <c r="A236" s="21" t="s">
        <v>79</v>
      </c>
      <c r="B236" s="21" t="s">
        <v>90</v>
      </c>
    </row>
    <row r="237" spans="1:8" x14ac:dyDescent="0.3">
      <c r="A237" s="21" t="s">
        <v>132</v>
      </c>
      <c r="B237" s="21">
        <f>INDEX('vehicles specifications'!$B$3:$CK$86,MATCH(B232,'vehicles specifications'!$A$3:$A$86,0),MATCH("Lifetime [km]",'vehicles specifications'!$B$2:$CK$2,0))</f>
        <v>33400</v>
      </c>
    </row>
    <row r="238" spans="1:8" x14ac:dyDescent="0.3">
      <c r="A238" s="21" t="s">
        <v>133</v>
      </c>
      <c r="B238" s="21">
        <f>INDEX('vehicles specifications'!$B$3:$CK$86,MATCH(B232,'vehicles specifications'!$A$3:$A$86,0),MATCH("Passengers [unit]",'vehicles specifications'!$B$2:$CK$2,0))</f>
        <v>1</v>
      </c>
    </row>
    <row r="239" spans="1:8" x14ac:dyDescent="0.3">
      <c r="A239" s="21" t="s">
        <v>134</v>
      </c>
      <c r="B239" s="21">
        <f>INDEX('vehicles specifications'!$B$3:$CK$86,MATCH(B232,'vehicles specifications'!$A$3:$A$86,0),MATCH("Servicing [unit]",'vehicles specifications'!$B$2:$CK$2,0))</f>
        <v>1</v>
      </c>
    </row>
    <row r="240" spans="1:8" x14ac:dyDescent="0.3">
      <c r="A240" s="21" t="s">
        <v>135</v>
      </c>
      <c r="B240" s="21">
        <f>INDEX('vehicles specifications'!$B$3:$CK$86,MATCH(B232,'vehicles specifications'!$A$3:$A$86,0),MATCH("Energy battery replacement [unit]",'vehicles specifications'!$B$2:$CK$2,0))</f>
        <v>0</v>
      </c>
    </row>
    <row r="241" spans="1:8" x14ac:dyDescent="0.3">
      <c r="A241" s="21" t="s">
        <v>136</v>
      </c>
      <c r="B241" s="21">
        <f>INDEX('vehicles specifications'!$B$3:$CK$86,MATCH(B232,'vehicles specifications'!$A$3:$A$86,0),MATCH("Annual kilometers [km]",'vehicles specifications'!$B$2:$CK$2,0))</f>
        <v>2553</v>
      </c>
    </row>
    <row r="242" spans="1:8" x14ac:dyDescent="0.3">
      <c r="A242" s="21" t="s">
        <v>137</v>
      </c>
      <c r="B242" s="2">
        <f>INDEX('vehicles specifications'!$B$3:$CK$86,MATCH(B232,'vehicles specifications'!$A$3:$A$86,0),MATCH("Curb mass [kg]",'vehicles specifications'!$B$2:$CK$2,0))</f>
        <v>93.6875</v>
      </c>
    </row>
    <row r="243" spans="1:8" x14ac:dyDescent="0.3">
      <c r="A243" s="21" t="s">
        <v>138</v>
      </c>
      <c r="B243" s="21">
        <f>INDEX('vehicles specifications'!$B$3:$CK$86,MATCH(B232,'vehicles specifications'!$A$3:$A$86,0),MATCH("Power [kW]",'vehicles specifications'!$B$2:$CK$2,0))</f>
        <v>2.8</v>
      </c>
    </row>
    <row r="244" spans="1:8" x14ac:dyDescent="0.3">
      <c r="A244" s="21" t="s">
        <v>139</v>
      </c>
      <c r="B244" s="21">
        <f>INDEX('vehicles specifications'!$B$3:$CK$86,MATCH(B232,'vehicles specifications'!$A$3:$A$86,0),MATCH("Energy battery mass [kg]",'vehicles specifications'!$B$2:$CK$2,0))</f>
        <v>0</v>
      </c>
    </row>
    <row r="245" spans="1:8" x14ac:dyDescent="0.3">
      <c r="A245" s="21" t="s">
        <v>140</v>
      </c>
      <c r="B245" s="21">
        <f>INDEX('vehicles specifications'!$B$3:$CK$86,MATCH(B232,'vehicles specifications'!$A$3:$A$86,0),MATCH("Electric energy available [kWh]",'vehicles specifications'!$B$2:$CK$2,0))</f>
        <v>0</v>
      </c>
    </row>
    <row r="246" spans="1:8" x14ac:dyDescent="0.3">
      <c r="A246" s="21" t="s">
        <v>143</v>
      </c>
      <c r="B246" s="2">
        <f>INDEX('vehicles specifications'!$B$3:$CK$86,MATCH(B232,'vehicles specifications'!$A$3:$A$86,0),MATCH("Oxydation energy stored [kWh]",'vehicles specifications'!$B$2:$CK$2,0))</f>
        <v>61.833333333333329</v>
      </c>
    </row>
    <row r="247" spans="1:8" x14ac:dyDescent="0.3">
      <c r="A247" s="21" t="s">
        <v>145</v>
      </c>
      <c r="B247" s="21">
        <f>INDEX('vehicles specifications'!$B$3:$CK$86,MATCH(B232,'vehicles specifications'!$A$3:$A$86,0),MATCH("Fuel mass [kg]",'vehicles specifications'!$B$2:$CK$2,0))</f>
        <v>5.25</v>
      </c>
    </row>
    <row r="248" spans="1:8" x14ac:dyDescent="0.3">
      <c r="A248" s="21" t="s">
        <v>141</v>
      </c>
      <c r="B248" s="2">
        <f>INDEX('vehicles specifications'!$B$3:$CK$86,MATCH(B232,'vehicles specifications'!$A$3:$A$86,0),MATCH("Range [km]",'vehicles specifications'!$B$2:$CK$2,0))</f>
        <v>161.34686394551844</v>
      </c>
    </row>
    <row r="249" spans="1:8" x14ac:dyDescent="0.3">
      <c r="A249" s="21" t="s">
        <v>142</v>
      </c>
      <c r="B249" s="21" t="str">
        <f>INDEX('vehicles specifications'!$B$3:$CK$86,MATCH(B232,'vehicles specifications'!$A$3:$A$86,0),MATCH("Emission standard",'vehicles specifications'!$B$2:$CK$2,0))</f>
        <v>EURO-5</v>
      </c>
    </row>
    <row r="250" spans="1:8" x14ac:dyDescent="0.3">
      <c r="A250" s="21" t="s">
        <v>144</v>
      </c>
      <c r="B250" s="6">
        <f>INDEX('vehicles specifications'!$B$3:$CK$86,MATCH(B232,'vehicles specifications'!$A$3:$A$86,0),MATCH("Lightweighting rate [%]",'vehicles specifications'!$B$2:$CK$2,0))</f>
        <v>-0.05</v>
      </c>
    </row>
    <row r="251" spans="1:8" x14ac:dyDescent="0.3">
      <c r="A251" s="2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2.8 kW. Lifetime: 33400 km. Annual kilometers: 2553 km. Number of passengers: 1. Curb mass: 93.7 kg. Lightweighting of glider: -5%. Emission standard: EURO-5. Service visits throughout lifetime: 1. Range: 161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s="21" t="s">
        <v>81</v>
      </c>
      <c r="B253" s="21" t="s">
        <v>82</v>
      </c>
      <c r="C253" s="21" t="s">
        <v>73</v>
      </c>
      <c r="D253" s="21" t="s">
        <v>77</v>
      </c>
      <c r="E253" s="21" t="s">
        <v>83</v>
      </c>
      <c r="F253" s="21" t="s">
        <v>75</v>
      </c>
      <c r="G253" s="21" t="s">
        <v>84</v>
      </c>
      <c r="H253" s="21" t="s">
        <v>74</v>
      </c>
    </row>
    <row r="254" spans="1:8" x14ac:dyDescent="0.3">
      <c r="A254" s="12" t="str">
        <f>B227</f>
        <v>transport, Scooter, gasoline, &lt;4kW, EURO-3, 2006</v>
      </c>
      <c r="B254" s="12">
        <v>1</v>
      </c>
      <c r="C254" s="12" t="str">
        <f>B228</f>
        <v>CH</v>
      </c>
      <c r="D254" s="12" t="s">
        <v>172</v>
      </c>
      <c r="E254" s="12"/>
      <c r="F254" s="12" t="s">
        <v>85</v>
      </c>
      <c r="G254" s="12" t="s">
        <v>86</v>
      </c>
      <c r="H254" s="12" t="str">
        <f>B233</f>
        <v>transport, Scooter, gasoline, &lt;4kW, EURO-3</v>
      </c>
    </row>
    <row r="255" spans="1:8" x14ac:dyDescent="0.3">
      <c r="A255" s="12" t="str">
        <f>RIGHT(A254,LEN(A254)-11)</f>
        <v>Scooter, gasoline, &lt;4kW, EURO-3, 2006</v>
      </c>
      <c r="B255" s="15">
        <f>1/B237</f>
        <v>2.9940119760479042E-5</v>
      </c>
      <c r="C255" s="12" t="str">
        <f>B228</f>
        <v>CH</v>
      </c>
      <c r="D255" s="12" t="s">
        <v>77</v>
      </c>
      <c r="E255" s="12"/>
      <c r="F255" s="12" t="s">
        <v>91</v>
      </c>
      <c r="G255" s="12"/>
      <c r="H255" s="12" t="str">
        <f>RIGHT(H254,LEN(H254)-11)</f>
        <v>Scooter, gasoline, &lt;4kW, EURO-3</v>
      </c>
    </row>
    <row r="256" spans="1:8"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9.0048187499999999E-5</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road maintenance</v>
      </c>
      <c r="B257" s="16">
        <f>INDEX('vehicles specifications'!$B$3:$CK$86,MATCH(B232,'vehicles specifications'!$A$3:$A$86,0),MATCH(G257,'vehicles specifications'!$B$2:$CK$2,0))*INDEX('ei names mapping'!$B$137:$BK$220,MATCH(B232,'ei names mapping'!$A$137:$A$220,0),MATCH(G257,'ei names mapping'!$B$136:$BK$136,0))</f>
        <v>1.2899999999999999E-3</v>
      </c>
      <c r="C257" s="12" t="str">
        <f>INDEX('ei names mapping'!$B$38:$R$67,MATCH(B229,'ei names mapping'!$A$4:$A$33,0),MATCH(G257,'ei names mapping'!$B$3:$R$3,0))</f>
        <v>CH</v>
      </c>
      <c r="D257" s="12" t="str">
        <f>INDEX('ei names mapping'!$B$104:$BK$133,MATCH(B229,'ei names mapping'!$A$4:$A$33,0),MATCH(G257,'ei names mapping'!$B$3:$BK$3,0))</f>
        <v>meter-year</v>
      </c>
      <c r="E257" s="12"/>
      <c r="F257" s="12" t="s">
        <v>91</v>
      </c>
      <c r="G257" s="21" t="s">
        <v>117</v>
      </c>
      <c r="H257" s="12" t="str">
        <f>INDEX('ei names mapping'!$B$71:$BK$100,MATCH(B229,'ei names mapping'!$A$4:$A$33,0),MATCH(G257,'ei names mapping'!$B$3:$BK$3,0))</f>
        <v>road maintenance</v>
      </c>
    </row>
    <row r="258" spans="1:8" x14ac:dyDescent="0.3">
      <c r="A258" s="12" t="str">
        <f>INDEX('ei names mapping'!$B$4:$R$33,MATCH(B229,'ei names mapping'!$A$4:$A$33,0),MATCH(G258,'ei names mapping'!$B$3:$R$3,0))</f>
        <v>maintenance, motor scooter</v>
      </c>
      <c r="B258" s="16">
        <f>INDEX('vehicles specifications'!$B$3:$CK$86,MATCH(B232,'vehicles specifications'!$A$3:$A$86,0),MATCH(G258,'vehicles specifications'!$B$2:$CK$2,0))*INDEX('ei names mapping'!$B$137:$BK$220,MATCH(B232,'ei names mapping'!$A$137:$A$220,0),MATCH(G258,'ei names mapping'!$B$136:$BK$136,0))</f>
        <v>2.9940119760479042E-5</v>
      </c>
      <c r="C258" s="12" t="str">
        <f>INDEX('ei names mapping'!$B$38:$BK$67,MATCH(B229,'ei names mapping'!$A$4:$A$33,0),MATCH(G258,'ei names mapping'!$B$3:$BK$3,0))</f>
        <v>CH</v>
      </c>
      <c r="D258" s="12" t="str">
        <f>INDEX('ei names mapping'!$B$104:$BK$133,MATCH(B229,'ei names mapping'!$A$4:$A$33,0),MATCH(G258,'ei names mapping'!$B$3:$BK$3,0))</f>
        <v>unit</v>
      </c>
      <c r="F258" s="12" t="s">
        <v>91</v>
      </c>
      <c r="G258" s="12" t="s">
        <v>123</v>
      </c>
      <c r="H258" s="12" t="str">
        <f>INDEX('ei names mapping'!$B$71:$BK$100,MATCH(B229,'ei names mapping'!$A$4:$A$33,0),MATCH(G258,'ei names mapping'!$B$3:$BK$3,0))</f>
        <v>maintenance, motor scooter</v>
      </c>
    </row>
    <row r="259" spans="1:8" x14ac:dyDescent="0.3">
      <c r="A259" s="12" t="str">
        <f>INDEX('ei names mapping'!$B$4:$R$33,MATCH(B229,'ei names mapping'!$A$4:$A$33,0),MATCH(G259,'ei names mapping'!$B$3:$R$3,0))</f>
        <v>petrol blending for two-stroke engines</v>
      </c>
      <c r="B259" s="16">
        <f>INDEX('vehicles specifications'!$B$3:$CK$86,MATCH(B232,'vehicles specifications'!$A$3:$A$86,0),MATCH(G259,'vehicles specifications'!$B$2:$CK$2,0))*INDEX('ei names mapping'!$B$137:$BK$220,MATCH(B232,'ei names mapping'!$A$137:$A$220,0),MATCH(G259,'ei names mapping'!$B$136:$BK$136,0))</f>
        <v>3.2538593385817237E-2</v>
      </c>
      <c r="C259" s="12" t="str">
        <f>INDEX('ei names mapping'!$B$38:$BK$67,MATCH(B229,'ei names mapping'!$A$4:$A$33,0),MATCH(G259,'ei names mapping'!$B$3:$BK$3,0))</f>
        <v>CH</v>
      </c>
      <c r="D259" s="12" t="str">
        <f>INDEX('ei names mapping'!$B$104:$BK$133,MATCH(B229,'ei names mapping'!$A$4:$A$33,0),MATCH(G259,'ei names mapping'!$B$3:$BK$3,0))</f>
        <v>kilogram</v>
      </c>
      <c r="F259" s="12" t="s">
        <v>91</v>
      </c>
      <c r="G259" s="12" t="s">
        <v>27</v>
      </c>
      <c r="H259" s="12" t="str">
        <f>INDEX('ei names mapping'!$B$71:$BK$100,MATCH(B229,'ei names mapping'!$A$4:$A$33,0),MATCH(G259,'ei names mapping'!$B$3:$BK$3,0))</f>
        <v>petrol, two-stroke blend</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0.10347272696689881</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s="21"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5.206174941730758E-7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s="2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8.3884891813930333E-5</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s="21"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3.8035897892412742E-5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s="21"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4.0219096360171094E-3</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s="21"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1.9297766561345895E-6</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s="21"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1.9297766561345895E-6</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s="21"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1.4471531938501332E-4</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1.1082707336180945E-5</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6.764621222214276E-4</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4.7699252207921172E-5</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9.7192833652503956E-6</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7.8352376667557047E-5</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3.2148398823520539E-5</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2.4073917258543288E-5</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1.7046127748285311E-5</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1.1065030292746605E-5</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1.0915502856358137E-4</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5.711948070039463E-5</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1.6448018002731441E-6</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1.6418112515453746E-4</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8.1193397958937932E-5</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3.3793200623793681E-5</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2.5419664186039499E-5</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1.1214557729135072E-5</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3.2896036005462881E-6</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9.1211736196965272E-6</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0</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2.8410212913808851E-6</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1.5102271075235228E-5</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4.8011345312641045E-8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4.138909078675952E-10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2.7592727191173013E-10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2.9800145366466856E-6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5.7944727101463327E-8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1.7935272674262461E-8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2.2074181752938417E-8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4.414836350587682E-11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1.2002836328160261E-8</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1.4900072683233429E-8</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s="21"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-6.3939999999999993E-6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s="2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-6.1789999999999996E-6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s="21"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Scooter, gasoline, &lt;4kW, EURO-4, 2016</v>
      </c>
    </row>
    <row r="305" spans="1:2" x14ac:dyDescent="0.3">
      <c r="A305" s="21" t="s">
        <v>73</v>
      </c>
      <c r="B305" s="21" t="s">
        <v>37</v>
      </c>
    </row>
    <row r="306" spans="1:2" x14ac:dyDescent="0.3">
      <c r="A306" s="21" t="s">
        <v>87</v>
      </c>
      <c r="B306" s="21" t="s">
        <v>676</v>
      </c>
    </row>
    <row r="307" spans="1:2" x14ac:dyDescent="0.3">
      <c r="A307" s="21" t="s">
        <v>88</v>
      </c>
      <c r="B307" s="12"/>
    </row>
    <row r="308" spans="1:2" x14ac:dyDescent="0.3">
      <c r="A308" s="21" t="s">
        <v>89</v>
      </c>
      <c r="B308" s="12">
        <v>2016</v>
      </c>
    </row>
    <row r="309" spans="1:2" x14ac:dyDescent="0.3">
      <c r="A309" s="21" t="s">
        <v>131</v>
      </c>
      <c r="B309" s="12" t="str">
        <f>B306&amp;" - "&amp;B308&amp;" - "&amp;B305</f>
        <v>Scooter, gasoline, &lt;4kW, EURO-4 - 2016 - CH</v>
      </c>
    </row>
    <row r="310" spans="1:2" x14ac:dyDescent="0.3">
      <c r="A310" s="21" t="s">
        <v>74</v>
      </c>
      <c r="B310" s="12" t="str">
        <f>"transport, "&amp;B306</f>
        <v>transport, Scooter, gasoline, &lt;4kW, EURO-4</v>
      </c>
    </row>
    <row r="311" spans="1:2" x14ac:dyDescent="0.3">
      <c r="A311" s="21" t="s">
        <v>75</v>
      </c>
      <c r="B311" s="21" t="s">
        <v>76</v>
      </c>
    </row>
    <row r="312" spans="1:2" x14ac:dyDescent="0.3">
      <c r="A312" s="21" t="s">
        <v>77</v>
      </c>
      <c r="B312" s="21" t="s">
        <v>172</v>
      </c>
    </row>
    <row r="313" spans="1:2" x14ac:dyDescent="0.3">
      <c r="A313" s="21" t="s">
        <v>79</v>
      </c>
      <c r="B313" s="21" t="s">
        <v>90</v>
      </c>
    </row>
    <row r="314" spans="1:2" x14ac:dyDescent="0.3">
      <c r="A314" s="21" t="s">
        <v>132</v>
      </c>
      <c r="B314" s="21">
        <f>INDEX('vehicles specifications'!$B$3:$CK$86,MATCH(B309,'vehicles specifications'!$A$3:$A$86,0),MATCH("Lifetime [km]",'vehicles specifications'!$B$2:$CK$2,0))</f>
        <v>33400</v>
      </c>
    </row>
    <row r="315" spans="1:2" x14ac:dyDescent="0.3">
      <c r="A315" s="21" t="s">
        <v>133</v>
      </c>
      <c r="B315" s="21">
        <f>INDEX('vehicles specifications'!$B$3:$CK$86,MATCH(B309,'vehicles specifications'!$A$3:$A$86,0),MATCH("Passengers [unit]",'vehicles specifications'!$B$2:$CK$2,0))</f>
        <v>1</v>
      </c>
    </row>
    <row r="316" spans="1:2" x14ac:dyDescent="0.3">
      <c r="A316" s="21" t="s">
        <v>134</v>
      </c>
      <c r="B316" s="21">
        <f>INDEX('vehicles specifications'!$B$3:$CK$86,MATCH(B309,'vehicles specifications'!$A$3:$A$86,0),MATCH("Servicing [unit]",'vehicles specifications'!$B$2:$CK$2,0))</f>
        <v>1</v>
      </c>
    </row>
    <row r="317" spans="1:2" x14ac:dyDescent="0.3">
      <c r="A317" s="21" t="s">
        <v>135</v>
      </c>
      <c r="B317" s="21">
        <f>INDEX('vehicles specifications'!$B$3:$CK$86,MATCH(B309,'vehicles specifications'!$A$3:$A$86,0),MATCH("Energy battery replacement [unit]",'vehicles specifications'!$B$2:$CK$2,0))</f>
        <v>0</v>
      </c>
    </row>
    <row r="318" spans="1:2" x14ac:dyDescent="0.3">
      <c r="A318" s="21" t="s">
        <v>136</v>
      </c>
      <c r="B318" s="21">
        <f>INDEX('vehicles specifications'!$B$3:$CK$86,MATCH(B309,'vehicles specifications'!$A$3:$A$86,0),MATCH("Annual kilometers [km]",'vehicles specifications'!$B$2:$CK$2,0))</f>
        <v>2553</v>
      </c>
    </row>
    <row r="319" spans="1:2" x14ac:dyDescent="0.3">
      <c r="A319" s="21" t="s">
        <v>137</v>
      </c>
      <c r="B319" s="2">
        <f>INDEX('vehicles specifications'!$B$3:$CK$86,MATCH(B309,'vehicles specifications'!$A$3:$A$86,0),MATCH("Curb mass [kg]",'vehicles specifications'!$B$2:$CK$2,0))</f>
        <v>92.097499999999997</v>
      </c>
    </row>
    <row r="320" spans="1:2" x14ac:dyDescent="0.3">
      <c r="A320" s="21" t="s">
        <v>138</v>
      </c>
      <c r="B320" s="21">
        <f>INDEX('vehicles specifications'!$B$3:$CK$86,MATCH(B309,'vehicles specifications'!$A$3:$A$86,0),MATCH("Power [kW]",'vehicles specifications'!$B$2:$CK$2,0))</f>
        <v>2.8</v>
      </c>
    </row>
    <row r="321" spans="1:8" x14ac:dyDescent="0.3">
      <c r="A321" s="21" t="s">
        <v>139</v>
      </c>
      <c r="B321" s="21">
        <f>INDEX('vehicles specifications'!$B$3:$CK$86,MATCH(B309,'vehicles specifications'!$A$3:$A$86,0),MATCH("Energy battery mass [kg]",'vehicles specifications'!$B$2:$CK$2,0))</f>
        <v>0</v>
      </c>
    </row>
    <row r="322" spans="1:8" x14ac:dyDescent="0.3">
      <c r="A322" s="21" t="s">
        <v>140</v>
      </c>
      <c r="B322" s="21">
        <f>INDEX('vehicles specifications'!$B$3:$CK$86,MATCH(B309,'vehicles specifications'!$A$3:$A$86,0),MATCH("Electric energy available [kWh]",'vehicles specifications'!$B$2:$CK$2,0))</f>
        <v>0</v>
      </c>
    </row>
    <row r="323" spans="1:8" x14ac:dyDescent="0.3">
      <c r="A323" s="21" t="s">
        <v>143</v>
      </c>
      <c r="B323" s="2">
        <f>INDEX('vehicles specifications'!$B$3:$CK$86,MATCH(B309,'vehicles specifications'!$A$3:$A$86,0),MATCH("Oxydation energy stored [kWh]",'vehicles specifications'!$B$2:$CK$2,0))</f>
        <v>61.833333333333329</v>
      </c>
    </row>
    <row r="324" spans="1:8" x14ac:dyDescent="0.3">
      <c r="A324" s="21" t="s">
        <v>145</v>
      </c>
      <c r="B324" s="21">
        <f>INDEX('vehicles specifications'!$B$3:$CK$86,MATCH(B309,'vehicles specifications'!$A$3:$A$86,0),MATCH("Fuel mass [kg]",'vehicles specifications'!$B$2:$CK$2,0))</f>
        <v>5.25</v>
      </c>
    </row>
    <row r="325" spans="1:8" x14ac:dyDescent="0.3">
      <c r="A325" s="21" t="s">
        <v>141</v>
      </c>
      <c r="B325" s="2">
        <f>INDEX('vehicles specifications'!$B$3:$CK$86,MATCH(B309,'vehicles specifications'!$A$3:$A$86,0),MATCH("Range [km]",'vehicles specifications'!$B$2:$CK$2,0))</f>
        <v>171.02767578224956</v>
      </c>
    </row>
    <row r="326" spans="1:8" x14ac:dyDescent="0.3">
      <c r="A326" s="21" t="s">
        <v>142</v>
      </c>
      <c r="B326" s="21" t="str">
        <f>INDEX('vehicles specifications'!$B$3:$CK$86,MATCH(B309,'vehicles specifications'!$A$3:$A$86,0),MATCH("Emission standard",'vehicles specifications'!$B$2:$CK$2,0))</f>
        <v>EURO-4</v>
      </c>
    </row>
    <row r="327" spans="1:8" x14ac:dyDescent="0.3">
      <c r="A327" s="21" t="s">
        <v>144</v>
      </c>
      <c r="B327" s="6">
        <f>INDEX('vehicles specifications'!$B$3:$CK$86,MATCH(B309,'vehicles specifications'!$A$3:$A$86,0),MATCH("Lightweighting rate [%]",'vehicles specifications'!$B$2:$CK$2,0))</f>
        <v>-0.02</v>
      </c>
    </row>
    <row r="328" spans="1:8" x14ac:dyDescent="0.3">
      <c r="A328" s="21"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2.8 kW. Lifetime: 33400 km. Annual kilometers: 2553 km. Number of passengers: 1. Curb mass: 92.1 kg. Lightweighting of glider: -2%. Emission standard: EURO-4. Service visits throughout lifetime: 1. Range: 171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s="21" t="s">
        <v>81</v>
      </c>
      <c r="B330" s="21" t="s">
        <v>82</v>
      </c>
      <c r="C330" s="21" t="s">
        <v>73</v>
      </c>
      <c r="D330" s="21" t="s">
        <v>77</v>
      </c>
      <c r="E330" s="21" t="s">
        <v>83</v>
      </c>
      <c r="F330" s="21" t="s">
        <v>75</v>
      </c>
      <c r="G330" s="21" t="s">
        <v>84</v>
      </c>
      <c r="H330" s="21" t="s">
        <v>74</v>
      </c>
    </row>
    <row r="331" spans="1:8" x14ac:dyDescent="0.3">
      <c r="A331" s="12" t="str">
        <f>B304</f>
        <v>transport, Scooter, gasoline, &lt;4kW, EURO-4, 2016</v>
      </c>
      <c r="B331" s="12">
        <v>1</v>
      </c>
      <c r="C331" s="12" t="str">
        <f>B305</f>
        <v>CH</v>
      </c>
      <c r="D331" s="12" t="s">
        <v>172</v>
      </c>
      <c r="E331" s="12"/>
      <c r="F331" s="12" t="s">
        <v>85</v>
      </c>
      <c r="G331" s="12" t="s">
        <v>86</v>
      </c>
      <c r="H331" s="12" t="str">
        <f>B310</f>
        <v>transport, Scooter, gasoline, &lt;4kW, EURO-4</v>
      </c>
    </row>
    <row r="332" spans="1:8" x14ac:dyDescent="0.3">
      <c r="A332" s="12" t="str">
        <f>RIGHT(A331,LEN(A331)-11)</f>
        <v>Scooter, gasoline, &lt;4kW, EURO-4, 2016</v>
      </c>
      <c r="B332" s="12">
        <f>1/B314</f>
        <v>2.9940119760479042E-5</v>
      </c>
      <c r="C332" s="12" t="str">
        <f>B305</f>
        <v>CH</v>
      </c>
      <c r="D332" s="12" t="s">
        <v>77</v>
      </c>
      <c r="E332" s="12"/>
      <c r="F332" s="12" t="s">
        <v>91</v>
      </c>
      <c r="G332" s="12"/>
      <c r="H332" s="12" t="str">
        <f>RIGHT(H331,LEN(H331)-11)</f>
        <v>Scooter, gasoline, &lt;4kW, EURO-4</v>
      </c>
    </row>
    <row r="333" spans="1:8"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8.9194357499999995E-5</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road maintenance</v>
      </c>
      <c r="B334" s="16">
        <f>INDEX('vehicles specifications'!$B$3:$CK$86,MATCH(B309,'vehicles specifications'!$A$3:$A$86,0),MATCH(G334,'vehicles specifications'!$B$2:$CK$2,0))*INDEX('ei names mapping'!$B$137:$BK$220,MATCH(B309,'ei names mapping'!$A$137:$A$220,0),MATCH(G334,'ei names mapping'!$B$136:$BK$136,0))</f>
        <v>1.2899999999999999E-3</v>
      </c>
      <c r="C334" s="12" t="str">
        <f>INDEX('ei names mapping'!$B$38:$R$67,MATCH(B306,'ei names mapping'!$A$4:$A$33,0),MATCH(G334,'ei names mapping'!$B$3:$R$3,0))</f>
        <v>CH</v>
      </c>
      <c r="D334" s="12" t="str">
        <f>INDEX('ei names mapping'!$B$104:$BK$133,MATCH(B306,'ei names mapping'!$A$4:$A$33,0),MATCH(G334,'ei names mapping'!$B$3:$BK$3,0))</f>
        <v>meter-year</v>
      </c>
      <c r="E334" s="12"/>
      <c r="F334" s="12" t="s">
        <v>91</v>
      </c>
      <c r="G334" s="21" t="s">
        <v>117</v>
      </c>
      <c r="H334" s="12" t="str">
        <f>INDEX('ei names mapping'!$B$71:$BK$100,MATCH(B306,'ei names mapping'!$A$4:$A$33,0),MATCH(G334,'ei names mapping'!$B$3:$BK$3,0))</f>
        <v>road maintenance</v>
      </c>
    </row>
    <row r="335" spans="1:8" x14ac:dyDescent="0.3">
      <c r="A335" s="12" t="str">
        <f>INDEX('ei names mapping'!$B$4:$R$33,MATCH(B306,'ei names mapping'!$A$4:$A$33,0),MATCH(G335,'ei names mapping'!$B$3:$R$3,0))</f>
        <v>maintenance, motor scooter</v>
      </c>
      <c r="B335" s="16">
        <f>INDEX('vehicles specifications'!$B$3:$CK$86,MATCH(B309,'vehicles specifications'!$A$3:$A$86,0),MATCH(G335,'vehicles specifications'!$B$2:$CK$2,0))*INDEX('ei names mapping'!$B$137:$BK$220,MATCH(B309,'ei names mapping'!$A$137:$A$220,0),MATCH(G335,'ei names mapping'!$B$136:$BK$136,0))</f>
        <v>2.9940119760479042E-5</v>
      </c>
      <c r="C335" s="12" t="str">
        <f>INDEX('ei names mapping'!$B$38:$BK$67,MATCH(B306,'ei names mapping'!$A$4:$A$33,0),MATCH(G335,'ei names mapping'!$B$3:$BK$3,0))</f>
        <v>CH</v>
      </c>
      <c r="D335" s="12" t="str">
        <f>INDEX('ei names mapping'!$B$104:$BK$133,MATCH(B306,'ei names mapping'!$A$4:$A$33,0),MATCH(G335,'ei names mapping'!$B$3:$BK$3,0))</f>
        <v>unit</v>
      </c>
      <c r="F335" s="12" t="s">
        <v>91</v>
      </c>
      <c r="G335" s="12" t="s">
        <v>123</v>
      </c>
      <c r="H335" s="12" t="str">
        <f>INDEX('ei names mapping'!$B$71:$BK$100,MATCH(B306,'ei names mapping'!$A$4:$A$33,0),MATCH(G335,'ei names mapping'!$B$3:$BK$3,0))</f>
        <v>maintenance, motor scooter</v>
      </c>
    </row>
    <row r="336" spans="1:8" x14ac:dyDescent="0.3">
      <c r="A336" s="12" t="str">
        <f>INDEX('ei names mapping'!$B$4:$R$33,MATCH(B306,'ei names mapping'!$A$4:$A$33,0),MATCH(G336,'ei names mapping'!$B$3:$R$3,0))</f>
        <v>petrol blending for two-stroke engines</v>
      </c>
      <c r="B336" s="16">
        <f>INDEX('vehicles specifications'!$B$3:$CK$86,MATCH(B309,'vehicles specifications'!$A$3:$A$86,0),MATCH(G336,'vehicles specifications'!$B$2:$CK$2,0))*INDEX('ei names mapping'!$B$137:$BK$220,MATCH(B309,'ei names mapping'!$A$137:$A$220,0),MATCH(G336,'ei names mapping'!$B$136:$BK$136,0))</f>
        <v>3.0696786213035128E-2</v>
      </c>
      <c r="C336" s="12" t="str">
        <f>INDEX('ei names mapping'!$B$38:$BK$67,MATCH(B306,'ei names mapping'!$A$4:$A$33,0),MATCH(G336,'ei names mapping'!$B$3:$BK$3,0))</f>
        <v>CH</v>
      </c>
      <c r="D336" s="12" t="str">
        <f>INDEX('ei names mapping'!$B$104:$BK$133,MATCH(B306,'ei names mapping'!$A$4:$A$33,0),MATCH(G336,'ei names mapping'!$B$3:$BK$3,0))</f>
        <v>kilogram</v>
      </c>
      <c r="F336" s="12" t="s">
        <v>91</v>
      </c>
      <c r="G336" s="12" t="s">
        <v>27</v>
      </c>
      <c r="H336" s="12" t="str">
        <f>INDEX('ei names mapping'!$B$71:$BK$100,MATCH(B306,'ei names mapping'!$A$4:$A$33,0),MATCH(G336,'ei names mapping'!$B$3:$BK$3,0))</f>
        <v>petrol, two-stroke blend</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9.7615780157451718E-2</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s="21"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4.9114857940856198E-7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s="21"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7.9136690390500312E-5</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s="21"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3.588292254001202E-5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s="21"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3.7942543736010467E-3</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s="2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1.8205440152213105E-6</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s="21"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1.8205440152213105E-6</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s="21"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1.3652388621227673E-4</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1.0455384279415984E-5</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6.3817181341644107E-4</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4.499929453577469E-5</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9.169135250236222E-6</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7.3917336478827389E-5</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3.0328678135396732E-5</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2.2711242696738953E-5</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1.6081252592721991E-5</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1.0438707823345854E-5</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1.029764420411145E-4</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5.3886302547542099E-5</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1.5516998115784377E-6</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1.5488785391937494E-4</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7.6597545244281066E-5</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3.1880377946975169E-5</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2.3980815269848583E-5</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1.0579771442580255E-5</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3.1033996231568754E-6</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8.6048807732986105E-6</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2.680208765453665E-6</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1.4247425542674743E-5</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4.5293721993057591E-8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3.9046312062980679E-10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2.6030874708653786E-10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2.8113344685346088E-6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5.4664836888172948E-8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1.6920068560624963E-8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2.0824699766923036E-8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4.1649399533846058E-11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1.1323430498264398E-8</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1.4056672342673046E-8</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s="21"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-6.3939999999999993E-6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s="21"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-6.1789999999999996E-6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s="21"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Scooter, gasoline, &lt;4kW, EURO-5, 2020</v>
      </c>
    </row>
    <row r="382" spans="1:8" x14ac:dyDescent="0.3">
      <c r="A382" s="21" t="s">
        <v>73</v>
      </c>
      <c r="B382" s="21" t="s">
        <v>37</v>
      </c>
    </row>
    <row r="383" spans="1:8" x14ac:dyDescent="0.3">
      <c r="A383" s="21" t="s">
        <v>87</v>
      </c>
      <c r="B383" s="21" t="s">
        <v>677</v>
      </c>
    </row>
    <row r="384" spans="1:8" x14ac:dyDescent="0.3">
      <c r="A384" s="21" t="s">
        <v>88</v>
      </c>
      <c r="B384" s="12"/>
    </row>
    <row r="385" spans="1:2" x14ac:dyDescent="0.3">
      <c r="A385" s="21" t="s">
        <v>89</v>
      </c>
      <c r="B385" s="12">
        <v>2020</v>
      </c>
    </row>
    <row r="386" spans="1:2" x14ac:dyDescent="0.3">
      <c r="A386" s="21" t="s">
        <v>131</v>
      </c>
      <c r="B386" s="12" t="str">
        <f>B383&amp;" - "&amp;B385&amp;" - "&amp;B382</f>
        <v>Scooter, gasoline, &lt;4kW, EURO-5 - 2020 - CH</v>
      </c>
    </row>
    <row r="387" spans="1:2" x14ac:dyDescent="0.3">
      <c r="A387" s="21" t="s">
        <v>74</v>
      </c>
      <c r="B387" s="12" t="str">
        <f>"transport, "&amp;B383</f>
        <v>transport, Scooter, gasoline, &lt;4kW, EURO-5</v>
      </c>
    </row>
    <row r="388" spans="1:2" x14ac:dyDescent="0.3">
      <c r="A388" s="21" t="s">
        <v>75</v>
      </c>
      <c r="B388" s="21" t="s">
        <v>76</v>
      </c>
    </row>
    <row r="389" spans="1:2" x14ac:dyDescent="0.3">
      <c r="A389" s="21" t="s">
        <v>77</v>
      </c>
      <c r="B389" s="21" t="s">
        <v>172</v>
      </c>
    </row>
    <row r="390" spans="1:2" x14ac:dyDescent="0.3">
      <c r="A390" s="21" t="s">
        <v>79</v>
      </c>
      <c r="B390" s="21" t="s">
        <v>90</v>
      </c>
    </row>
    <row r="391" spans="1:2" x14ac:dyDescent="0.3">
      <c r="A391" s="21" t="s">
        <v>132</v>
      </c>
      <c r="B391" s="21">
        <f>INDEX('vehicles specifications'!$B$3:$CK$86,MATCH(B386,'vehicles specifications'!$A$3:$A$86,0),MATCH("Lifetime [km]",'vehicles specifications'!$B$2:$CK$2,0))</f>
        <v>33400</v>
      </c>
    </row>
    <row r="392" spans="1:2" x14ac:dyDescent="0.3">
      <c r="A392" s="21" t="s">
        <v>133</v>
      </c>
      <c r="B392" s="21">
        <f>INDEX('vehicles specifications'!$B$3:$CK$86,MATCH(B386,'vehicles specifications'!$A$3:$A$86,0),MATCH("Passengers [unit]",'vehicles specifications'!$B$2:$CK$2,0))</f>
        <v>1</v>
      </c>
    </row>
    <row r="393" spans="1:2" x14ac:dyDescent="0.3">
      <c r="A393" s="21" t="s">
        <v>134</v>
      </c>
      <c r="B393" s="21">
        <f>INDEX('vehicles specifications'!$B$3:$CK$86,MATCH(B386,'vehicles specifications'!$A$3:$A$86,0),MATCH("Servicing [unit]",'vehicles specifications'!$B$2:$CK$2,0))</f>
        <v>1</v>
      </c>
    </row>
    <row r="394" spans="1:2" x14ac:dyDescent="0.3">
      <c r="A394" s="21" t="s">
        <v>135</v>
      </c>
      <c r="B394" s="21">
        <f>INDEX('vehicles specifications'!$B$3:$CK$86,MATCH(B386,'vehicles specifications'!$A$3:$A$86,0),MATCH("Energy battery replacement [unit]",'vehicles specifications'!$B$2:$CK$2,0))</f>
        <v>0</v>
      </c>
    </row>
    <row r="395" spans="1:2" x14ac:dyDescent="0.3">
      <c r="A395" s="21" t="s">
        <v>136</v>
      </c>
      <c r="B395" s="21">
        <f>INDEX('vehicles specifications'!$B$3:$CK$86,MATCH(B386,'vehicles specifications'!$A$3:$A$86,0),MATCH("Annual kilometers [km]",'vehicles specifications'!$B$2:$CK$2,0))</f>
        <v>2553</v>
      </c>
    </row>
    <row r="396" spans="1:2" x14ac:dyDescent="0.3">
      <c r="A396" s="21" t="s">
        <v>137</v>
      </c>
      <c r="B396" s="2">
        <f>INDEX('vehicles specifications'!$B$3:$CK$86,MATCH(B386,'vehicles specifications'!$A$3:$A$86,0),MATCH("Curb mass [kg]",'vehicles specifications'!$B$2:$CK$2,0))</f>
        <v>91.037499999999994</v>
      </c>
    </row>
    <row r="397" spans="1:2" x14ac:dyDescent="0.3">
      <c r="A397" s="21" t="s">
        <v>138</v>
      </c>
      <c r="B397" s="21">
        <f>INDEX('vehicles specifications'!$B$3:$CK$86,MATCH(B386,'vehicles specifications'!$A$3:$A$86,0),MATCH("Power [kW]",'vehicles specifications'!$B$2:$CK$2,0))</f>
        <v>2.8</v>
      </c>
    </row>
    <row r="398" spans="1:2" x14ac:dyDescent="0.3">
      <c r="A398" s="21" t="s">
        <v>139</v>
      </c>
      <c r="B398" s="21">
        <f>INDEX('vehicles specifications'!$B$3:$CK$86,MATCH(B386,'vehicles specifications'!$A$3:$A$86,0),MATCH("Energy battery mass [kg]",'vehicles specifications'!$B$2:$CK$2,0))</f>
        <v>0</v>
      </c>
    </row>
    <row r="399" spans="1:2" x14ac:dyDescent="0.3">
      <c r="A399" s="21" t="s">
        <v>140</v>
      </c>
      <c r="B399" s="21">
        <f>INDEX('vehicles specifications'!$B$3:$CK$86,MATCH(B386,'vehicles specifications'!$A$3:$A$86,0),MATCH("Electric energy available [kWh]",'vehicles specifications'!$B$2:$CK$2,0))</f>
        <v>0</v>
      </c>
    </row>
    <row r="400" spans="1:2" x14ac:dyDescent="0.3">
      <c r="A400" s="21" t="s">
        <v>143</v>
      </c>
      <c r="B400" s="2">
        <f>INDEX('vehicles specifications'!$B$3:$CK$86,MATCH(B386,'vehicles specifications'!$A$3:$A$86,0),MATCH("Oxydation energy stored [kWh]",'vehicles specifications'!$B$2:$CK$2,0))</f>
        <v>61.833333333333329</v>
      </c>
    </row>
    <row r="401" spans="1:8" x14ac:dyDescent="0.3">
      <c r="A401" s="21" t="s">
        <v>145</v>
      </c>
      <c r="B401" s="21">
        <f>INDEX('vehicles specifications'!$B$3:$CK$86,MATCH(B386,'vehicles specifications'!$A$3:$A$86,0),MATCH("Fuel mass [kg]",'vehicles specifications'!$B$2:$CK$2,0))</f>
        <v>5.25</v>
      </c>
    </row>
    <row r="402" spans="1:8" x14ac:dyDescent="0.3">
      <c r="A402" s="21" t="s">
        <v>141</v>
      </c>
      <c r="B402" s="2">
        <f>INDEX('vehicles specifications'!$B$3:$CK$86,MATCH(B386,'vehicles specifications'!$A$3:$A$86,0),MATCH("Range [km]",'vehicles specifications'!$B$2:$CK$2,0))</f>
        <v>172.75522806287836</v>
      </c>
    </row>
    <row r="403" spans="1:8" x14ac:dyDescent="0.3">
      <c r="A403" s="21" t="s">
        <v>142</v>
      </c>
      <c r="B403" s="21" t="str">
        <f>INDEX('vehicles specifications'!$B$3:$CK$86,MATCH(B386,'vehicles specifications'!$A$3:$A$86,0),MATCH("Emission standard",'vehicles specifications'!$B$2:$CK$2,0))</f>
        <v>EURO-5</v>
      </c>
    </row>
    <row r="404" spans="1:8" x14ac:dyDescent="0.3">
      <c r="A404" s="21" t="s">
        <v>144</v>
      </c>
      <c r="B404" s="6">
        <f>INDEX('vehicles specifications'!$B$3:$CK$86,MATCH(B386,'vehicles specifications'!$A$3:$A$86,0),MATCH("Lightweighting rate [%]",'vehicles specifications'!$B$2:$CK$2,0))</f>
        <v>0</v>
      </c>
    </row>
    <row r="405" spans="1:8" x14ac:dyDescent="0.3">
      <c r="A405" s="21"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2.8 kW. Lifetime: 33400 km. Annual kilometers: 2553 km. Number of passengers: 1. Curb mass: 91 kg. Lightweighting of glider: 0%. Emission standard: EURO-5. Service visits throughout lifetime: 1. Range: 173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s="21" t="s">
        <v>81</v>
      </c>
      <c r="B407" s="21" t="s">
        <v>82</v>
      </c>
      <c r="C407" s="21" t="s">
        <v>73</v>
      </c>
      <c r="D407" s="21" t="s">
        <v>77</v>
      </c>
      <c r="E407" s="21" t="s">
        <v>83</v>
      </c>
      <c r="F407" s="21" t="s">
        <v>75</v>
      </c>
      <c r="G407" s="21" t="s">
        <v>84</v>
      </c>
      <c r="H407" s="21" t="s">
        <v>74</v>
      </c>
    </row>
    <row r="408" spans="1:8" x14ac:dyDescent="0.3">
      <c r="A408" s="12" t="str">
        <f>B381</f>
        <v>transport, Scooter, gasoline, &lt;4kW, EURO-5, 2020</v>
      </c>
      <c r="B408" s="12">
        <v>1</v>
      </c>
      <c r="C408" s="12" t="str">
        <f>B382</f>
        <v>CH</v>
      </c>
      <c r="D408" s="12" t="s">
        <v>172</v>
      </c>
      <c r="E408" s="12"/>
      <c r="F408" s="12" t="s">
        <v>85</v>
      </c>
      <c r="G408" s="12" t="s">
        <v>86</v>
      </c>
      <c r="H408" s="12" t="str">
        <f>B387</f>
        <v>transport, Scooter, gasoline, &lt;4kW, EURO-5</v>
      </c>
    </row>
    <row r="409" spans="1:8" x14ac:dyDescent="0.3">
      <c r="A409" s="12" t="str">
        <f>RIGHT(A408,LEN(A408)-11)</f>
        <v>Scooter, gasoline, &lt;4kW, EURO-5, 2020</v>
      </c>
      <c r="B409" s="12">
        <f>1/B391</f>
        <v>2.9940119760479042E-5</v>
      </c>
      <c r="C409" s="12" t="str">
        <f>B382</f>
        <v>CH</v>
      </c>
      <c r="D409" s="12" t="s">
        <v>77</v>
      </c>
      <c r="E409" s="12"/>
      <c r="F409" s="12" t="s">
        <v>91</v>
      </c>
      <c r="G409" s="12"/>
      <c r="H409" s="12" t="str">
        <f>RIGHT(H408,LEN(H408)-11)</f>
        <v>Scooter, gasoline, &lt;4kW, EURO-5</v>
      </c>
    </row>
    <row r="410" spans="1:8"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8.8625137499999992E-5</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road maintenance</v>
      </c>
      <c r="B411" s="16">
        <f>INDEX('vehicles specifications'!$B$3:$CK$86,MATCH(B386,'vehicles specifications'!$A$3:$A$86,0),MATCH(G411,'vehicles specifications'!$B$2:$CK$2,0))*INDEX('ei names mapping'!$B$137:$BK$220,MATCH(B386,'ei names mapping'!$A$137:$A$220,0),MATCH(G411,'ei names mapping'!$B$136:$BK$136,0))</f>
        <v>1.2899999999999999E-3</v>
      </c>
      <c r="C411" s="12" t="str">
        <f>INDEX('ei names mapping'!$B$38:$R$67,MATCH(B383,'ei names mapping'!$A$4:$A$33,0),MATCH(G411,'ei names mapping'!$B$3:$R$3,0))</f>
        <v>CH</v>
      </c>
      <c r="D411" s="12" t="str">
        <f>INDEX('ei names mapping'!$B$104:$BK$133,MATCH(B383,'ei names mapping'!$A$4:$A$33,0),MATCH(G411,'ei names mapping'!$B$3:$BK$3,0))</f>
        <v>meter-year</v>
      </c>
      <c r="E411" s="12"/>
      <c r="F411" s="12" t="s">
        <v>91</v>
      </c>
      <c r="G411" s="21" t="s">
        <v>117</v>
      </c>
      <c r="H411" s="12" t="str">
        <f>INDEX('ei names mapping'!$B$71:$BK$100,MATCH(B383,'ei names mapping'!$A$4:$A$33,0),MATCH(G411,'ei names mapping'!$B$3:$BK$3,0))</f>
        <v>road maintenance</v>
      </c>
    </row>
    <row r="412" spans="1:8" x14ac:dyDescent="0.3">
      <c r="A412" s="12" t="str">
        <f>INDEX('ei names mapping'!$B$4:$R$33,MATCH(B383,'ei names mapping'!$A$4:$A$33,0),MATCH(G412,'ei names mapping'!$B$3:$R$3,0))</f>
        <v>maintenance, motor scooter</v>
      </c>
      <c r="B412" s="16">
        <f>INDEX('vehicles specifications'!$B$3:$CK$86,MATCH(B386,'vehicles specifications'!$A$3:$A$86,0),MATCH(G412,'vehicles specifications'!$B$2:$CK$2,0))*INDEX('ei names mapping'!$B$137:$BK$220,MATCH(B386,'ei names mapping'!$A$137:$A$220,0),MATCH(G412,'ei names mapping'!$B$136:$BK$136,0))</f>
        <v>2.9940119760479042E-5</v>
      </c>
      <c r="C412" s="12" t="str">
        <f>INDEX('ei names mapping'!$B$38:$BK$67,MATCH(B383,'ei names mapping'!$A$4:$A$33,0),MATCH(G412,'ei names mapping'!$B$3:$BK$3,0))</f>
        <v>CH</v>
      </c>
      <c r="D412" s="12" t="str">
        <f>INDEX('ei names mapping'!$B$104:$BK$133,MATCH(B383,'ei names mapping'!$A$4:$A$33,0),MATCH(G412,'ei names mapping'!$B$3:$BK$3,0))</f>
        <v>unit</v>
      </c>
      <c r="F412" s="12" t="s">
        <v>91</v>
      </c>
      <c r="G412" s="12" t="s">
        <v>123</v>
      </c>
      <c r="H412" s="12" t="str">
        <f>INDEX('ei names mapping'!$B$71:$BK$100,MATCH(B383,'ei names mapping'!$A$4:$A$33,0),MATCH(G412,'ei names mapping'!$B$3:$BK$3,0))</f>
        <v>maintenance, motor scooter</v>
      </c>
    </row>
    <row r="413" spans="1:8" x14ac:dyDescent="0.3">
      <c r="A413" s="12" t="str">
        <f>INDEX('ei names mapping'!$B$4:$R$33,MATCH(B383,'ei names mapping'!$A$4:$A$33,0),MATCH(G413,'ei names mapping'!$B$3:$R$3,0))</f>
        <v>petrol blending for two-stroke engines</v>
      </c>
      <c r="B413" s="16">
        <f>INDEX('vehicles specifications'!$B$3:$CK$86,MATCH(B386,'vehicles specifications'!$A$3:$A$86,0),MATCH(G413,'vehicles specifications'!$B$2:$CK$2,0))*INDEX('ei names mapping'!$B$137:$BK$220,MATCH(B386,'ei names mapping'!$A$137:$A$220,0),MATCH(G413,'ei names mapping'!$B$136:$BK$136,0))</f>
        <v>3.0389818350904773E-2</v>
      </c>
      <c r="C413" s="12" t="str">
        <f>INDEX('ei names mapping'!$B$38:$BK$67,MATCH(B383,'ei names mapping'!$A$4:$A$33,0),MATCH(G413,'ei names mapping'!$B$3:$BK$3,0))</f>
        <v>CH</v>
      </c>
      <c r="D413" s="12" t="str">
        <f>INDEX('ei names mapping'!$B$104:$BK$133,MATCH(B383,'ei names mapping'!$A$4:$A$33,0),MATCH(G413,'ei names mapping'!$B$3:$BK$3,0))</f>
        <v>kilogram</v>
      </c>
      <c r="F413" s="12" t="s">
        <v>91</v>
      </c>
      <c r="G413" s="12" t="s">
        <v>27</v>
      </c>
      <c r="H413" s="12" t="str">
        <f>INDEX('ei names mapping'!$B$71:$BK$100,MATCH(B383,'ei names mapping'!$A$4:$A$33,0),MATCH(G413,'ei names mapping'!$B$3:$BK$3,0))</f>
        <v>petrol, two-stroke blend</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9.6639622355877183E-2</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s="21"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4.8623709361447633E-7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s="21"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7.8345323486595295E-5</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s="21"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3.5524093314611898E-5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s="21"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3.7563118298650361E-3</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s="21"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1.8023385750690973E-6</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s="21"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1.8023385750690973E-6</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s="21"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1.3515864735015395E-4</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1.0350830436621825E-5</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6.3179009528227666E-4</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4.4549301590416936E-5</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9.0774438977338592E-6</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7.3178163114039118E-5</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3.0025391354042764E-5</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2.248413026977156E-5</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1.5920440066794769E-5</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1.0334320745112393E-5</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1.0194667762070334E-4</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5.3347439522066674E-5</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1.5361828134626532E-6</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1.5333897538018121E-4</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7.583156979183825E-5</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3.1561574167505416E-5</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2.3741007117150096E-5</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1.0473973728154453E-5</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3.0723656269253065E-6</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8.5188319655656235E-6</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2.653406677799128E-6</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1.4104951287247996E-5</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4.4840784773127008E-8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3.8655848942350867E-10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2.5770565961567248E-10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2.7832211238492627E-6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5.4118188519291219E-8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1.675086787501871E-8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2.0616452769253802E-8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4.1232905538507593E-11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1.1210196193281752E-8</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1.3916105619246315E-8</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s="21"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-6.3939999999999993E-6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s="21"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-6.1789999999999996E-6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s="21"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Scooter, gasoline, &lt;4kW, EURO-5, 2030</v>
      </c>
    </row>
    <row r="459" spans="1:8" x14ac:dyDescent="0.3">
      <c r="A459" s="21" t="s">
        <v>73</v>
      </c>
      <c r="B459" s="21" t="s">
        <v>37</v>
      </c>
    </row>
    <row r="460" spans="1:8" x14ac:dyDescent="0.3">
      <c r="A460" s="21" t="s">
        <v>87</v>
      </c>
      <c r="B460" s="21" t="s">
        <v>677</v>
      </c>
    </row>
    <row r="461" spans="1:8" x14ac:dyDescent="0.3">
      <c r="A461" s="21" t="s">
        <v>88</v>
      </c>
      <c r="B461" s="12"/>
    </row>
    <row r="462" spans="1:8" x14ac:dyDescent="0.3">
      <c r="A462" s="21" t="s">
        <v>89</v>
      </c>
      <c r="B462" s="12">
        <v>2030</v>
      </c>
    </row>
    <row r="463" spans="1:8" x14ac:dyDescent="0.3">
      <c r="A463" s="21" t="s">
        <v>131</v>
      </c>
      <c r="B463" s="12" t="str">
        <f>B460&amp;" - "&amp;B462&amp;" - "&amp;B459</f>
        <v>Scooter, gasoline, &lt;4kW, EURO-5 - 2030 - CH</v>
      </c>
    </row>
    <row r="464" spans="1:8" x14ac:dyDescent="0.3">
      <c r="A464" s="21" t="s">
        <v>74</v>
      </c>
      <c r="B464" s="12" t="str">
        <f>"transport, "&amp;B460</f>
        <v>transport, Scooter, gasoline, &lt;4kW, EURO-5</v>
      </c>
    </row>
    <row r="465" spans="1:2" x14ac:dyDescent="0.3">
      <c r="A465" s="21" t="s">
        <v>75</v>
      </c>
      <c r="B465" s="21" t="s">
        <v>76</v>
      </c>
    </row>
    <row r="466" spans="1:2" x14ac:dyDescent="0.3">
      <c r="A466" s="21" t="s">
        <v>77</v>
      </c>
      <c r="B466" s="21" t="s">
        <v>172</v>
      </c>
    </row>
    <row r="467" spans="1:2" x14ac:dyDescent="0.3">
      <c r="A467" s="21" t="s">
        <v>79</v>
      </c>
      <c r="B467" s="21" t="s">
        <v>90</v>
      </c>
    </row>
    <row r="468" spans="1:2" x14ac:dyDescent="0.3">
      <c r="A468" s="21" t="s">
        <v>132</v>
      </c>
      <c r="B468" s="21">
        <f>INDEX('vehicles specifications'!$B$3:$CK$86,MATCH(B463,'vehicles specifications'!$A$3:$A$86,0),MATCH("Lifetime [km]",'vehicles specifications'!$B$2:$CK$2,0))</f>
        <v>33400</v>
      </c>
    </row>
    <row r="469" spans="1:2" x14ac:dyDescent="0.3">
      <c r="A469" s="21" t="s">
        <v>133</v>
      </c>
      <c r="B469" s="21">
        <f>INDEX('vehicles specifications'!$B$3:$CK$86,MATCH(B463,'vehicles specifications'!$A$3:$A$86,0),MATCH("Passengers [unit]",'vehicles specifications'!$B$2:$CK$2,0))</f>
        <v>1</v>
      </c>
    </row>
    <row r="470" spans="1:2" x14ac:dyDescent="0.3">
      <c r="A470" s="21" t="s">
        <v>134</v>
      </c>
      <c r="B470" s="21">
        <f>INDEX('vehicles specifications'!$B$3:$CK$86,MATCH(B463,'vehicles specifications'!$A$3:$A$86,0),MATCH("Servicing [unit]",'vehicles specifications'!$B$2:$CK$2,0))</f>
        <v>1</v>
      </c>
    </row>
    <row r="471" spans="1:2" x14ac:dyDescent="0.3">
      <c r="A471" s="21" t="s">
        <v>135</v>
      </c>
      <c r="B471" s="21">
        <f>INDEX('vehicles specifications'!$B$3:$CK$86,MATCH(B463,'vehicles specifications'!$A$3:$A$86,0),MATCH("Energy battery replacement [unit]",'vehicles specifications'!$B$2:$CK$2,0))</f>
        <v>0</v>
      </c>
    </row>
    <row r="472" spans="1:2" x14ac:dyDescent="0.3">
      <c r="A472" s="21" t="s">
        <v>136</v>
      </c>
      <c r="B472" s="21">
        <f>INDEX('vehicles specifications'!$B$3:$CK$86,MATCH(B463,'vehicles specifications'!$A$3:$A$86,0),MATCH("Annual kilometers [km]",'vehicles specifications'!$B$2:$CK$2,0))</f>
        <v>2553</v>
      </c>
    </row>
    <row r="473" spans="1:2" x14ac:dyDescent="0.3">
      <c r="A473" s="21" t="s">
        <v>137</v>
      </c>
      <c r="B473" s="2">
        <f>INDEX('vehicles specifications'!$B$3:$CK$86,MATCH(B463,'vehicles specifications'!$A$3:$A$86,0),MATCH("Curb mass [kg]",'vehicles specifications'!$B$2:$CK$2,0))</f>
        <v>88.447499999999991</v>
      </c>
    </row>
    <row r="474" spans="1:2" x14ac:dyDescent="0.3">
      <c r="A474" s="21" t="s">
        <v>138</v>
      </c>
      <c r="B474" s="21">
        <f>INDEX('vehicles specifications'!$B$3:$CK$86,MATCH(B463,'vehicles specifications'!$A$3:$A$86,0),MATCH("Power [kW]",'vehicles specifications'!$B$2:$CK$2,0))</f>
        <v>2.8</v>
      </c>
    </row>
    <row r="475" spans="1:2" x14ac:dyDescent="0.3">
      <c r="A475" s="21" t="s">
        <v>139</v>
      </c>
      <c r="B475" s="21">
        <f>INDEX('vehicles specifications'!$B$3:$CK$86,MATCH(B463,'vehicles specifications'!$A$3:$A$86,0),MATCH("Energy battery mass [kg]",'vehicles specifications'!$B$2:$CK$2,0))</f>
        <v>0</v>
      </c>
    </row>
    <row r="476" spans="1:2" x14ac:dyDescent="0.3">
      <c r="A476" s="21" t="s">
        <v>140</v>
      </c>
      <c r="B476" s="21">
        <f>INDEX('vehicles specifications'!$B$3:$CK$86,MATCH(B463,'vehicles specifications'!$A$3:$A$86,0),MATCH("Electric energy available [kWh]",'vehicles specifications'!$B$2:$CK$2,0))</f>
        <v>0</v>
      </c>
    </row>
    <row r="477" spans="1:2" x14ac:dyDescent="0.3">
      <c r="A477" s="21" t="s">
        <v>143</v>
      </c>
      <c r="B477" s="2">
        <f>INDEX('vehicles specifications'!$B$3:$CK$86,MATCH(B463,'vehicles specifications'!$A$3:$A$86,0),MATCH("Oxydation energy stored [kWh]",'vehicles specifications'!$B$2:$CK$2,0))</f>
        <v>61.833333333333329</v>
      </c>
    </row>
    <row r="478" spans="1:2" x14ac:dyDescent="0.3">
      <c r="A478" s="21" t="s">
        <v>145</v>
      </c>
      <c r="B478" s="21">
        <f>INDEX('vehicles specifications'!$B$3:$CK$86,MATCH(B463,'vehicles specifications'!$A$3:$A$86,0),MATCH("Fuel mass [kg]",'vehicles specifications'!$B$2:$CK$2,0))</f>
        <v>5.25</v>
      </c>
    </row>
    <row r="479" spans="1:2" x14ac:dyDescent="0.3">
      <c r="A479" s="21" t="s">
        <v>141</v>
      </c>
      <c r="B479" s="2">
        <f>INDEX('vehicles specifications'!$B$3:$CK$86,MATCH(B463,'vehicles specifications'!$A$3:$A$86,0),MATCH("Range [km]",'vehicles specifications'!$B$2:$CK$2,0))</f>
        <v>174.5002303665438</v>
      </c>
    </row>
    <row r="480" spans="1:2" x14ac:dyDescent="0.3">
      <c r="A480" s="21" t="s">
        <v>142</v>
      </c>
      <c r="B480" s="21" t="str">
        <f>INDEX('vehicles specifications'!$B$3:$CK$86,MATCH(B463,'vehicles specifications'!$A$3:$A$86,0),MATCH("Emission standard",'vehicles specifications'!$B$2:$CK$2,0))</f>
        <v>EURO-5</v>
      </c>
    </row>
    <row r="481" spans="1:8" x14ac:dyDescent="0.3">
      <c r="A481" s="21" t="s">
        <v>144</v>
      </c>
      <c r="B481" s="6">
        <f>INDEX('vehicles specifications'!$B$3:$CK$86,MATCH(B463,'vehicles specifications'!$A$3:$A$86,0),MATCH("Lightweighting rate [%]",'vehicles specifications'!$B$2:$CK$2,0))</f>
        <v>0.03</v>
      </c>
    </row>
    <row r="482" spans="1:8" x14ac:dyDescent="0.3">
      <c r="A482" s="21"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2.8 kW. Lifetime: 33400 km. Annual kilometers: 2553 km. Number of passengers: 1. Curb mass: 88.4 kg. Lightweighting of glider: 3%. Emission standard: EURO-5. Service visits throughout lifetime: 1. Range: 175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s="21" t="s">
        <v>81</v>
      </c>
      <c r="B484" s="21" t="s">
        <v>82</v>
      </c>
      <c r="C484" s="21" t="s">
        <v>73</v>
      </c>
      <c r="D484" s="21" t="s">
        <v>77</v>
      </c>
      <c r="E484" s="21" t="s">
        <v>83</v>
      </c>
      <c r="F484" s="21" t="s">
        <v>75</v>
      </c>
      <c r="G484" s="21" t="s">
        <v>84</v>
      </c>
      <c r="H484" s="21" t="s">
        <v>74</v>
      </c>
    </row>
    <row r="485" spans="1:8" x14ac:dyDescent="0.3">
      <c r="A485" s="12" t="str">
        <f>B458</f>
        <v>transport, Scooter, gasoline, &lt;4kW, EURO-5, 2030</v>
      </c>
      <c r="B485" s="12">
        <v>1</v>
      </c>
      <c r="C485" s="12" t="str">
        <f>B459</f>
        <v>CH</v>
      </c>
      <c r="D485" s="12" t="s">
        <v>172</v>
      </c>
      <c r="E485" s="12"/>
      <c r="F485" s="12" t="s">
        <v>85</v>
      </c>
      <c r="G485" s="12" t="s">
        <v>86</v>
      </c>
      <c r="H485" s="12" t="str">
        <f>B464</f>
        <v>transport, Scooter, gasoline, &lt;4kW, EURO-5</v>
      </c>
    </row>
    <row r="486" spans="1:8" x14ac:dyDescent="0.3">
      <c r="A486" s="12" t="str">
        <f>RIGHT(A485,LEN(A485)-11)</f>
        <v>Scooter, gasoline, &lt;4kW, EURO-5, 2030</v>
      </c>
      <c r="B486" s="12">
        <f>1/B468</f>
        <v>2.9940119760479042E-5</v>
      </c>
      <c r="C486" s="12" t="str">
        <f>B459</f>
        <v>CH</v>
      </c>
      <c r="D486" s="12" t="s">
        <v>77</v>
      </c>
      <c r="E486" s="12"/>
      <c r="F486" s="12" t="s">
        <v>91</v>
      </c>
      <c r="G486" s="12"/>
      <c r="H486" s="12" t="str">
        <f>RIGHT(H485,LEN(H485)-11)</f>
        <v>Scooter, gasoline, &lt;4kW, EURO-5</v>
      </c>
    </row>
    <row r="487" spans="1:8"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8.723430749999999E-5</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road maintenance</v>
      </c>
      <c r="B488" s="16">
        <f>INDEX('vehicles specifications'!$B$3:$CK$86,MATCH(B463,'vehicles specifications'!$A$3:$A$86,0),MATCH(G488,'vehicles specifications'!$B$2:$CK$2,0))*INDEX('ei names mapping'!$B$137:$BK$220,MATCH(B463,'ei names mapping'!$A$137:$A$220,0),MATCH(G488,'ei names mapping'!$B$136:$BK$136,0))</f>
        <v>1.2899999999999999E-3</v>
      </c>
      <c r="C488" s="12" t="str">
        <f>INDEX('ei names mapping'!$B$38:$R$67,MATCH(B460,'ei names mapping'!$A$4:$A$33,0),MATCH(G488,'ei names mapping'!$B$3:$R$3,0))</f>
        <v>CH</v>
      </c>
      <c r="D488" s="12" t="str">
        <f>INDEX('ei names mapping'!$B$104:$BK$133,MATCH(B460,'ei names mapping'!$A$4:$A$33,0),MATCH(G488,'ei names mapping'!$B$3:$BK$3,0))</f>
        <v>meter-year</v>
      </c>
      <c r="E488" s="12"/>
      <c r="F488" s="12" t="s">
        <v>91</v>
      </c>
      <c r="G488" s="21" t="s">
        <v>117</v>
      </c>
      <c r="H488" s="12" t="str">
        <f>INDEX('ei names mapping'!$B$71:$BK$100,MATCH(B460,'ei names mapping'!$A$4:$A$33,0),MATCH(G488,'ei names mapping'!$B$3:$BK$3,0))</f>
        <v>road maintenance</v>
      </c>
    </row>
    <row r="489" spans="1:8" x14ac:dyDescent="0.3">
      <c r="A489" s="12" t="str">
        <f>INDEX('ei names mapping'!$B$4:$R$33,MATCH(B460,'ei names mapping'!$A$4:$A$33,0),MATCH(G489,'ei names mapping'!$B$3:$R$3,0))</f>
        <v>maintenance, motor scooter</v>
      </c>
      <c r="B489" s="16">
        <f>INDEX('vehicles specifications'!$B$3:$CK$86,MATCH(B463,'vehicles specifications'!$A$3:$A$86,0),MATCH(G489,'vehicles specifications'!$B$2:$CK$2,0))*INDEX('ei names mapping'!$B$137:$BK$220,MATCH(B463,'ei names mapping'!$A$137:$A$220,0),MATCH(G489,'ei names mapping'!$B$136:$BK$136,0))</f>
        <v>2.9940119760479042E-5</v>
      </c>
      <c r="C489" s="12" t="str">
        <f>INDEX('ei names mapping'!$B$38:$BK$67,MATCH(B460,'ei names mapping'!$A$4:$A$33,0),MATCH(G489,'ei names mapping'!$B$3:$BK$3,0))</f>
        <v>CH</v>
      </c>
      <c r="D489" s="12" t="str">
        <f>INDEX('ei names mapping'!$B$104:$BK$133,MATCH(B460,'ei names mapping'!$A$4:$A$33,0),MATCH(G489,'ei names mapping'!$B$3:$BK$3,0))</f>
        <v>unit</v>
      </c>
      <c r="F489" s="12" t="s">
        <v>91</v>
      </c>
      <c r="G489" s="12" t="s">
        <v>123</v>
      </c>
      <c r="H489" s="12" t="str">
        <f>INDEX('ei names mapping'!$B$71:$BK$100,MATCH(B460,'ei names mapping'!$A$4:$A$33,0),MATCH(G489,'ei names mapping'!$B$3:$BK$3,0))</f>
        <v>maintenance, motor scooter</v>
      </c>
    </row>
    <row r="490" spans="1:8" x14ac:dyDescent="0.3">
      <c r="A490" s="12" t="str">
        <f>INDEX('ei names mapping'!$B$4:$R$33,MATCH(B460,'ei names mapping'!$A$4:$A$33,0),MATCH(G490,'ei names mapping'!$B$3:$R$3,0))</f>
        <v>petrol blending for two-stroke engines</v>
      </c>
      <c r="B490" s="16">
        <f>INDEX('vehicles specifications'!$B$3:$CK$86,MATCH(B463,'vehicles specifications'!$A$3:$A$86,0),MATCH(G490,'vehicles specifications'!$B$2:$CK$2,0))*INDEX('ei names mapping'!$B$137:$BK$220,MATCH(B463,'ei names mapping'!$A$137:$A$220,0),MATCH(G490,'ei names mapping'!$B$136:$BK$136,0))</f>
        <v>3.0085920167395724E-2</v>
      </c>
      <c r="C490" s="12" t="str">
        <f>INDEX('ei names mapping'!$B$38:$BK$67,MATCH(B460,'ei names mapping'!$A$4:$A$33,0),MATCH(G490,'ei names mapping'!$B$3:$BK$3,0))</f>
        <v>CH</v>
      </c>
      <c r="D490" s="12" t="str">
        <f>INDEX('ei names mapping'!$B$104:$BK$133,MATCH(B460,'ei names mapping'!$A$4:$A$33,0),MATCH(G490,'ei names mapping'!$B$3:$BK$3,0))</f>
        <v>kilogram</v>
      </c>
      <c r="F490" s="12" t="s">
        <v>91</v>
      </c>
      <c r="G490" s="12" t="s">
        <v>27</v>
      </c>
      <c r="H490" s="12" t="str">
        <f>INDEX('ei names mapping'!$B$71:$BK$100,MATCH(B460,'ei names mapping'!$A$4:$A$33,0),MATCH(G490,'ei names mapping'!$B$3:$BK$3,0))</f>
        <v>petrol, two-stroke blend</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9.5673226132318406E-2</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s="2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4.8137472267833157E-7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s="21"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7.7561870251729333E-5</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s="21"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3.516885238146577E-5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s="21"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3.7187487115663853E-3</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s="21"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1.7843151893184062E-6</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s="21"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1.7843151893184062E-6</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s="21"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1.3380706087665241E-4</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1.0247322132255605E-5</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6.2547219432945386E-4</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4.4103808574512766E-5</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8.9866694587565205E-6</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7.2446381482898714E-5</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2.9725137440502336E-5</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2.2259288967073843E-5</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1.5761235666126822E-5</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1.0230977537661269E-5</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1.009272108444963E-4</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5.2813965126846007E-5</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1.5208209853280265E-6</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1.5180558562637937E-4</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7.5073254093919859E-5</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3.1245958425830361E-5</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2.3503597045978593E-5</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1.0369233990872907E-5</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3.0416419706560531E-6</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8.4336436459099656E-6</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2.6268726110211365E-6</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1.3963901774375514E-5</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4.4392376925395736E-8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3.826929045292736E-10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2.5512860301951575E-10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2.75538891261077E-6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5.35770066340983E-8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1.6583359196268521E-8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2.0410288241561264E-8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4.0820576483122511E-11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1.1098094231348934E-8</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1.3776944563053849E-8</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s="2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-6.3939999999999993E-6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s="21"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-6.1789999999999996E-6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s="21"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Scooter, gasoline, &lt;4kW, EURO-5, 2040</v>
      </c>
    </row>
    <row r="536" spans="1:8" x14ac:dyDescent="0.3">
      <c r="A536" s="21" t="s">
        <v>73</v>
      </c>
      <c r="B536" s="21" t="s">
        <v>37</v>
      </c>
    </row>
    <row r="537" spans="1:8" x14ac:dyDescent="0.3">
      <c r="A537" s="21" t="s">
        <v>87</v>
      </c>
      <c r="B537" s="21" t="s">
        <v>677</v>
      </c>
    </row>
    <row r="538" spans="1:8" x14ac:dyDescent="0.3">
      <c r="A538" s="21" t="s">
        <v>88</v>
      </c>
      <c r="B538" s="12"/>
    </row>
    <row r="539" spans="1:8" x14ac:dyDescent="0.3">
      <c r="A539" s="21" t="s">
        <v>89</v>
      </c>
      <c r="B539" s="12">
        <v>2040</v>
      </c>
    </row>
    <row r="540" spans="1:8" x14ac:dyDescent="0.3">
      <c r="A540" s="21" t="s">
        <v>131</v>
      </c>
      <c r="B540" s="12" t="str">
        <f>B537&amp;" - "&amp;B539&amp;" - "&amp;B536</f>
        <v>Scooter, gasoline, &lt;4kW, EURO-5 - 2040 - CH</v>
      </c>
    </row>
    <row r="541" spans="1:8" x14ac:dyDescent="0.3">
      <c r="A541" s="21" t="s">
        <v>74</v>
      </c>
      <c r="B541" s="12" t="str">
        <f>"transport, "&amp;B537</f>
        <v>transport, Scooter, gasoline, &lt;4kW, EURO-5</v>
      </c>
    </row>
    <row r="542" spans="1:8" x14ac:dyDescent="0.3">
      <c r="A542" s="21" t="s">
        <v>75</v>
      </c>
      <c r="B542" s="21" t="s">
        <v>76</v>
      </c>
    </row>
    <row r="543" spans="1:8" x14ac:dyDescent="0.3">
      <c r="A543" s="21" t="s">
        <v>77</v>
      </c>
      <c r="B543" s="21" t="s">
        <v>172</v>
      </c>
    </row>
    <row r="544" spans="1:8" x14ac:dyDescent="0.3">
      <c r="A544" s="21" t="s">
        <v>79</v>
      </c>
      <c r="B544" s="21" t="s">
        <v>90</v>
      </c>
    </row>
    <row r="545" spans="1:2" x14ac:dyDescent="0.3">
      <c r="A545" s="21" t="s">
        <v>132</v>
      </c>
      <c r="B545" s="21">
        <f>INDEX('vehicles specifications'!$B$3:$CK$86,MATCH(B540,'vehicles specifications'!$A$3:$A$86,0),MATCH("Lifetime [km]",'vehicles specifications'!$B$2:$CK$2,0))</f>
        <v>33400</v>
      </c>
    </row>
    <row r="546" spans="1:2" x14ac:dyDescent="0.3">
      <c r="A546" s="21" t="s">
        <v>133</v>
      </c>
      <c r="B546" s="21">
        <f>INDEX('vehicles specifications'!$B$3:$CK$86,MATCH(B540,'vehicles specifications'!$A$3:$A$86,0),MATCH("Passengers [unit]",'vehicles specifications'!$B$2:$CK$2,0))</f>
        <v>1</v>
      </c>
    </row>
    <row r="547" spans="1:2" x14ac:dyDescent="0.3">
      <c r="A547" s="21" t="s">
        <v>134</v>
      </c>
      <c r="B547" s="21">
        <f>INDEX('vehicles specifications'!$B$3:$CK$86,MATCH(B540,'vehicles specifications'!$A$3:$A$86,0),MATCH("Servicing [unit]",'vehicles specifications'!$B$2:$CK$2,0))</f>
        <v>1</v>
      </c>
    </row>
    <row r="548" spans="1:2" x14ac:dyDescent="0.3">
      <c r="A548" s="21" t="s">
        <v>135</v>
      </c>
      <c r="B548" s="21">
        <f>INDEX('vehicles specifications'!$B$3:$CK$86,MATCH(B540,'vehicles specifications'!$A$3:$A$86,0),MATCH("Energy battery replacement [unit]",'vehicles specifications'!$B$2:$CK$2,0))</f>
        <v>0</v>
      </c>
    </row>
    <row r="549" spans="1:2" x14ac:dyDescent="0.3">
      <c r="A549" s="21" t="s">
        <v>136</v>
      </c>
      <c r="B549" s="21">
        <f>INDEX('vehicles specifications'!$B$3:$CK$86,MATCH(B540,'vehicles specifications'!$A$3:$A$86,0),MATCH("Annual kilometers [km]",'vehicles specifications'!$B$2:$CK$2,0))</f>
        <v>2553</v>
      </c>
    </row>
    <row r="550" spans="1:2" x14ac:dyDescent="0.3">
      <c r="A550" s="21" t="s">
        <v>137</v>
      </c>
      <c r="B550" s="2">
        <f>INDEX('vehicles specifications'!$B$3:$CK$86,MATCH(B540,'vehicles specifications'!$A$3:$A$86,0),MATCH("Curb mass [kg]",'vehicles specifications'!$B$2:$CK$2,0))</f>
        <v>86.487499999999983</v>
      </c>
    </row>
    <row r="551" spans="1:2" x14ac:dyDescent="0.3">
      <c r="A551" s="21" t="s">
        <v>138</v>
      </c>
      <c r="B551" s="21">
        <f>INDEX('vehicles specifications'!$B$3:$CK$86,MATCH(B540,'vehicles specifications'!$A$3:$A$86,0),MATCH("Power [kW]",'vehicles specifications'!$B$2:$CK$2,0))</f>
        <v>2.8</v>
      </c>
    </row>
    <row r="552" spans="1:2" x14ac:dyDescent="0.3">
      <c r="A552" s="21" t="s">
        <v>139</v>
      </c>
      <c r="B552" s="21">
        <f>INDEX('vehicles specifications'!$B$3:$CK$86,MATCH(B540,'vehicles specifications'!$A$3:$A$86,0),MATCH("Energy battery mass [kg]",'vehicles specifications'!$B$2:$CK$2,0))</f>
        <v>0</v>
      </c>
    </row>
    <row r="553" spans="1:2" x14ac:dyDescent="0.3">
      <c r="A553" s="21" t="s">
        <v>140</v>
      </c>
      <c r="B553" s="21">
        <f>INDEX('vehicles specifications'!$B$3:$CK$86,MATCH(B540,'vehicles specifications'!$A$3:$A$86,0),MATCH("Electric energy available [kWh]",'vehicles specifications'!$B$2:$CK$2,0))</f>
        <v>0</v>
      </c>
    </row>
    <row r="554" spans="1:2" x14ac:dyDescent="0.3">
      <c r="A554" s="21" t="s">
        <v>143</v>
      </c>
      <c r="B554" s="2">
        <f>INDEX('vehicles specifications'!$B$3:$CK$86,MATCH(B540,'vehicles specifications'!$A$3:$A$86,0),MATCH("Oxydation energy stored [kWh]",'vehicles specifications'!$B$2:$CK$2,0))</f>
        <v>61.833333333333329</v>
      </c>
    </row>
    <row r="555" spans="1:2" x14ac:dyDescent="0.3">
      <c r="A555" s="21" t="s">
        <v>145</v>
      </c>
      <c r="B555" s="21">
        <f>INDEX('vehicles specifications'!$B$3:$CK$86,MATCH(B540,'vehicles specifications'!$A$3:$A$86,0),MATCH("Fuel mass [kg]",'vehicles specifications'!$B$2:$CK$2,0))</f>
        <v>5.25</v>
      </c>
    </row>
    <row r="556" spans="1:2" x14ac:dyDescent="0.3">
      <c r="A556" s="21" t="s">
        <v>141</v>
      </c>
      <c r="B556" s="2">
        <f>INDEX('vehicles specifications'!$B$3:$CK$86,MATCH(B540,'vehicles specifications'!$A$3:$A$86,0),MATCH("Range [km]",'vehicles specifications'!$B$2:$CK$2,0))</f>
        <v>176.26285895610485</v>
      </c>
    </row>
    <row r="557" spans="1:2" x14ac:dyDescent="0.3">
      <c r="A557" s="21" t="s">
        <v>142</v>
      </c>
      <c r="B557" s="21" t="str">
        <f>INDEX('vehicles specifications'!$B$3:$CK$86,MATCH(B540,'vehicles specifications'!$A$3:$A$86,0),MATCH("Emission standard",'vehicles specifications'!$B$2:$CK$2,0))</f>
        <v>EURO-5</v>
      </c>
    </row>
    <row r="558" spans="1:2" x14ac:dyDescent="0.3">
      <c r="A558" s="21" t="s">
        <v>144</v>
      </c>
      <c r="B558" s="6">
        <f>INDEX('vehicles specifications'!$B$3:$CK$86,MATCH(B540,'vehicles specifications'!$A$3:$A$86,0),MATCH("Lightweighting rate [%]",'vehicles specifications'!$B$2:$CK$2,0))</f>
        <v>0.05</v>
      </c>
    </row>
    <row r="559" spans="1:2" x14ac:dyDescent="0.3">
      <c r="A559" s="21"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2.8 kW. Lifetime: 33400 km. Annual kilometers: 2553 km. Number of passengers: 1. Curb mass: 86.5 kg. Lightweighting of glider: 5%. Emission standard: EURO-5. Service visits throughout lifetime: 1. Range: 176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s="21" t="s">
        <v>81</v>
      </c>
      <c r="B561" s="21" t="s">
        <v>82</v>
      </c>
      <c r="C561" s="21" t="s">
        <v>73</v>
      </c>
      <c r="D561" s="21" t="s">
        <v>77</v>
      </c>
      <c r="E561" s="21" t="s">
        <v>83</v>
      </c>
      <c r="F561" s="21" t="s">
        <v>75</v>
      </c>
      <c r="G561" s="21" t="s">
        <v>84</v>
      </c>
      <c r="H561" s="21" t="s">
        <v>74</v>
      </c>
    </row>
    <row r="562" spans="1:8" x14ac:dyDescent="0.3">
      <c r="A562" s="12" t="str">
        <f>B535</f>
        <v>transport, Scooter, gasoline, &lt;4kW, EURO-5, 2040</v>
      </c>
      <c r="B562" s="12">
        <v>1</v>
      </c>
      <c r="C562" s="12" t="str">
        <f>B536</f>
        <v>CH</v>
      </c>
      <c r="D562" s="12" t="s">
        <v>172</v>
      </c>
      <c r="E562" s="12"/>
      <c r="F562" s="12" t="s">
        <v>85</v>
      </c>
      <c r="G562" s="12" t="s">
        <v>86</v>
      </c>
      <c r="H562" s="12" t="str">
        <f>B541</f>
        <v>transport, Scooter, gasoline, &lt;4kW, EURO-5</v>
      </c>
    </row>
    <row r="563" spans="1:8" x14ac:dyDescent="0.3">
      <c r="A563" s="12" t="str">
        <f>RIGHT(A562,LEN(A562)-11)</f>
        <v>Scooter, gasoline, &lt;4kW, EURO-5, 2040</v>
      </c>
      <c r="B563" s="12">
        <f>1/B545</f>
        <v>2.9940119760479042E-5</v>
      </c>
      <c r="C563" s="12" t="str">
        <f>B536</f>
        <v>CH</v>
      </c>
      <c r="D563" s="12" t="s">
        <v>77</v>
      </c>
      <c r="E563" s="12"/>
      <c r="F563" s="12" t="s">
        <v>91</v>
      </c>
      <c r="G563" s="12"/>
      <c r="H563" s="12" t="str">
        <f>RIGHT(H562,LEN(H562)-11)</f>
        <v>Scooter, gasoline, &lt;4kW, EURO-5</v>
      </c>
    </row>
    <row r="564" spans="1:8"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8.6181787499999991E-5</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road maintenance</v>
      </c>
      <c r="B565" s="16">
        <f>INDEX('vehicles specifications'!$B$3:$CK$86,MATCH(B540,'vehicles specifications'!$A$3:$A$86,0),MATCH(G565,'vehicles specifications'!$B$2:$CK$2,0))*INDEX('ei names mapping'!$B$137:$BK$220,MATCH(B540,'ei names mapping'!$A$137:$A$220,0),MATCH(G565,'ei names mapping'!$B$136:$BK$136,0))</f>
        <v>1.2899999999999999E-3</v>
      </c>
      <c r="C565" s="12" t="str">
        <f>INDEX('ei names mapping'!$B$38:$R$67,MATCH(B537,'ei names mapping'!$A$4:$A$33,0),MATCH(G565,'ei names mapping'!$B$3:$R$3,0))</f>
        <v>CH</v>
      </c>
      <c r="D565" s="12" t="str">
        <f>INDEX('ei names mapping'!$B$104:$BK$133,MATCH(B537,'ei names mapping'!$A$4:$A$33,0),MATCH(G565,'ei names mapping'!$B$3:$BK$3,0))</f>
        <v>meter-year</v>
      </c>
      <c r="E565" s="12"/>
      <c r="F565" s="12" t="s">
        <v>91</v>
      </c>
      <c r="G565" s="21" t="s">
        <v>117</v>
      </c>
      <c r="H565" s="12" t="str">
        <f>INDEX('ei names mapping'!$B$71:$BK$100,MATCH(B537,'ei names mapping'!$A$4:$A$33,0),MATCH(G565,'ei names mapping'!$B$3:$BK$3,0))</f>
        <v>road maintenance</v>
      </c>
    </row>
    <row r="566" spans="1:8" x14ac:dyDescent="0.3">
      <c r="A566" s="12" t="str">
        <f>INDEX('ei names mapping'!$B$4:$R$33,MATCH(B537,'ei names mapping'!$A$4:$A$33,0),MATCH(G566,'ei names mapping'!$B$3:$R$3,0))</f>
        <v>maintenance, motor scooter</v>
      </c>
      <c r="B566" s="16">
        <f>INDEX('vehicles specifications'!$B$3:$CK$86,MATCH(B540,'vehicles specifications'!$A$3:$A$86,0),MATCH(G566,'vehicles specifications'!$B$2:$CK$2,0))*INDEX('ei names mapping'!$B$137:$BK$220,MATCH(B540,'ei names mapping'!$A$137:$A$220,0),MATCH(G566,'ei names mapping'!$B$136:$BK$136,0))</f>
        <v>2.9940119760479042E-5</v>
      </c>
      <c r="C566" s="12" t="str">
        <f>INDEX('ei names mapping'!$B$38:$BK$67,MATCH(B537,'ei names mapping'!$A$4:$A$33,0),MATCH(G566,'ei names mapping'!$B$3:$BK$3,0))</f>
        <v>CH</v>
      </c>
      <c r="D566" s="12" t="str">
        <f>INDEX('ei names mapping'!$B$104:$BK$133,MATCH(B537,'ei names mapping'!$A$4:$A$33,0),MATCH(G566,'ei names mapping'!$B$3:$BK$3,0))</f>
        <v>unit</v>
      </c>
      <c r="F566" s="12" t="s">
        <v>91</v>
      </c>
      <c r="G566" s="12" t="s">
        <v>123</v>
      </c>
      <c r="H566" s="12" t="str">
        <f>INDEX('ei names mapping'!$B$71:$BK$100,MATCH(B537,'ei names mapping'!$A$4:$A$33,0),MATCH(G566,'ei names mapping'!$B$3:$BK$3,0))</f>
        <v>maintenance, motor scooter</v>
      </c>
    </row>
    <row r="567" spans="1:8" x14ac:dyDescent="0.3">
      <c r="A567" s="12" t="str">
        <f>INDEX('ei names mapping'!$B$4:$R$33,MATCH(B537,'ei names mapping'!$A$4:$A$33,0),MATCH(G567,'ei names mapping'!$B$3:$R$3,0))</f>
        <v>petrol blending for two-stroke engines</v>
      </c>
      <c r="B567" s="16">
        <f>INDEX('vehicles specifications'!$B$3:$CK$86,MATCH(B540,'vehicles specifications'!$A$3:$A$86,0),MATCH(G567,'vehicles specifications'!$B$2:$CK$2,0))*INDEX('ei names mapping'!$B$137:$BK$220,MATCH(B540,'ei names mapping'!$A$137:$A$220,0),MATCH(G567,'ei names mapping'!$B$136:$BK$136,0))</f>
        <v>2.9785060965721769E-2</v>
      </c>
      <c r="C567" s="12" t="str">
        <f>INDEX('ei names mapping'!$B$38:$BK$67,MATCH(B537,'ei names mapping'!$A$4:$A$33,0),MATCH(G567,'ei names mapping'!$B$3:$BK$3,0))</f>
        <v>CH</v>
      </c>
      <c r="D567" s="12" t="str">
        <f>INDEX('ei names mapping'!$B$104:$BK$133,MATCH(B537,'ei names mapping'!$A$4:$A$33,0),MATCH(G567,'ei names mapping'!$B$3:$BK$3,0))</f>
        <v>kilogram</v>
      </c>
      <c r="F567" s="12" t="s">
        <v>91</v>
      </c>
      <c r="G567" s="12" t="s">
        <v>27</v>
      </c>
      <c r="H567" s="12" t="str">
        <f>INDEX('ei names mapping'!$B$71:$BK$100,MATCH(B537,'ei names mapping'!$A$4:$A$33,0),MATCH(G567,'ei names mapping'!$B$3:$BK$3,0))</f>
        <v>petrol, two-stroke blend</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9.4716493870995233E-2</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s="21"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4.7656097545154825E-7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s="21"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7.6786251549212049E-5</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s="21"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3.4817163857651117E-5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s="2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3.6815612244507218E-3</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s="21"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1.7664720374252222E-6</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s="21"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1.7664720374252222E-6</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s="21"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1.3246899026788587E-4</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1.014484891093305E-5</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6.192174723861593E-4</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4.3662770488767639E-5</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8.8968027641689555E-6</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7.1721917668069734E-5</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2.9427886066097313E-5</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2.2036696077403105E-5</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1.5603623309465551E-5</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1.0128667762284656E-5</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9.9917938736051348E-5</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5.2285825475577546E-5</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1.5056127754747464E-6</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1.5028752977011559E-4</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7.4322521552980665E-5</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3.0933498841572057E-5</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2.3268561075518807E-5</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1.0265541650964179E-5</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3.0112255509494928E-6</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8.3493072094508672E-6</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2.6006038849109253E-6</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1.382426275663176E-5</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4.3948453156141782E-8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3.7886597548398086E-10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2.5257731698932057E-10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2.7278350234846621E-6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5.3041236567757318E-8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1.6417525604305839E-8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2.0206185359145651E-8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4.0412370718291291E-11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1.0987113289035445E-8</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1.3639175117423312E-8</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s="21"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-6.3939999999999993E-6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s="21"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-6.1789999999999996E-6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s="21"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Scooter, gasoline, &lt;4kW, EURO-5, 2050</v>
      </c>
    </row>
    <row r="613" spans="1:8" x14ac:dyDescent="0.3">
      <c r="A613" s="21" t="s">
        <v>73</v>
      </c>
      <c r="B613" s="21" t="s">
        <v>37</v>
      </c>
    </row>
    <row r="614" spans="1:8" x14ac:dyDescent="0.3">
      <c r="A614" s="21" t="s">
        <v>87</v>
      </c>
      <c r="B614" s="21" t="s">
        <v>677</v>
      </c>
    </row>
    <row r="615" spans="1:8" x14ac:dyDescent="0.3">
      <c r="A615" s="21" t="s">
        <v>88</v>
      </c>
      <c r="B615" s="12"/>
    </row>
    <row r="616" spans="1:8" x14ac:dyDescent="0.3">
      <c r="A616" s="21" t="s">
        <v>89</v>
      </c>
      <c r="B616" s="12">
        <v>2050</v>
      </c>
    </row>
    <row r="617" spans="1:8" x14ac:dyDescent="0.3">
      <c r="A617" s="21" t="s">
        <v>131</v>
      </c>
      <c r="B617" s="12" t="str">
        <f>B614&amp;" - "&amp;B616&amp;" - "&amp;B613</f>
        <v>Scooter, gasoline, &lt;4kW, EURO-5 - 2050 - CH</v>
      </c>
    </row>
    <row r="618" spans="1:8" x14ac:dyDescent="0.3">
      <c r="A618" s="21" t="s">
        <v>74</v>
      </c>
      <c r="B618" s="12" t="str">
        <f>"transport, "&amp;B614</f>
        <v>transport, Scooter, gasoline, &lt;4kW, EURO-5</v>
      </c>
    </row>
    <row r="619" spans="1:8" x14ac:dyDescent="0.3">
      <c r="A619" s="21" t="s">
        <v>75</v>
      </c>
      <c r="B619" s="21" t="s">
        <v>76</v>
      </c>
    </row>
    <row r="620" spans="1:8" x14ac:dyDescent="0.3">
      <c r="A620" s="21" t="s">
        <v>77</v>
      </c>
      <c r="B620" s="21" t="s">
        <v>172</v>
      </c>
    </row>
    <row r="621" spans="1:8" x14ac:dyDescent="0.3">
      <c r="A621" s="21" t="s">
        <v>79</v>
      </c>
      <c r="B621" s="21" t="s">
        <v>90</v>
      </c>
    </row>
    <row r="622" spans="1:8" x14ac:dyDescent="0.3">
      <c r="A622" s="21" t="s">
        <v>132</v>
      </c>
      <c r="B622" s="21">
        <f>INDEX('vehicles specifications'!$B$3:$CK$86,MATCH(B617,'vehicles specifications'!$A$3:$A$86,0),MATCH("Lifetime [km]",'vehicles specifications'!$B$2:$CK$2,0))</f>
        <v>33400</v>
      </c>
    </row>
    <row r="623" spans="1:8" x14ac:dyDescent="0.3">
      <c r="A623" s="21" t="s">
        <v>133</v>
      </c>
      <c r="B623" s="21">
        <f>INDEX('vehicles specifications'!$B$3:$CK$86,MATCH(B617,'vehicles specifications'!$A$3:$A$86,0),MATCH("Passengers [unit]",'vehicles specifications'!$B$2:$CK$2,0))</f>
        <v>1</v>
      </c>
    </row>
    <row r="624" spans="1:8" x14ac:dyDescent="0.3">
      <c r="A624" s="21" t="s">
        <v>134</v>
      </c>
      <c r="B624" s="21">
        <f>INDEX('vehicles specifications'!$B$3:$CK$86,MATCH(B617,'vehicles specifications'!$A$3:$A$86,0),MATCH("Servicing [unit]",'vehicles specifications'!$B$2:$CK$2,0))</f>
        <v>1</v>
      </c>
    </row>
    <row r="625" spans="1:8" x14ac:dyDescent="0.3">
      <c r="A625" s="21" t="s">
        <v>135</v>
      </c>
      <c r="B625" s="21">
        <f>INDEX('vehicles specifications'!$B$3:$CK$86,MATCH(B617,'vehicles specifications'!$A$3:$A$86,0),MATCH("Energy battery replacement [unit]",'vehicles specifications'!$B$2:$CK$2,0))</f>
        <v>0</v>
      </c>
    </row>
    <row r="626" spans="1:8" x14ac:dyDescent="0.3">
      <c r="A626" s="21" t="s">
        <v>136</v>
      </c>
      <c r="B626" s="21">
        <f>INDEX('vehicles specifications'!$B$3:$CK$86,MATCH(B617,'vehicles specifications'!$A$3:$A$86,0),MATCH("Annual kilometers [km]",'vehicles specifications'!$B$2:$CK$2,0))</f>
        <v>2553</v>
      </c>
    </row>
    <row r="627" spans="1:8" x14ac:dyDescent="0.3">
      <c r="A627" s="21" t="s">
        <v>137</v>
      </c>
      <c r="B627" s="2">
        <f>INDEX('vehicles specifications'!$B$3:$CK$86,MATCH(B617,'vehicles specifications'!$A$3:$A$86,0),MATCH("Curb mass [kg]",'vehicles specifications'!$B$2:$CK$2,0))</f>
        <v>84.527499999999989</v>
      </c>
    </row>
    <row r="628" spans="1:8" x14ac:dyDescent="0.3">
      <c r="A628" s="21" t="s">
        <v>138</v>
      </c>
      <c r="B628" s="21">
        <f>INDEX('vehicles specifications'!$B$3:$CK$86,MATCH(B617,'vehicles specifications'!$A$3:$A$86,0),MATCH("Power [kW]",'vehicles specifications'!$B$2:$CK$2,0))</f>
        <v>2.8</v>
      </c>
    </row>
    <row r="629" spans="1:8" x14ac:dyDescent="0.3">
      <c r="A629" s="21" t="s">
        <v>139</v>
      </c>
      <c r="B629" s="21">
        <f>INDEX('vehicles specifications'!$B$3:$CK$86,MATCH(B617,'vehicles specifications'!$A$3:$A$86,0),MATCH("Energy battery mass [kg]",'vehicles specifications'!$B$2:$CK$2,0))</f>
        <v>0</v>
      </c>
    </row>
    <row r="630" spans="1:8" x14ac:dyDescent="0.3">
      <c r="A630" s="21" t="s">
        <v>140</v>
      </c>
      <c r="B630" s="21">
        <f>INDEX('vehicles specifications'!$B$3:$CK$86,MATCH(B617,'vehicles specifications'!$A$3:$A$86,0),MATCH("Electric energy available [kWh]",'vehicles specifications'!$B$2:$CK$2,0))</f>
        <v>0</v>
      </c>
    </row>
    <row r="631" spans="1:8" x14ac:dyDescent="0.3">
      <c r="A631" s="21" t="s">
        <v>143</v>
      </c>
      <c r="B631" s="2">
        <f>INDEX('vehicles specifications'!$B$3:$CK$86,MATCH(B617,'vehicles specifications'!$A$3:$A$86,0),MATCH("Oxydation energy stored [kWh]",'vehicles specifications'!$B$2:$CK$2,0))</f>
        <v>61.833333333333329</v>
      </c>
    </row>
    <row r="632" spans="1:8" x14ac:dyDescent="0.3">
      <c r="A632" s="21" t="s">
        <v>145</v>
      </c>
      <c r="B632" s="21">
        <f>INDEX('vehicles specifications'!$B$3:$CK$86,MATCH(B617,'vehicles specifications'!$A$3:$A$86,0),MATCH("Fuel mass [kg]",'vehicles specifications'!$B$2:$CK$2,0))</f>
        <v>5.25</v>
      </c>
    </row>
    <row r="633" spans="1:8" x14ac:dyDescent="0.3">
      <c r="A633" s="21" t="s">
        <v>141</v>
      </c>
      <c r="B633" s="2">
        <f>INDEX('vehicles specifications'!$B$3:$CK$86,MATCH(B617,'vehicles specifications'!$A$3:$A$86,0),MATCH("Range [km]",'vehicles specifications'!$B$2:$CK$2,0))</f>
        <v>178.04329187485337</v>
      </c>
    </row>
    <row r="634" spans="1:8" x14ac:dyDescent="0.3">
      <c r="A634" s="21" t="s">
        <v>142</v>
      </c>
      <c r="B634" s="21" t="str">
        <f>INDEX('vehicles specifications'!$B$3:$CK$86,MATCH(B617,'vehicles specifications'!$A$3:$A$86,0),MATCH("Emission standard",'vehicles specifications'!$B$2:$CK$2,0))</f>
        <v>EURO-5</v>
      </c>
    </row>
    <row r="635" spans="1:8" x14ac:dyDescent="0.3">
      <c r="A635" s="21" t="s">
        <v>144</v>
      </c>
      <c r="B635" s="6">
        <f>INDEX('vehicles specifications'!$B$3:$CK$86,MATCH(B617,'vehicles specifications'!$A$3:$A$86,0),MATCH("Lightweighting rate [%]",'vehicles specifications'!$B$2:$CK$2,0))</f>
        <v>7.0000000000000007E-2</v>
      </c>
    </row>
    <row r="636" spans="1:8" x14ac:dyDescent="0.3">
      <c r="A636" s="21"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2.8 kW. Lifetime: 33400 km. Annual kilometers: 2553 km. Number of passengers: 1. Curb mass: 84.5 kg. Lightweighting of glider: 7%. Emission standard: EURO-5. Service visits throughout lifetime: 1. Range: 178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s="21" t="s">
        <v>81</v>
      </c>
      <c r="B638" s="21" t="s">
        <v>82</v>
      </c>
      <c r="C638" s="21" t="s">
        <v>73</v>
      </c>
      <c r="D638" s="21" t="s">
        <v>77</v>
      </c>
      <c r="E638" s="21" t="s">
        <v>83</v>
      </c>
      <c r="F638" s="21" t="s">
        <v>75</v>
      </c>
      <c r="G638" s="21" t="s">
        <v>84</v>
      </c>
      <c r="H638" s="21" t="s">
        <v>74</v>
      </c>
    </row>
    <row r="639" spans="1:8" x14ac:dyDescent="0.3">
      <c r="A639" s="12" t="str">
        <f>B612</f>
        <v>transport, Scooter, gasoline, &lt;4kW, EURO-5, 2050</v>
      </c>
      <c r="B639" s="12">
        <v>1</v>
      </c>
      <c r="C639" s="12" t="str">
        <f>B613</f>
        <v>CH</v>
      </c>
      <c r="D639" s="12" t="s">
        <v>172</v>
      </c>
      <c r="E639" s="12"/>
      <c r="F639" s="12" t="s">
        <v>85</v>
      </c>
      <c r="G639" s="12" t="s">
        <v>86</v>
      </c>
      <c r="H639" s="12" t="str">
        <f>B618</f>
        <v>transport, Scooter, gasoline, &lt;4kW, EURO-5</v>
      </c>
    </row>
    <row r="640" spans="1:8" x14ac:dyDescent="0.3">
      <c r="A640" s="12" t="str">
        <f>RIGHT(A639,LEN(A639)-11)</f>
        <v>Scooter, gasoline, &lt;4kW, EURO-5, 2050</v>
      </c>
      <c r="B640" s="12">
        <f>1/B622</f>
        <v>2.9940119760479042E-5</v>
      </c>
      <c r="C640" s="12" t="str">
        <f>B613</f>
        <v>CH</v>
      </c>
      <c r="D640" s="12" t="s">
        <v>77</v>
      </c>
      <c r="E640" s="12"/>
      <c r="F640" s="12" t="s">
        <v>91</v>
      </c>
      <c r="G640" s="12"/>
      <c r="H640" s="12" t="str">
        <f>RIGHT(H639,LEN(H639)-11)</f>
        <v>Scooter, gasoline, &lt;4kW, EURO-5</v>
      </c>
    </row>
    <row r="641" spans="1:8"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8.5129267499999993E-5</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road maintenance</v>
      </c>
      <c r="B642" s="16">
        <f>INDEX('vehicles specifications'!$B$3:$CK$86,MATCH(B617,'vehicles specifications'!$A$3:$A$86,0),MATCH(G642,'vehicles specifications'!$B$2:$CK$2,0))*INDEX('ei names mapping'!$B$137:$BK$220,MATCH(B617,'ei names mapping'!$A$137:$A$220,0),MATCH(G642,'ei names mapping'!$B$136:$BK$136,0))</f>
        <v>1.2899999999999999E-3</v>
      </c>
      <c r="C642" s="12" t="str">
        <f>INDEX('ei names mapping'!$B$38:$R$67,MATCH(B614,'ei names mapping'!$A$4:$A$33,0),MATCH(G642,'ei names mapping'!$B$3:$R$3,0))</f>
        <v>CH</v>
      </c>
      <c r="D642" s="12" t="str">
        <f>INDEX('ei names mapping'!$B$104:$BK$133,MATCH(B614,'ei names mapping'!$A$4:$A$33,0),MATCH(G642,'ei names mapping'!$B$3:$BK$3,0))</f>
        <v>meter-year</v>
      </c>
      <c r="E642" s="12"/>
      <c r="F642" s="12" t="s">
        <v>91</v>
      </c>
      <c r="G642" s="21" t="s">
        <v>117</v>
      </c>
      <c r="H642" s="12" t="str">
        <f>INDEX('ei names mapping'!$B$71:$BK$100,MATCH(B614,'ei names mapping'!$A$4:$A$33,0),MATCH(G642,'ei names mapping'!$B$3:$BK$3,0))</f>
        <v>road maintenance</v>
      </c>
    </row>
    <row r="643" spans="1:8" x14ac:dyDescent="0.3">
      <c r="A643" s="12" t="str">
        <f>INDEX('ei names mapping'!$B$4:$R$33,MATCH(B614,'ei names mapping'!$A$4:$A$33,0),MATCH(G643,'ei names mapping'!$B$3:$R$3,0))</f>
        <v>maintenance, motor scooter</v>
      </c>
      <c r="B643" s="16">
        <f>INDEX('vehicles specifications'!$B$3:$CK$86,MATCH(B617,'vehicles specifications'!$A$3:$A$86,0),MATCH(G643,'vehicles specifications'!$B$2:$CK$2,0))*INDEX('ei names mapping'!$B$137:$BK$220,MATCH(B617,'ei names mapping'!$A$137:$A$220,0),MATCH(G643,'ei names mapping'!$B$136:$BK$136,0))</f>
        <v>2.9940119760479042E-5</v>
      </c>
      <c r="C643" s="12" t="str">
        <f>INDEX('ei names mapping'!$B$38:$BK$67,MATCH(B614,'ei names mapping'!$A$4:$A$33,0),MATCH(G643,'ei names mapping'!$B$3:$BK$3,0))</f>
        <v>CH</v>
      </c>
      <c r="D643" s="12" t="str">
        <f>INDEX('ei names mapping'!$B$104:$BK$133,MATCH(B614,'ei names mapping'!$A$4:$A$33,0),MATCH(G643,'ei names mapping'!$B$3:$BK$3,0))</f>
        <v>unit</v>
      </c>
      <c r="F643" s="12" t="s">
        <v>91</v>
      </c>
      <c r="G643" s="12" t="s">
        <v>123</v>
      </c>
      <c r="H643" s="12" t="str">
        <f>INDEX('ei names mapping'!$B$71:$BK$100,MATCH(B614,'ei names mapping'!$A$4:$A$33,0),MATCH(G643,'ei names mapping'!$B$3:$BK$3,0))</f>
        <v>maintenance, motor scooter</v>
      </c>
    </row>
    <row r="644" spans="1:8" x14ac:dyDescent="0.3">
      <c r="A644" s="12" t="str">
        <f>INDEX('ei names mapping'!$B$4:$R$33,MATCH(B614,'ei names mapping'!$A$4:$A$33,0),MATCH(G644,'ei names mapping'!$B$3:$R$3,0))</f>
        <v>petrol blending for two-stroke engines</v>
      </c>
      <c r="B644" s="16">
        <f>INDEX('vehicles specifications'!$B$3:$CK$86,MATCH(B617,'vehicles specifications'!$A$3:$A$86,0),MATCH(G644,'vehicles specifications'!$B$2:$CK$2,0))*INDEX('ei names mapping'!$B$137:$BK$220,MATCH(B617,'ei names mapping'!$A$137:$A$220,0),MATCH(G644,'ei names mapping'!$B$136:$BK$136,0))</f>
        <v>2.9487210356064553E-2</v>
      </c>
      <c r="C644" s="12" t="str">
        <f>INDEX('ei names mapping'!$B$38:$BK$67,MATCH(B614,'ei names mapping'!$A$4:$A$33,0),MATCH(G644,'ei names mapping'!$B$3:$BK$3,0))</f>
        <v>CH</v>
      </c>
      <c r="D644" s="12" t="str">
        <f>INDEX('ei names mapping'!$B$104:$BK$133,MATCH(B614,'ei names mapping'!$A$4:$A$33,0),MATCH(G644,'ei names mapping'!$B$3:$BK$3,0))</f>
        <v>kilogram</v>
      </c>
      <c r="F644" s="12" t="s">
        <v>91</v>
      </c>
      <c r="G644" s="12" t="s">
        <v>27</v>
      </c>
      <c r="H644" s="12" t="str">
        <f>INDEX('ei names mapping'!$B$71:$BK$100,MATCH(B614,'ei names mapping'!$A$4:$A$33,0),MATCH(G644,'ei names mapping'!$B$3:$BK$3,0))</f>
        <v>petrol, two-stroke blend</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9.3769328932285276E-2</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s="21"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4.7179536569703278E-7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s="21"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7.6018389033719928E-5</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s="21"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3.4468992219074605E-5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s="21"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3.6447456122062146E-3</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s="21"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1.7488073170509701E-6</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s="21"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1.7488073170509701E-6</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s="2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1.3114430036520702E-4</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1.004340042182372E-5</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6.130252976622977E-4</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4.3226142783879964E-5</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8.8078347365272657E-6</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7.1004698491389037E-5</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2.913360720543634E-5</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2.1816329116629077E-5</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1.5447587076370898E-5</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1.002738108466181E-5</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9.8918759348690837E-5</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5.1762967220821776E-5</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1.4905566477199989E-6</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1.4878465447241445E-4</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7.3579296337450856E-5</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3.0624163853156341E-5</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2.3035875464763623E-5</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1.0162886234454536E-5</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2.9811132954399978E-6</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8.2658141373563583E-6</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2.5745978460618164E-6</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1.3686020129065443E-5</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4.3508968624580363E-8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3.7507731572914109E-10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2.5005154381942739E-10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2.7005566732498157E-6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5.251082420207975E-8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1.625335034826278E-8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2.0004123505554197E-8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4.0008247011108378E-11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1.0877242156145091E-8</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1.350278336624908E-8</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s="21"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-6.3939999999999993E-6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s="21"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-6.1789999999999996E-6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s="21"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workbookViewId="0">
      <selection activeCell="B16" sqref="B16"/>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Scooter, gasoline, 4-11kW, EURO-3, 2006</v>
      </c>
    </row>
    <row r="2" spans="1:2" x14ac:dyDescent="0.3">
      <c r="A2" t="s">
        <v>73</v>
      </c>
      <c r="B2" t="s">
        <v>37</v>
      </c>
    </row>
    <row r="3" spans="1:2" x14ac:dyDescent="0.3">
      <c r="A3" t="s">
        <v>87</v>
      </c>
      <c r="B3" t="s">
        <v>636</v>
      </c>
    </row>
    <row r="4" spans="1:2" x14ac:dyDescent="0.3">
      <c r="A4" t="s">
        <v>88</v>
      </c>
      <c r="B4" s="12"/>
    </row>
    <row r="5" spans="1:2" x14ac:dyDescent="0.3">
      <c r="A5" t="s">
        <v>89</v>
      </c>
      <c r="B5" s="12">
        <v>2006</v>
      </c>
    </row>
    <row r="6" spans="1:2" x14ac:dyDescent="0.3">
      <c r="A6" t="s">
        <v>131</v>
      </c>
      <c r="B6" s="12" t="str">
        <f>B3&amp;" - "&amp;B5&amp;" - "&amp;B2</f>
        <v>Scooter, gasoline, 4-11kW, EURO-3 - 2006 - CH</v>
      </c>
    </row>
    <row r="7" spans="1:2" x14ac:dyDescent="0.3">
      <c r="A7" t="s">
        <v>74</v>
      </c>
      <c r="B7" t="str">
        <f>B3</f>
        <v>Scooter, gasoline, 4-11kW, EURO-3</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39800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1</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2731</v>
      </c>
    </row>
    <row r="16" spans="1:2" x14ac:dyDescent="0.3">
      <c r="A16" t="s">
        <v>137</v>
      </c>
      <c r="B16" s="2">
        <f>INDEX('vehicles specifications'!$B$3:$CK$86,MATCH(B6,'vehicles specifications'!$A$3:$A$86,0),MATCH("Curb mass [kg]",'vehicles specifications'!$B$2:$CK$2,0))</f>
        <v>132.53749999999999</v>
      </c>
    </row>
    <row r="17" spans="1:8" x14ac:dyDescent="0.3">
      <c r="A17" t="s">
        <v>138</v>
      </c>
      <c r="B17">
        <f>INDEX('vehicles specifications'!$B$3:$CK$86,MATCH(B6,'vehicles specifications'!$A$3:$A$86,0),MATCH("Power [kW]",'vehicles specifications'!$B$2:$CK$2,0))</f>
        <v>8.8000000000000007</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s="2">
        <f>INDEX('vehicles specifications'!$B$3:$CK$86,MATCH(B6,'vehicles specifications'!$A$3:$A$86,0),MATCH("Oxydation energy stored [kWh]",'vehicles specifications'!$B$2:$CK$2,0))</f>
        <v>61.833333333333329</v>
      </c>
    </row>
    <row r="21" spans="1:8" x14ac:dyDescent="0.3">
      <c r="A21" t="s">
        <v>145</v>
      </c>
      <c r="B21">
        <f>INDEX('vehicles specifications'!$B$3:$CK$86,MATCH(B6,'vehicles specifications'!$A$3:$A$86,0),MATCH("Fuel mass [kg]",'vehicles specifications'!$B$2:$CK$2,0))</f>
        <v>5.25</v>
      </c>
    </row>
    <row r="22" spans="1:8" x14ac:dyDescent="0.3">
      <c r="A22" t="s">
        <v>141</v>
      </c>
      <c r="B22" s="2">
        <f>INDEX('vehicles specifications'!$B$3:$CK$86,MATCH(B6,'vehicles specifications'!$A$3:$A$86,0),MATCH("Range [km]",'vehicles specifications'!$B$2:$CK$2,0))</f>
        <v>210.36507949194564</v>
      </c>
    </row>
    <row r="23" spans="1:8" x14ac:dyDescent="0.3">
      <c r="A23" t="s">
        <v>142</v>
      </c>
      <c r="B23" t="str">
        <f>INDEX('vehicles specifications'!$B$3:$CK$86,MATCH(B6,'vehicles specifications'!$A$3:$A$86,0),MATCH("Emission standard",'vehicles specifications'!$B$2:$CK$2,0))</f>
        <v>EURO-5</v>
      </c>
    </row>
    <row r="24" spans="1:8" x14ac:dyDescent="0.3">
      <c r="A24" t="s">
        <v>144</v>
      </c>
      <c r="B24" s="6">
        <f>INDEX('vehicles specifications'!$B$3:$CK$86,MATCH(B6,'vehicles specifications'!$A$3:$A$86,0),MATCH("Lightweighting rate [%]",'vehicles specifications'!$B$2:$CK$2,0))</f>
        <v>-0.05</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8.8 kW. Lifetime: 39800 km. Annual kilometers: 2731 km. Number of passengers: 1. Curb mass: 132.5 kg. Lightweighting of glider: -5%. Emission standard: EURO-5. Service visits throughout lifetime: 1. Range: 210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Scooter, gasoline, 4-11kW, EURO-3, 2006</v>
      </c>
      <c r="B31" s="12">
        <v>1</v>
      </c>
      <c r="C31" s="12" t="str">
        <f>B2</f>
        <v>CH</v>
      </c>
      <c r="D31" s="12" t="str">
        <f>B9</f>
        <v>unit</v>
      </c>
      <c r="E31" s="12"/>
      <c r="F31" s="12" t="s">
        <v>85</v>
      </c>
      <c r="G31" s="12" t="s">
        <v>86</v>
      </c>
      <c r="H31" s="12" t="str">
        <f>B3</f>
        <v>Scooter, gasoline, 4-11kW,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1</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0.35555555555555557</v>
      </c>
      <c r="C33" s="12" t="str">
        <f>INDEX('ei names mapping'!$B$38:$R$67,MATCH(B3,'ei names mapping'!$A$4:$A$33,0),MATCH(G33,'ei names mapping'!$B$3:$R$3,0))</f>
        <v>RER</v>
      </c>
      <c r="D33" s="12" t="str">
        <f>INDEX('ei names mapping'!$B$104:$R$133,MATCH($B$3,'ei names mapping'!$A$4:$A$33,0),MATCH(G33,'ei names mapping'!$B$3:$R$3,0))</f>
        <v>unit</v>
      </c>
      <c r="E33" s="12"/>
      <c r="F33" s="12" t="s">
        <v>91</v>
      </c>
      <c r="G33"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0.78749999999999998</v>
      </c>
      <c r="C34" s="12" t="str">
        <f>INDEX('ei names mapping'!$B$38:$R$67,MATCH(B3,'ei names mapping'!$A$4:$A$33,0),MATCH(G34,'ei names mapping'!$B$3:$R$3,0))</f>
        <v>RER</v>
      </c>
      <c r="D34" s="12" t="str">
        <f>INDEX('ei names mapping'!$B$104:$R$133,MATCH($B$3,'ei names mapping'!$A$4:$A$33,0),MATCH(G34,'ei names mapping'!$B$3:$R$3,0))</f>
        <v>kilogram</v>
      </c>
      <c r="E34" s="12"/>
      <c r="F34" s="12" t="s">
        <v>91</v>
      </c>
      <c r="G34" t="s">
        <v>24</v>
      </c>
      <c r="H34" s="12" t="str">
        <f>INDEX('ei names mapping'!$B$71:$R$100,MATCH(B3,'ei names mapping'!$A$4:$A$33,0),MATCH(G34,'ei names mapping'!$B$3:$R$3,0))</f>
        <v>polyethylene, high density, granulate</v>
      </c>
    </row>
    <row r="35" spans="1:8" s="21" customFormat="1" x14ac:dyDescent="0.3">
      <c r="A35" s="22" t="s">
        <v>468</v>
      </c>
      <c r="B35" s="21">
        <f>(B16/1000)*B27</f>
        <v>132.53749999999999</v>
      </c>
      <c r="C35" s="21" t="s">
        <v>94</v>
      </c>
      <c r="D35" s="21" t="s">
        <v>243</v>
      </c>
      <c r="F35" s="21" t="s">
        <v>91</v>
      </c>
      <c r="H35" s="22" t="s">
        <v>469</v>
      </c>
    </row>
    <row r="36" spans="1:8" s="21" customFormat="1" x14ac:dyDescent="0.3">
      <c r="A36" s="22" t="s">
        <v>467</v>
      </c>
      <c r="B36" s="2">
        <f>(B16/1000)*B26</f>
        <v>2107.3462500000001</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Scooter, gasoline, 4-11kW, EURO-4, 2016</v>
      </c>
    </row>
    <row r="39" spans="1:8" x14ac:dyDescent="0.3">
      <c r="A39" t="s">
        <v>73</v>
      </c>
      <c r="B39" t="s">
        <v>37</v>
      </c>
    </row>
    <row r="40" spans="1:8" x14ac:dyDescent="0.3">
      <c r="A40" t="s">
        <v>87</v>
      </c>
      <c r="B40" t="s">
        <v>637</v>
      </c>
    </row>
    <row r="41" spans="1:8" x14ac:dyDescent="0.3">
      <c r="A41" t="s">
        <v>88</v>
      </c>
      <c r="B41" s="12"/>
    </row>
    <row r="42" spans="1:8" x14ac:dyDescent="0.3">
      <c r="A42" t="s">
        <v>89</v>
      </c>
      <c r="B42" s="12">
        <v>2016</v>
      </c>
    </row>
    <row r="43" spans="1:8" x14ac:dyDescent="0.3">
      <c r="A43" t="s">
        <v>131</v>
      </c>
      <c r="B43" s="12" t="str">
        <f>B40&amp;" - "&amp;B42&amp;" - "&amp;B39</f>
        <v>Scooter, gasoline, 4-11kW, EURO-4 - 2016 - CH</v>
      </c>
    </row>
    <row r="44" spans="1:8" x14ac:dyDescent="0.3">
      <c r="A44" t="s">
        <v>74</v>
      </c>
      <c r="B44" t="str">
        <f>B40</f>
        <v>Scooter, gasoline, 4-11kW, EURO-4</v>
      </c>
    </row>
    <row r="45" spans="1:8" x14ac:dyDescent="0.3">
      <c r="A45" t="s">
        <v>75</v>
      </c>
      <c r="B45" t="s">
        <v>76</v>
      </c>
    </row>
    <row r="46" spans="1:8" x14ac:dyDescent="0.3">
      <c r="A46" t="s">
        <v>77</v>
      </c>
      <c r="B46" t="s">
        <v>77</v>
      </c>
    </row>
    <row r="47" spans="1:8" x14ac:dyDescent="0.3">
      <c r="A47" t="s">
        <v>79</v>
      </c>
      <c r="B47" t="s">
        <v>90</v>
      </c>
    </row>
    <row r="48" spans="1:8" x14ac:dyDescent="0.3">
      <c r="A48" t="s">
        <v>132</v>
      </c>
      <c r="B48">
        <f>INDEX('vehicles specifications'!$B$3:$CK$86,MATCH(B43,'vehicles specifications'!$A$3:$A$86,0),MATCH("Lifetime [km]",'vehicles specifications'!$B$2:$CK$2,0))</f>
        <v>39800</v>
      </c>
    </row>
    <row r="49" spans="1:2" x14ac:dyDescent="0.3">
      <c r="A49" t="s">
        <v>133</v>
      </c>
      <c r="B49">
        <f>INDEX('vehicles specifications'!$B$3:$CK$86,MATCH(B43,'vehicles specifications'!$A$3:$A$86,0),MATCH("Passengers [unit]",'vehicles specifications'!$B$2:$CK$2,0))</f>
        <v>1</v>
      </c>
    </row>
    <row r="50" spans="1:2" x14ac:dyDescent="0.3">
      <c r="A50" t="s">
        <v>134</v>
      </c>
      <c r="B50">
        <f>INDEX('vehicles specifications'!$B$3:$CK$86,MATCH(B43,'vehicles specifications'!$A$3:$A$86,0),MATCH("Servicing [unit]",'vehicles specifications'!$B$2:$CK$2,0))</f>
        <v>1</v>
      </c>
    </row>
    <row r="51" spans="1:2" x14ac:dyDescent="0.3">
      <c r="A51" t="s">
        <v>135</v>
      </c>
      <c r="B51">
        <f>INDEX('vehicles specifications'!$B$3:$CK$86,MATCH(B43,'vehicles specifications'!$A$3:$A$86,0),MATCH("Energy battery replacement [unit]",'vehicles specifications'!$B$2:$CK$2,0))</f>
        <v>0</v>
      </c>
    </row>
    <row r="52" spans="1:2" x14ac:dyDescent="0.3">
      <c r="A52" t="s">
        <v>136</v>
      </c>
      <c r="B52">
        <f>INDEX('vehicles specifications'!$B$3:$CK$86,MATCH(B43,'vehicles specifications'!$A$3:$A$86,0),MATCH("Annual kilometers [km]",'vehicles specifications'!$B$2:$CK$2,0))</f>
        <v>2731</v>
      </c>
    </row>
    <row r="53" spans="1:2" x14ac:dyDescent="0.3">
      <c r="A53" t="s">
        <v>137</v>
      </c>
      <c r="B53" s="2">
        <f>INDEX('vehicles specifications'!$B$3:$CK$86,MATCH(B43,'vehicles specifications'!$A$3:$A$86,0),MATCH("Curb mass [kg]",'vehicles specifications'!$B$2:$CK$2,0))</f>
        <v>129.83750000000001</v>
      </c>
    </row>
    <row r="54" spans="1:2" x14ac:dyDescent="0.3">
      <c r="A54" t="s">
        <v>138</v>
      </c>
      <c r="B54">
        <f>INDEX('vehicles specifications'!$B$3:$CK$86,MATCH(B43,'vehicles specifications'!$A$3:$A$86,0),MATCH("Power [kW]",'vehicles specifications'!$B$2:$CK$2,0))</f>
        <v>8.8000000000000007</v>
      </c>
    </row>
    <row r="55" spans="1:2" x14ac:dyDescent="0.3">
      <c r="A55" t="s">
        <v>139</v>
      </c>
      <c r="B55">
        <f>INDEX('vehicles specifications'!$B$3:$CK$86,MATCH(B43,'vehicles specifications'!$A$3:$A$86,0),MATCH("Energy battery mass [kg]",'vehicles specifications'!$B$2:$CK$2,0))</f>
        <v>0</v>
      </c>
    </row>
    <row r="56" spans="1:2" x14ac:dyDescent="0.3">
      <c r="A56" t="s">
        <v>140</v>
      </c>
      <c r="B56">
        <f>INDEX('vehicles specifications'!$B$3:$CK$86,MATCH(B43,'vehicles specifications'!$A$3:$A$86,0),MATCH("Electric energy available [kWh]",'vehicles specifications'!$B$2:$CK$2,0))</f>
        <v>0</v>
      </c>
    </row>
    <row r="57" spans="1:2" x14ac:dyDescent="0.3">
      <c r="A57" t="s">
        <v>143</v>
      </c>
      <c r="B57" s="2">
        <f>INDEX('vehicles specifications'!$B$3:$CK$86,MATCH(B43,'vehicles specifications'!$A$3:$A$86,0),MATCH("Oxydation energy stored [kWh]",'vehicles specifications'!$B$2:$CK$2,0))</f>
        <v>61.833333333333329</v>
      </c>
    </row>
    <row r="58" spans="1:2" x14ac:dyDescent="0.3">
      <c r="A58" t="s">
        <v>145</v>
      </c>
      <c r="B58">
        <f>INDEX('vehicles specifications'!$B$3:$CK$86,MATCH(B43,'vehicles specifications'!$A$3:$A$86,0),MATCH("Fuel mass [kg]",'vehicles specifications'!$B$2:$CK$2,0))</f>
        <v>5.25</v>
      </c>
    </row>
    <row r="59" spans="1:2" x14ac:dyDescent="0.3">
      <c r="A59" t="s">
        <v>141</v>
      </c>
      <c r="B59" s="2">
        <f>INDEX('vehicles specifications'!$B$3:$CK$86,MATCH(B43,'vehicles specifications'!$A$3:$A$86,0),MATCH("Range [km]",'vehicles specifications'!$B$2:$CK$2,0))</f>
        <v>212.46873028686511</v>
      </c>
    </row>
    <row r="60" spans="1:2" x14ac:dyDescent="0.3">
      <c r="A60" t="s">
        <v>142</v>
      </c>
      <c r="B60" t="str">
        <f>INDEX('vehicles specifications'!$B$3:$CK$86,MATCH(B43,'vehicles specifications'!$A$3:$A$86,0),MATCH("Emission standard",'vehicles specifications'!$B$2:$CK$2,0))</f>
        <v>EURO-4</v>
      </c>
    </row>
    <row r="61" spans="1:2" x14ac:dyDescent="0.3">
      <c r="A61" t="s">
        <v>144</v>
      </c>
      <c r="B61" s="6">
        <f>INDEX('vehicles specifications'!$B$3:$CK$86,MATCH(B43,'vehicles specifications'!$A$3:$A$86,0),MATCH("Lightweighting rate [%]",'vehicles specifications'!$B$2:$CK$2,0))</f>
        <v>-0.02</v>
      </c>
    </row>
    <row r="62" spans="1:2" s="21" customFormat="1" x14ac:dyDescent="0.3">
      <c r="A62" s="21" t="s">
        <v>513</v>
      </c>
      <c r="B62" s="6" t="s">
        <v>514</v>
      </c>
    </row>
    <row r="63" spans="1:2" s="21" customFormat="1" x14ac:dyDescent="0.3">
      <c r="A63" s="21" t="s">
        <v>515</v>
      </c>
      <c r="B63" s="2">
        <v>15900</v>
      </c>
    </row>
    <row r="64" spans="1:2" s="21" customFormat="1" x14ac:dyDescent="0.3">
      <c r="A64" s="21" t="s">
        <v>516</v>
      </c>
      <c r="B64" s="2">
        <v>1000</v>
      </c>
    </row>
    <row r="65" spans="1:8" s="21" customFormat="1"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8.8 kW. Lifetime: 39800 km. Annual kilometers: 2731 km. Number of passengers: 1. Curb mass: 129.8 kg. Lightweighting of glider: -2%. Emission standard: EURO-4. Service visits throughout lifetime: 1. Range: 212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t="s">
        <v>81</v>
      </c>
      <c r="B67" t="s">
        <v>82</v>
      </c>
      <c r="C67" t="s">
        <v>73</v>
      </c>
      <c r="D67" t="s">
        <v>77</v>
      </c>
      <c r="E67" t="s">
        <v>83</v>
      </c>
      <c r="F67" t="s">
        <v>75</v>
      </c>
      <c r="G67" t="s">
        <v>84</v>
      </c>
      <c r="H67" t="s">
        <v>74</v>
      </c>
    </row>
    <row r="68" spans="1:8" x14ac:dyDescent="0.3">
      <c r="A68" s="12" t="str">
        <f>B38</f>
        <v>Scooter, gasoline, 4-11kW, EURO-4, 2016</v>
      </c>
      <c r="B68" s="12">
        <v>1</v>
      </c>
      <c r="C68" s="12" t="str">
        <f>B39</f>
        <v>CH</v>
      </c>
      <c r="D68" s="12" t="str">
        <f>B46</f>
        <v>unit</v>
      </c>
      <c r="E68" s="12"/>
      <c r="F68" s="12" t="s">
        <v>85</v>
      </c>
      <c r="G68" s="12" t="s">
        <v>86</v>
      </c>
      <c r="H68" s="12" t="str">
        <f>B40</f>
        <v>Scooter, gasoline, 4-11kW,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1</v>
      </c>
      <c r="C69" s="12" t="str">
        <f>INDEX('ei names mapping'!$B$38:$R$67,MATCH(B40,'ei names mapping'!$A$4:$A$33,0),MATCH(G69,'ei names mapping'!$B$3:$R$3,0))</f>
        <v>RER</v>
      </c>
      <c r="D69" s="12" t="str">
        <f>INDEX('ei names mapping'!$B$104:$R$133,MATCH($B$3,'ei names mapping'!$A$4:$A$33,0),MATCH(G69,'ei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0.35555555555555557</v>
      </c>
      <c r="C70" s="12" t="str">
        <f>INDEX('ei names mapping'!$B$38:$R$67,MATCH(B40,'ei names mapping'!$A$4:$A$33,0),MATCH(G70,'ei names mapping'!$B$3:$R$3,0))</f>
        <v>RER</v>
      </c>
      <c r="D70" s="12" t="str">
        <f>INDEX('ei names mapping'!$B$104:$R$133,MATCH($B$3,'ei names mapping'!$A$4:$A$33,0),MATCH(G70,'ei names mapping'!$B$3:$R$3,0))</f>
        <v>unit</v>
      </c>
      <c r="E70" s="12"/>
      <c r="F70" s="12" t="s">
        <v>91</v>
      </c>
      <c r="G70"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0.78749999999999998</v>
      </c>
      <c r="C71" s="12" t="str">
        <f>INDEX('ei names mapping'!$B$38:$R$67,MATCH(B40,'ei names mapping'!$A$4:$A$33,0),MATCH(G71,'ei names mapping'!$B$3:$R$3,0))</f>
        <v>RER</v>
      </c>
      <c r="D71" s="12" t="str">
        <f>INDEX('ei names mapping'!$B$104:$R$133,MATCH($B$3,'ei names mapping'!$A$4:$A$33,0),MATCH(G71,'ei names mapping'!$B$3:$R$3,0))</f>
        <v>kilogram</v>
      </c>
      <c r="E71" s="12"/>
      <c r="F71" s="12" t="s">
        <v>91</v>
      </c>
      <c r="G71" t="s">
        <v>24</v>
      </c>
      <c r="H71" s="12" t="str">
        <f>INDEX('ei names mapping'!$B$71:$R$100,MATCH(B40,'ei names mapping'!$A$4:$A$33,0),MATCH(G71,'ei names mapping'!$B$3:$R$3,0))</f>
        <v>polyethylene, high density, granulate</v>
      </c>
    </row>
    <row r="72" spans="1:8" s="21" customFormat="1" x14ac:dyDescent="0.3">
      <c r="A72" s="22" t="s">
        <v>468</v>
      </c>
      <c r="B72" s="21">
        <f>(B53/1000)*B64</f>
        <v>129.83750000000001</v>
      </c>
      <c r="C72" s="21" t="s">
        <v>94</v>
      </c>
      <c r="D72" s="21" t="s">
        <v>243</v>
      </c>
      <c r="F72" s="21" t="s">
        <v>91</v>
      </c>
      <c r="H72" s="22" t="s">
        <v>469</v>
      </c>
    </row>
    <row r="73" spans="1:8" s="21" customFormat="1" x14ac:dyDescent="0.3">
      <c r="A73" s="22" t="s">
        <v>467</v>
      </c>
      <c r="B73" s="2">
        <f>(B53/1000)*B63</f>
        <v>2064.4162499999998</v>
      </c>
      <c r="C73" s="21" t="s">
        <v>98</v>
      </c>
      <c r="D73" s="21" t="s">
        <v>243</v>
      </c>
      <c r="F73" s="21" t="s">
        <v>91</v>
      </c>
      <c r="H73" s="22" t="s">
        <v>467</v>
      </c>
    </row>
    <row r="75" spans="1:8" ht="15.6" x14ac:dyDescent="0.3">
      <c r="A75" s="11" t="s">
        <v>72</v>
      </c>
      <c r="B75" s="9" t="str">
        <f>B77&amp;", "&amp;B79</f>
        <v>Scooter, gasoline, 4-11kW, EURO-5, 2020</v>
      </c>
    </row>
    <row r="76" spans="1:8" x14ac:dyDescent="0.3">
      <c r="A76" t="s">
        <v>73</v>
      </c>
      <c r="B76" t="s">
        <v>37</v>
      </c>
    </row>
    <row r="77" spans="1:8" x14ac:dyDescent="0.3">
      <c r="A77" t="s">
        <v>87</v>
      </c>
      <c r="B77" t="s">
        <v>638</v>
      </c>
    </row>
    <row r="78" spans="1:8" x14ac:dyDescent="0.3">
      <c r="A78" t="s">
        <v>88</v>
      </c>
      <c r="B78" s="12"/>
    </row>
    <row r="79" spans="1:8" x14ac:dyDescent="0.3">
      <c r="A79" t="s">
        <v>89</v>
      </c>
      <c r="B79" s="12">
        <v>2020</v>
      </c>
    </row>
    <row r="80" spans="1:8" x14ac:dyDescent="0.3">
      <c r="A80" t="s">
        <v>131</v>
      </c>
      <c r="B80" s="12" t="str">
        <f>B77&amp;" - "&amp;B79&amp;" - "&amp;B76</f>
        <v>Scooter, gasoline, 4-11kW, EURO-5 - 2020 - CH</v>
      </c>
    </row>
    <row r="81" spans="1:2" x14ac:dyDescent="0.3">
      <c r="A81" t="s">
        <v>74</v>
      </c>
      <c r="B81" t="str">
        <f>B77</f>
        <v>Scooter, gasoline, 4-11kW, EURO-5</v>
      </c>
    </row>
    <row r="82" spans="1:2" x14ac:dyDescent="0.3">
      <c r="A82" t="s">
        <v>75</v>
      </c>
      <c r="B82" t="s">
        <v>76</v>
      </c>
    </row>
    <row r="83" spans="1:2" x14ac:dyDescent="0.3">
      <c r="A83" t="s">
        <v>77</v>
      </c>
      <c r="B83" t="s">
        <v>77</v>
      </c>
    </row>
    <row r="84" spans="1:2" x14ac:dyDescent="0.3">
      <c r="A84" t="s">
        <v>79</v>
      </c>
      <c r="B84" t="s">
        <v>90</v>
      </c>
    </row>
    <row r="85" spans="1:2" x14ac:dyDescent="0.3">
      <c r="A85" t="s">
        <v>132</v>
      </c>
      <c r="B85">
        <f>INDEX('vehicles specifications'!$B$3:$CK$86,MATCH(B80,'vehicles specifications'!$A$3:$A$86,0),MATCH("Lifetime [km]",'vehicles specifications'!$B$2:$CK$2,0))</f>
        <v>39800</v>
      </c>
    </row>
    <row r="86" spans="1:2" x14ac:dyDescent="0.3">
      <c r="A86" t="s">
        <v>133</v>
      </c>
      <c r="B86">
        <f>INDEX('vehicles specifications'!$B$3:$CK$86,MATCH(B80,'vehicles specifications'!$A$3:$A$86,0),MATCH("Passengers [unit]",'vehicles specifications'!$B$2:$CK$2,0))</f>
        <v>1</v>
      </c>
    </row>
    <row r="87" spans="1:2" x14ac:dyDescent="0.3">
      <c r="A87" t="s">
        <v>134</v>
      </c>
      <c r="B87">
        <f>INDEX('vehicles specifications'!$B$3:$CK$86,MATCH(B80,'vehicles specifications'!$A$3:$A$86,0),MATCH("Servicing [unit]",'vehicles specifications'!$B$2:$CK$2,0))</f>
        <v>1</v>
      </c>
    </row>
    <row r="88" spans="1:2" x14ac:dyDescent="0.3">
      <c r="A88" t="s">
        <v>135</v>
      </c>
      <c r="B88">
        <f>INDEX('vehicles specifications'!$B$3:$CK$86,MATCH(B80,'vehicles specifications'!$A$3:$A$86,0),MATCH("Energy battery replacement [unit]",'vehicles specifications'!$B$2:$CK$2,0))</f>
        <v>0</v>
      </c>
    </row>
    <row r="89" spans="1:2" x14ac:dyDescent="0.3">
      <c r="A89" t="s">
        <v>136</v>
      </c>
      <c r="B89">
        <f>INDEX('vehicles specifications'!$B$3:$CK$86,MATCH(B80,'vehicles specifications'!$A$3:$A$86,0),MATCH("Annual kilometers [km]",'vehicles specifications'!$B$2:$CK$2,0))</f>
        <v>2731</v>
      </c>
    </row>
    <row r="90" spans="1:2" x14ac:dyDescent="0.3">
      <c r="A90" t="s">
        <v>137</v>
      </c>
      <c r="B90" s="2">
        <f>INDEX('vehicles specifications'!$B$3:$CK$86,MATCH(B80,'vehicles specifications'!$A$3:$A$86,0),MATCH("Curb mass [kg]",'vehicles specifications'!$B$2:$CK$2,0))</f>
        <v>128.03749999999999</v>
      </c>
    </row>
    <row r="91" spans="1:2" x14ac:dyDescent="0.3">
      <c r="A91" t="s">
        <v>138</v>
      </c>
      <c r="B91">
        <f>INDEX('vehicles specifications'!$B$3:$CK$86,MATCH(B80,'vehicles specifications'!$A$3:$A$86,0),MATCH("Power [kW]",'vehicles specifications'!$B$2:$CK$2,0))</f>
        <v>8.8000000000000007</v>
      </c>
    </row>
    <row r="92" spans="1:2" x14ac:dyDescent="0.3">
      <c r="A92" t="s">
        <v>139</v>
      </c>
      <c r="B92">
        <f>INDEX('vehicles specifications'!$B$3:$CK$86,MATCH(B80,'vehicles specifications'!$A$3:$A$86,0),MATCH("Energy battery mass [kg]",'vehicles specifications'!$B$2:$CK$2,0))</f>
        <v>0</v>
      </c>
    </row>
    <row r="93" spans="1:2" x14ac:dyDescent="0.3">
      <c r="A93" t="s">
        <v>140</v>
      </c>
      <c r="B93">
        <f>INDEX('vehicles specifications'!$B$3:$CK$86,MATCH(B80,'vehicles specifications'!$A$3:$A$86,0),MATCH("Electric energy available [kWh]",'vehicles specifications'!$B$2:$CK$2,0))</f>
        <v>0</v>
      </c>
    </row>
    <row r="94" spans="1:2" x14ac:dyDescent="0.3">
      <c r="A94" t="s">
        <v>143</v>
      </c>
      <c r="B94" s="2">
        <f>INDEX('vehicles specifications'!$B$3:$CK$86,MATCH(B80,'vehicles specifications'!$A$3:$A$86,0),MATCH("Oxydation energy stored [kWh]",'vehicles specifications'!$B$2:$CK$2,0))</f>
        <v>61.833333333333329</v>
      </c>
    </row>
    <row r="95" spans="1:2" x14ac:dyDescent="0.3">
      <c r="A95" t="s">
        <v>145</v>
      </c>
      <c r="B95">
        <f>INDEX('vehicles specifications'!$B$3:$CK$86,MATCH(B80,'vehicles specifications'!$A$3:$A$86,0),MATCH("Fuel mass [kg]",'vehicles specifications'!$B$2:$CK$2,0))</f>
        <v>5.25</v>
      </c>
    </row>
    <row r="96" spans="1:2" x14ac:dyDescent="0.3">
      <c r="A96" t="s">
        <v>141</v>
      </c>
      <c r="B96" s="2">
        <f>INDEX('vehicles specifications'!$B$3:$CK$86,MATCH(B80,'vehicles specifications'!$A$3:$A$86,0),MATCH("Range [km]",'vehicles specifications'!$B$2:$CK$2,0))</f>
        <v>214.61487907764152</v>
      </c>
    </row>
    <row r="97" spans="1:8" x14ac:dyDescent="0.3">
      <c r="A97" t="s">
        <v>142</v>
      </c>
      <c r="B97" t="str">
        <f>INDEX('vehicles specifications'!$B$3:$CK$86,MATCH(B80,'vehicles specifications'!$A$3:$A$86,0),MATCH("Emission standard",'vehicles specifications'!$B$2:$CK$2,0))</f>
        <v>EURO-5</v>
      </c>
    </row>
    <row r="98" spans="1:8" x14ac:dyDescent="0.3">
      <c r="A98" t="s">
        <v>144</v>
      </c>
      <c r="B98" s="6">
        <f>INDEX('vehicles specifications'!$B$3:$CK$86,MATCH(B80,'vehicles specifications'!$A$3:$A$86,0),MATCH("Lightweighting rate [%]",'vehicles specifications'!$B$2:$CK$2,0))</f>
        <v>0</v>
      </c>
    </row>
    <row r="99" spans="1:8" s="21" customFormat="1" x14ac:dyDescent="0.3">
      <c r="A99" s="21" t="s">
        <v>513</v>
      </c>
      <c r="B99" s="6" t="s">
        <v>514</v>
      </c>
    </row>
    <row r="100" spans="1:8" s="21" customFormat="1" x14ac:dyDescent="0.3">
      <c r="A100" s="21" t="s">
        <v>515</v>
      </c>
      <c r="B100" s="2">
        <v>15900</v>
      </c>
    </row>
    <row r="101" spans="1:8" s="21" customFormat="1" x14ac:dyDescent="0.3">
      <c r="A101" s="21" t="s">
        <v>516</v>
      </c>
      <c r="B101" s="2">
        <v>1000</v>
      </c>
    </row>
    <row r="102" spans="1:8" s="21" customFormat="1"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8.8 kW. Lifetime: 39800 km. Annual kilometers: 2731 km. Number of passengers: 1. Curb mass: 128 kg. Lightweighting of glider: 0%. Emission standard: EURO-5. Service visits throughout lifetime: 1. Range: 215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t="s">
        <v>81</v>
      </c>
      <c r="B104" t="s">
        <v>82</v>
      </c>
      <c r="C104" t="s">
        <v>73</v>
      </c>
      <c r="D104" t="s">
        <v>77</v>
      </c>
      <c r="E104" t="s">
        <v>83</v>
      </c>
      <c r="F104" t="s">
        <v>75</v>
      </c>
      <c r="G104" t="s">
        <v>84</v>
      </c>
      <c r="H104" t="s">
        <v>74</v>
      </c>
    </row>
    <row r="105" spans="1:8" x14ac:dyDescent="0.3">
      <c r="A105" s="12" t="str">
        <f>B75</f>
        <v>Scooter, gasoline, 4-11kW, EURO-5, 2020</v>
      </c>
      <c r="B105" s="12">
        <v>1</v>
      </c>
      <c r="C105" s="12" t="str">
        <f>B76</f>
        <v>CH</v>
      </c>
      <c r="D105" s="12" t="str">
        <f>B83</f>
        <v>unit</v>
      </c>
      <c r="E105" s="12"/>
      <c r="F105" s="12" t="s">
        <v>85</v>
      </c>
      <c r="G105" s="12" t="s">
        <v>86</v>
      </c>
      <c r="H105" s="12" t="str">
        <f>B77</f>
        <v>Scooter, gasoline, 4-11kW,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1</v>
      </c>
      <c r="C106" s="12" t="str">
        <f>INDEX('ei names mapping'!$B$38:$R$67,MATCH(B77,'ei names mapping'!$A$4:$A$33,0),MATCH(G106,'ei names mapping'!$B$3:$R$3,0))</f>
        <v>RER</v>
      </c>
      <c r="D106" s="12" t="str">
        <f>INDEX('ei names mapping'!$B$104:$R$133,MATCH($B$3,'ei names mapping'!$A$4:$A$33,0),MATCH(G106,'ei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0.35555555555555557</v>
      </c>
      <c r="C107" s="12" t="str">
        <f>INDEX('ei names mapping'!$B$38:$R$67,MATCH(B77,'ei names mapping'!$A$4:$A$33,0),MATCH(G107,'ei names mapping'!$B$3:$R$3,0))</f>
        <v>RER</v>
      </c>
      <c r="D107" s="12" t="str">
        <f>INDEX('ei names mapping'!$B$104:$R$133,MATCH($B$3,'ei names mapping'!$A$4:$A$33,0),MATCH(G107,'ei names mapping'!$B$3:$R$3,0))</f>
        <v>unit</v>
      </c>
      <c r="E107" s="12"/>
      <c r="F107" s="12" t="s">
        <v>91</v>
      </c>
      <c r="G107" t="s">
        <v>16</v>
      </c>
      <c r="H107" s="12" t="str">
        <f>INDEX('ei names mapping'!$B$71:$R$100,MATCH(B77,'ei names mapping'!$A$4:$A$33,0),MATCH(G107,'ei names mapping'!$B$3:$R$3,0))</f>
        <v>motor scooter, 50 cubic cm engine</v>
      </c>
    </row>
    <row r="108" spans="1:8" s="21" customFormat="1"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mapping'!$A$4:$A$33,0),MATCH(G108,'ei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0.78749999999999998</v>
      </c>
      <c r="C109" s="12" t="str">
        <f>INDEX('ei names mapping'!$B$38:$R$67,MATCH(B77,'ei names mapping'!$A$4:$A$33,0),MATCH(G109,'ei names mapping'!$B$3:$R$3,0))</f>
        <v>RER</v>
      </c>
      <c r="D109" s="12" t="str">
        <f>INDEX('ei names mapping'!$B$104:$R$133,MATCH($B$3,'ei names mapping'!$A$4:$A$33,0),MATCH(G109,'ei names mapping'!$B$3:$R$3,0))</f>
        <v>kilogram</v>
      </c>
      <c r="E109" s="12"/>
      <c r="F109" s="12" t="s">
        <v>91</v>
      </c>
      <c r="G109" t="s">
        <v>24</v>
      </c>
      <c r="H109" s="12" t="str">
        <f>INDEX('ei names mapping'!$B$71:$R$100,MATCH(B77,'ei names mapping'!$A$4:$A$33,0),MATCH(G109,'ei names mapping'!$B$3:$R$3,0))</f>
        <v>polyethylene, high density, granulate</v>
      </c>
    </row>
    <row r="110" spans="1:8" s="21" customFormat="1" x14ac:dyDescent="0.3">
      <c r="A110" s="22" t="s">
        <v>468</v>
      </c>
      <c r="B110" s="21">
        <f>(B90/1000)*B101</f>
        <v>128.03749999999999</v>
      </c>
      <c r="C110" s="21" t="s">
        <v>94</v>
      </c>
      <c r="D110" s="21" t="s">
        <v>243</v>
      </c>
      <c r="F110" s="21" t="s">
        <v>91</v>
      </c>
      <c r="H110" s="22" t="s">
        <v>469</v>
      </c>
    </row>
    <row r="111" spans="1:8" s="21" customFormat="1" x14ac:dyDescent="0.3">
      <c r="A111" s="22" t="s">
        <v>467</v>
      </c>
      <c r="B111" s="2">
        <f>(B90/1000)*B100</f>
        <v>2035.7962499999999</v>
      </c>
      <c r="C111" s="21" t="s">
        <v>98</v>
      </c>
      <c r="D111" s="21" t="s">
        <v>243</v>
      </c>
      <c r="F111" s="21" t="s">
        <v>91</v>
      </c>
      <c r="H111" s="22" t="s">
        <v>467</v>
      </c>
    </row>
    <row r="113" spans="1:2" ht="15.6" x14ac:dyDescent="0.3">
      <c r="A113" s="11" t="s">
        <v>72</v>
      </c>
      <c r="B113" s="9" t="str">
        <f>B115&amp;", "&amp;B117</f>
        <v>Scooter, gasoline, 4-11kW, EURO-5, 2030</v>
      </c>
    </row>
    <row r="114" spans="1:2" x14ac:dyDescent="0.3">
      <c r="A114" t="s">
        <v>73</v>
      </c>
      <c r="B114" t="s">
        <v>37</v>
      </c>
    </row>
    <row r="115" spans="1:2" x14ac:dyDescent="0.3">
      <c r="A115" t="s">
        <v>87</v>
      </c>
      <c r="B115" t="s">
        <v>638</v>
      </c>
    </row>
    <row r="116" spans="1:2" x14ac:dyDescent="0.3">
      <c r="A116" t="s">
        <v>88</v>
      </c>
      <c r="B116" s="12"/>
    </row>
    <row r="117" spans="1:2" x14ac:dyDescent="0.3">
      <c r="A117" t="s">
        <v>89</v>
      </c>
      <c r="B117" s="12">
        <v>2030</v>
      </c>
    </row>
    <row r="118" spans="1:2" x14ac:dyDescent="0.3">
      <c r="A118" t="s">
        <v>131</v>
      </c>
      <c r="B118" s="12" t="str">
        <f>B115&amp;" - "&amp;B117&amp;" - "&amp;B114</f>
        <v>Scooter, gasoline, 4-11kW, EURO-5 - 2030 - CH</v>
      </c>
    </row>
    <row r="119" spans="1:2" x14ac:dyDescent="0.3">
      <c r="A119" t="s">
        <v>74</v>
      </c>
      <c r="B119" t="str">
        <f>B115</f>
        <v>Scooter, gasoline, 4-11kW, EURO-5</v>
      </c>
    </row>
    <row r="120" spans="1:2" x14ac:dyDescent="0.3">
      <c r="A120" t="s">
        <v>75</v>
      </c>
      <c r="B120" t="s">
        <v>76</v>
      </c>
    </row>
    <row r="121" spans="1:2" x14ac:dyDescent="0.3">
      <c r="A121" t="s">
        <v>77</v>
      </c>
      <c r="B121" t="s">
        <v>77</v>
      </c>
    </row>
    <row r="122" spans="1:2" x14ac:dyDescent="0.3">
      <c r="A122" t="s">
        <v>79</v>
      </c>
      <c r="B122" t="s">
        <v>90</v>
      </c>
    </row>
    <row r="123" spans="1:2" x14ac:dyDescent="0.3">
      <c r="A123" t="s">
        <v>132</v>
      </c>
      <c r="B123">
        <f>INDEX('vehicles specifications'!$B$3:$CK$86,MATCH(B118,'vehicles specifications'!$A$3:$A$86,0),MATCH("Lifetime [km]",'vehicles specifications'!$B$2:$CK$2,0))</f>
        <v>39800</v>
      </c>
    </row>
    <row r="124" spans="1:2" x14ac:dyDescent="0.3">
      <c r="A124" t="s">
        <v>133</v>
      </c>
      <c r="B124">
        <f>INDEX('vehicles specifications'!$B$3:$CK$86,MATCH(B118,'vehicles specifications'!$A$3:$A$86,0),MATCH("Passengers [unit]",'vehicles specifications'!$B$2:$CK$2,0))</f>
        <v>1</v>
      </c>
    </row>
    <row r="125" spans="1:2" x14ac:dyDescent="0.3">
      <c r="A125" t="s">
        <v>134</v>
      </c>
      <c r="B125">
        <f>INDEX('vehicles specifications'!$B$3:$CK$86,MATCH(B118,'vehicles specifications'!$A$3:$A$86,0),MATCH("Servicing [unit]",'vehicles specifications'!$B$2:$CK$2,0))</f>
        <v>1</v>
      </c>
    </row>
    <row r="126" spans="1:2" x14ac:dyDescent="0.3">
      <c r="A126" t="s">
        <v>135</v>
      </c>
      <c r="B126">
        <f>INDEX('vehicles specifications'!$B$3:$CK$86,MATCH(B118,'vehicles specifications'!$A$3:$A$86,0),MATCH("Energy battery replacement [unit]",'vehicles specifications'!$B$2:$CK$2,0))</f>
        <v>0</v>
      </c>
    </row>
    <row r="127" spans="1:2" x14ac:dyDescent="0.3">
      <c r="A127" t="s">
        <v>136</v>
      </c>
      <c r="B127">
        <f>INDEX('vehicles specifications'!$B$3:$CK$86,MATCH(B118,'vehicles specifications'!$A$3:$A$86,0),MATCH("Annual kilometers [km]",'vehicles specifications'!$B$2:$CK$2,0))</f>
        <v>2731</v>
      </c>
    </row>
    <row r="128" spans="1:2" x14ac:dyDescent="0.3">
      <c r="A128" t="s">
        <v>137</v>
      </c>
      <c r="B128" s="2">
        <f>INDEX('vehicles specifications'!$B$3:$CK$86,MATCH(B118,'vehicles specifications'!$A$3:$A$86,0),MATCH("Curb mass [kg]",'vehicles specifications'!$B$2:$CK$2,0))</f>
        <v>124.33749999999999</v>
      </c>
    </row>
    <row r="129" spans="1:8" x14ac:dyDescent="0.3">
      <c r="A129" t="s">
        <v>138</v>
      </c>
      <c r="B129">
        <f>INDEX('vehicles specifications'!$B$3:$CK$86,MATCH(B118,'vehicles specifications'!$A$3:$A$86,0),MATCH("Power [kW]",'vehicles specifications'!$B$2:$CK$2,0))</f>
        <v>8.8000000000000007</v>
      </c>
    </row>
    <row r="130" spans="1:8" x14ac:dyDescent="0.3">
      <c r="A130" t="s">
        <v>139</v>
      </c>
      <c r="B130">
        <f>INDEX('vehicles specifications'!$B$3:$CK$86,MATCH(B118,'vehicles specifications'!$A$3:$A$86,0),MATCH("Energy battery mass [kg]",'vehicles specifications'!$B$2:$CK$2,0))</f>
        <v>0</v>
      </c>
    </row>
    <row r="131" spans="1:8" x14ac:dyDescent="0.3">
      <c r="A131" t="s">
        <v>140</v>
      </c>
      <c r="B131">
        <f>INDEX('vehicles specifications'!$B$3:$CK$86,MATCH(B118,'vehicles specifications'!$A$3:$A$86,0),MATCH("Electric energy available [kWh]",'vehicles specifications'!$B$2:$CK$2,0))</f>
        <v>0</v>
      </c>
    </row>
    <row r="132" spans="1:8" x14ac:dyDescent="0.3">
      <c r="A132" t="s">
        <v>143</v>
      </c>
      <c r="B132" s="2">
        <f>INDEX('vehicles specifications'!$B$3:$CK$86,MATCH(B118,'vehicles specifications'!$A$3:$A$86,0),MATCH("Oxydation energy stored [kWh]",'vehicles specifications'!$B$2:$CK$2,0))</f>
        <v>61.833333333333329</v>
      </c>
    </row>
    <row r="133" spans="1:8" x14ac:dyDescent="0.3">
      <c r="A133" t="s">
        <v>145</v>
      </c>
      <c r="B133">
        <f>INDEX('vehicles specifications'!$B$3:$CK$86,MATCH(B118,'vehicles specifications'!$A$3:$A$86,0),MATCH("Fuel mass [kg]",'vehicles specifications'!$B$2:$CK$2,0))</f>
        <v>5.25</v>
      </c>
    </row>
    <row r="134" spans="1:8" x14ac:dyDescent="0.3">
      <c r="A134" t="s">
        <v>141</v>
      </c>
      <c r="B134" s="2">
        <f>INDEX('vehicles specifications'!$B$3:$CK$86,MATCH(B118,'vehicles specifications'!$A$3:$A$86,0),MATCH("Range [km]",'vehicles specifications'!$B$2:$CK$2,0))</f>
        <v>216.78270613903183</v>
      </c>
    </row>
    <row r="135" spans="1:8" x14ac:dyDescent="0.3">
      <c r="A135" t="s">
        <v>142</v>
      </c>
      <c r="B135" t="str">
        <f>INDEX('vehicles specifications'!$B$3:$CK$86,MATCH(B118,'vehicles specifications'!$A$3:$A$86,0),MATCH("Emission standard",'vehicles specifications'!$B$2:$CK$2,0))</f>
        <v>EURO-5</v>
      </c>
    </row>
    <row r="136" spans="1:8" x14ac:dyDescent="0.3">
      <c r="A136" t="s">
        <v>144</v>
      </c>
      <c r="B136" s="6">
        <f>INDEX('vehicles specifications'!$B$3:$CK$86,MATCH(B118,'vehicles specifications'!$A$3:$A$86,0),MATCH("Lightweighting rate [%]",'vehicles specifications'!$B$2:$CK$2,0))</f>
        <v>0.03</v>
      </c>
    </row>
    <row r="137" spans="1:8" s="21" customFormat="1" x14ac:dyDescent="0.3">
      <c r="A137" s="21" t="s">
        <v>513</v>
      </c>
      <c r="B137" s="6" t="s">
        <v>514</v>
      </c>
    </row>
    <row r="138" spans="1:8" s="21" customFormat="1" x14ac:dyDescent="0.3">
      <c r="A138" s="21" t="s">
        <v>515</v>
      </c>
      <c r="B138" s="2">
        <v>15900</v>
      </c>
    </row>
    <row r="139" spans="1:8" s="21" customFormat="1" x14ac:dyDescent="0.3">
      <c r="A139" s="21" t="s">
        <v>516</v>
      </c>
      <c r="B139" s="2">
        <v>1000</v>
      </c>
    </row>
    <row r="140" spans="1:8" s="21" customFormat="1"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8.8 kW. Lifetime: 39800 km. Annual kilometers: 2731 km. Number of passengers: 1. Curb mass: 124.3 kg. Lightweighting of glider: 3%. Emission standard: EURO-5. Service visits throughout lifetime: 1. Range: 217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t="s">
        <v>81</v>
      </c>
      <c r="B142" t="s">
        <v>82</v>
      </c>
      <c r="C142" t="s">
        <v>73</v>
      </c>
      <c r="D142" t="s">
        <v>77</v>
      </c>
      <c r="E142" t="s">
        <v>83</v>
      </c>
      <c r="F142" t="s">
        <v>75</v>
      </c>
      <c r="G142" t="s">
        <v>84</v>
      </c>
      <c r="H142" t="s">
        <v>74</v>
      </c>
    </row>
    <row r="143" spans="1:8" x14ac:dyDescent="0.3">
      <c r="A143" s="12" t="str">
        <f>B113</f>
        <v>Scooter, gasoline, 4-11kW, EURO-5, 2030</v>
      </c>
      <c r="B143" s="12">
        <v>1</v>
      </c>
      <c r="C143" s="12" t="str">
        <f>B114</f>
        <v>CH</v>
      </c>
      <c r="D143" s="12" t="str">
        <f>B121</f>
        <v>unit</v>
      </c>
      <c r="E143" s="12"/>
      <c r="F143" s="12" t="s">
        <v>85</v>
      </c>
      <c r="G143" s="12" t="s">
        <v>86</v>
      </c>
      <c r="H143" s="12" t="str">
        <f>B115</f>
        <v>Scooter, gasoline, 4-11kW,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1</v>
      </c>
      <c r="C144" s="12" t="str">
        <f>INDEX('ei names mapping'!$B$38:$R$67,MATCH(B115,'ei names mapping'!$A$4:$A$33,0),MATCH(G144,'ei names mapping'!$B$3:$R$3,0))</f>
        <v>RER</v>
      </c>
      <c r="D144" s="12" t="str">
        <f>INDEX('ei names mapping'!$B$104:$R$133,MATCH($B$3,'ei names mapping'!$A$4:$A$33,0),MATCH(G144,'ei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0.34444444444444444</v>
      </c>
      <c r="C145" s="12" t="str">
        <f>INDEX('ei names mapping'!$B$38:$R$67,MATCH(B115,'ei names mapping'!$A$4:$A$33,0),MATCH(G145,'ei names mapping'!$B$3:$R$3,0))</f>
        <v>RER</v>
      </c>
      <c r="D145" s="12" t="str">
        <f>INDEX('ei names mapping'!$B$104:$R$133,MATCH($B$3,'ei names mapping'!$A$4:$A$33,0),MATCH(G145,'ei names mapping'!$B$3:$R$3,0))</f>
        <v>unit</v>
      </c>
      <c r="E145" s="12"/>
      <c r="F145" s="12" t="s">
        <v>91</v>
      </c>
      <c r="G145" t="s">
        <v>16</v>
      </c>
      <c r="H145" s="12" t="str">
        <f>INDEX('ei names mapping'!$B$71:$R$100,MATCH(B115,'ei names mapping'!$A$4:$A$33,0),MATCH(G145,'ei names mapping'!$B$3:$R$3,0))</f>
        <v>motor scooter, 50 cubic cm engine</v>
      </c>
    </row>
    <row r="146" spans="1:8" s="21" customFormat="1"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2.6999999999999997</v>
      </c>
      <c r="C146" s="12" t="str">
        <f>INDEX('ei names mapping'!$B$38:$R$67,MATCH(B115,'ei names mapping'!$A$4:$A$33,0),MATCH(G146,'ei names mapping'!$B$3:$R$3,0))</f>
        <v>GLO</v>
      </c>
      <c r="D146" s="12" t="str">
        <f>INDEX('ei names mapping'!$B$104:$R$133,MATCH(B115,'ei names mapping'!$A$4:$A$33,0),MATCH(G146,'ei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0.78749999999999998</v>
      </c>
      <c r="C147" s="12" t="str">
        <f>INDEX('ei names mapping'!$B$38:$R$67,MATCH(B115,'ei names mapping'!$A$4:$A$33,0),MATCH(G147,'ei names mapping'!$B$3:$R$3,0))</f>
        <v>RER</v>
      </c>
      <c r="D147" s="12" t="str">
        <f>INDEX('ei names mapping'!$B$104:$R$133,MATCH($B$3,'ei names mapping'!$A$4:$A$33,0),MATCH(G147,'ei names mapping'!$B$3:$R$3,0))</f>
        <v>kilogram</v>
      </c>
      <c r="E147" s="12"/>
      <c r="F147" s="12" t="s">
        <v>91</v>
      </c>
      <c r="G147" t="s">
        <v>24</v>
      </c>
      <c r="H147" s="12" t="str">
        <f>INDEX('ei names mapping'!$B$71:$R$100,MATCH(B115,'ei names mapping'!$A$4:$A$33,0),MATCH(G147,'ei names mapping'!$B$3:$R$3,0))</f>
        <v>polyethylene, high density, granulate</v>
      </c>
    </row>
    <row r="148" spans="1:8" s="21" customFormat="1" x14ac:dyDescent="0.3">
      <c r="A148" s="22" t="s">
        <v>468</v>
      </c>
      <c r="B148" s="21">
        <f>(B128/1000)*B139</f>
        <v>124.33749999999999</v>
      </c>
      <c r="C148" s="21" t="s">
        <v>94</v>
      </c>
      <c r="D148" s="21" t="s">
        <v>243</v>
      </c>
      <c r="F148" s="21" t="s">
        <v>91</v>
      </c>
      <c r="H148" s="22" t="s">
        <v>469</v>
      </c>
    </row>
    <row r="149" spans="1:8" s="21" customFormat="1" x14ac:dyDescent="0.3">
      <c r="A149" s="22" t="s">
        <v>467</v>
      </c>
      <c r="B149" s="2">
        <f>(B128/1000)*B138</f>
        <v>1976.9662499999999</v>
      </c>
      <c r="C149" s="21" t="s">
        <v>98</v>
      </c>
      <c r="D149" s="21" t="s">
        <v>243</v>
      </c>
      <c r="F149" s="21" t="s">
        <v>91</v>
      </c>
      <c r="H149" s="22" t="s">
        <v>467</v>
      </c>
    </row>
    <row r="151" spans="1:8" ht="15.6" x14ac:dyDescent="0.3">
      <c r="A151" s="11" t="s">
        <v>72</v>
      </c>
      <c r="B151" s="9" t="str">
        <f>B153&amp;", "&amp;B155</f>
        <v>Scooter, gasoline, 4-11kW, EURO-5, 2040</v>
      </c>
    </row>
    <row r="152" spans="1:8" x14ac:dyDescent="0.3">
      <c r="A152" t="s">
        <v>73</v>
      </c>
      <c r="B152" t="s">
        <v>37</v>
      </c>
    </row>
    <row r="153" spans="1:8" x14ac:dyDescent="0.3">
      <c r="A153" t="s">
        <v>87</v>
      </c>
      <c r="B153" t="s">
        <v>638</v>
      </c>
    </row>
    <row r="154" spans="1:8" x14ac:dyDescent="0.3">
      <c r="A154" t="s">
        <v>88</v>
      </c>
      <c r="B154" s="12"/>
    </row>
    <row r="155" spans="1:8" x14ac:dyDescent="0.3">
      <c r="A155" t="s">
        <v>89</v>
      </c>
      <c r="B155" s="12">
        <v>2040</v>
      </c>
    </row>
    <row r="156" spans="1:8" x14ac:dyDescent="0.3">
      <c r="A156" t="s">
        <v>131</v>
      </c>
      <c r="B156" s="12" t="str">
        <f>B153&amp;" - "&amp;B155&amp;" - "&amp;B152</f>
        <v>Scooter, gasoline, 4-11kW, EURO-5 - 2040 - CH</v>
      </c>
    </row>
    <row r="157" spans="1:8" x14ac:dyDescent="0.3">
      <c r="A157" t="s">
        <v>74</v>
      </c>
      <c r="B157" t="str">
        <f>B153</f>
        <v>Scooter, gasoline, 4-11kW, EURO-5</v>
      </c>
    </row>
    <row r="158" spans="1:8" x14ac:dyDescent="0.3">
      <c r="A158" t="s">
        <v>75</v>
      </c>
      <c r="B158" t="s">
        <v>76</v>
      </c>
    </row>
    <row r="159" spans="1:8" x14ac:dyDescent="0.3">
      <c r="A159" t="s">
        <v>77</v>
      </c>
      <c r="B159" t="s">
        <v>77</v>
      </c>
    </row>
    <row r="160" spans="1:8" x14ac:dyDescent="0.3">
      <c r="A160" t="s">
        <v>79</v>
      </c>
      <c r="B160" t="s">
        <v>90</v>
      </c>
    </row>
    <row r="161" spans="1:2" x14ac:dyDescent="0.3">
      <c r="A161" t="s">
        <v>132</v>
      </c>
      <c r="B161">
        <f>INDEX('vehicles specifications'!$B$3:$CK$86,MATCH(B156,'vehicles specifications'!$A$3:$A$86,0),MATCH("Lifetime [km]",'vehicles specifications'!$B$2:$CK$2,0))</f>
        <v>39800</v>
      </c>
    </row>
    <row r="162" spans="1:2" x14ac:dyDescent="0.3">
      <c r="A162" t="s">
        <v>133</v>
      </c>
      <c r="B162">
        <f>INDEX('vehicles specifications'!$B$3:$CK$86,MATCH(B156,'vehicles specifications'!$A$3:$A$86,0),MATCH("Passengers [unit]",'vehicles specifications'!$B$2:$CK$2,0))</f>
        <v>1</v>
      </c>
    </row>
    <row r="163" spans="1:2" x14ac:dyDescent="0.3">
      <c r="A163" t="s">
        <v>134</v>
      </c>
      <c r="B163">
        <f>INDEX('vehicles specifications'!$B$3:$CK$86,MATCH(B156,'vehicles specifications'!$A$3:$A$86,0),MATCH("Servicing [unit]",'vehicles specifications'!$B$2:$CK$2,0))</f>
        <v>1</v>
      </c>
    </row>
    <row r="164" spans="1:2" x14ac:dyDescent="0.3">
      <c r="A164" t="s">
        <v>135</v>
      </c>
      <c r="B164">
        <f>INDEX('vehicles specifications'!$B$3:$CK$86,MATCH(B156,'vehicles specifications'!$A$3:$A$86,0),MATCH("Energy battery replacement [unit]",'vehicles specifications'!$B$2:$CK$2,0))</f>
        <v>0</v>
      </c>
    </row>
    <row r="165" spans="1:2" x14ac:dyDescent="0.3">
      <c r="A165" t="s">
        <v>136</v>
      </c>
      <c r="B165">
        <f>INDEX('vehicles specifications'!$B$3:$CK$86,MATCH(B156,'vehicles specifications'!$A$3:$A$86,0),MATCH("Annual kilometers [km]",'vehicles specifications'!$B$2:$CK$2,0))</f>
        <v>2731</v>
      </c>
    </row>
    <row r="166" spans="1:2" x14ac:dyDescent="0.3">
      <c r="A166" t="s">
        <v>137</v>
      </c>
      <c r="B166" s="2">
        <f>INDEX('vehicles specifications'!$B$3:$CK$86,MATCH(B156,'vehicles specifications'!$A$3:$A$86,0),MATCH("Curb mass [kg]",'vehicles specifications'!$B$2:$CK$2,0))</f>
        <v>121.63749999999999</v>
      </c>
    </row>
    <row r="167" spans="1:2" x14ac:dyDescent="0.3">
      <c r="A167" t="s">
        <v>138</v>
      </c>
      <c r="B167">
        <f>INDEX('vehicles specifications'!$B$3:$CK$86,MATCH(B156,'vehicles specifications'!$A$3:$A$86,0),MATCH("Power [kW]",'vehicles specifications'!$B$2:$CK$2,0))</f>
        <v>8.8000000000000007</v>
      </c>
    </row>
    <row r="168" spans="1:2" x14ac:dyDescent="0.3">
      <c r="A168" t="s">
        <v>139</v>
      </c>
      <c r="B168">
        <f>INDEX('vehicles specifications'!$B$3:$CK$86,MATCH(B156,'vehicles specifications'!$A$3:$A$86,0),MATCH("Energy battery mass [kg]",'vehicles specifications'!$B$2:$CK$2,0))</f>
        <v>0</v>
      </c>
    </row>
    <row r="169" spans="1:2" x14ac:dyDescent="0.3">
      <c r="A169" t="s">
        <v>140</v>
      </c>
      <c r="B169">
        <f>INDEX('vehicles specifications'!$B$3:$CK$86,MATCH(B156,'vehicles specifications'!$A$3:$A$86,0),MATCH("Electric energy available [kWh]",'vehicles specifications'!$B$2:$CK$2,0))</f>
        <v>0</v>
      </c>
    </row>
    <row r="170" spans="1:2" x14ac:dyDescent="0.3">
      <c r="A170" t="s">
        <v>143</v>
      </c>
      <c r="B170" s="2">
        <f>INDEX('vehicles specifications'!$B$3:$CK$86,MATCH(B156,'vehicles specifications'!$A$3:$A$86,0),MATCH("Oxydation energy stored [kWh]",'vehicles specifications'!$B$2:$CK$2,0))</f>
        <v>61.833333333333329</v>
      </c>
    </row>
    <row r="171" spans="1:2" x14ac:dyDescent="0.3">
      <c r="A171" t="s">
        <v>145</v>
      </c>
      <c r="B171">
        <f>INDEX('vehicles specifications'!$B$3:$CK$86,MATCH(B156,'vehicles specifications'!$A$3:$A$86,0),MATCH("Fuel mass [kg]",'vehicles specifications'!$B$2:$CK$2,0))</f>
        <v>5.25</v>
      </c>
    </row>
    <row r="172" spans="1:2" x14ac:dyDescent="0.3">
      <c r="A172" t="s">
        <v>141</v>
      </c>
      <c r="B172" s="2">
        <f>INDEX('vehicles specifications'!$B$3:$CK$86,MATCH(B156,'vehicles specifications'!$A$3:$A$86,0),MATCH("Range [km]",'vehicles specifications'!$B$2:$CK$2,0))</f>
        <v>218.97243044346649</v>
      </c>
    </row>
    <row r="173" spans="1:2" x14ac:dyDescent="0.3">
      <c r="A173" t="s">
        <v>142</v>
      </c>
      <c r="B173" t="str">
        <f>INDEX('vehicles specifications'!$B$3:$CK$86,MATCH(B156,'vehicles specifications'!$A$3:$A$86,0),MATCH("Emission standard",'vehicles specifications'!$B$2:$CK$2,0))</f>
        <v>EURO-5</v>
      </c>
    </row>
    <row r="174" spans="1:2" x14ac:dyDescent="0.3">
      <c r="A174" t="s">
        <v>144</v>
      </c>
      <c r="B174" s="6">
        <f>INDEX('vehicles specifications'!$B$3:$CK$86,MATCH(B156,'vehicles specifications'!$A$3:$A$86,0),MATCH("Lightweighting rate [%]",'vehicles specifications'!$B$2:$CK$2,0))</f>
        <v>0.05</v>
      </c>
    </row>
    <row r="175" spans="1:2" s="21" customFormat="1" x14ac:dyDescent="0.3">
      <c r="A175" s="21" t="s">
        <v>513</v>
      </c>
      <c r="B175" s="6" t="s">
        <v>514</v>
      </c>
    </row>
    <row r="176" spans="1:2" s="21" customFormat="1" x14ac:dyDescent="0.3">
      <c r="A176" s="21" t="s">
        <v>515</v>
      </c>
      <c r="B176" s="2">
        <v>15900</v>
      </c>
    </row>
    <row r="177" spans="1:8" s="21" customFormat="1" x14ac:dyDescent="0.3">
      <c r="A177" s="21" t="s">
        <v>516</v>
      </c>
      <c r="B177" s="2">
        <v>1000</v>
      </c>
    </row>
    <row r="178" spans="1:8" s="21" customFormat="1"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8.8 kW. Lifetime: 39800 km. Annual kilometers: 2731 km. Number of passengers: 1. Curb mass: 121.6 kg. Lightweighting of glider: 5%. Emission standard: EURO-5. Service visits throughout lifetime: 1. Range: 219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t="s">
        <v>81</v>
      </c>
      <c r="B180" t="s">
        <v>82</v>
      </c>
      <c r="C180" t="s">
        <v>73</v>
      </c>
      <c r="D180" t="s">
        <v>77</v>
      </c>
      <c r="E180" t="s">
        <v>83</v>
      </c>
      <c r="F180" t="s">
        <v>75</v>
      </c>
      <c r="G180" t="s">
        <v>84</v>
      </c>
      <c r="H180" t="s">
        <v>74</v>
      </c>
    </row>
    <row r="181" spans="1:8" x14ac:dyDescent="0.3">
      <c r="A181" s="12" t="str">
        <f>B151</f>
        <v>Scooter, gasoline, 4-11kW, EURO-5, 2040</v>
      </c>
      <c r="B181" s="12">
        <v>1</v>
      </c>
      <c r="C181" s="12" t="str">
        <f>B152</f>
        <v>CH</v>
      </c>
      <c r="D181" s="12" t="str">
        <f>B159</f>
        <v>unit</v>
      </c>
      <c r="E181" s="12"/>
      <c r="F181" s="12" t="s">
        <v>85</v>
      </c>
      <c r="G181" s="12" t="s">
        <v>86</v>
      </c>
      <c r="H181" s="12" t="str">
        <f>B153</f>
        <v>Scooter, gasoline, 4-11kW,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1</v>
      </c>
      <c r="C182" s="12" t="str">
        <f>INDEX('ei names mapping'!$B$38:$R$67,MATCH(B153,'ei names mapping'!$A$4:$A$33,0),MATCH(G182,'ei names mapping'!$B$3:$R$3,0))</f>
        <v>RER</v>
      </c>
      <c r="D182" s="12" t="str">
        <f>INDEX('ei names mapping'!$B$104:$R$133,MATCH($B$3,'ei names mapping'!$A$4:$A$33,0),MATCH(G182,'ei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0.33444444444444449</v>
      </c>
      <c r="C183" s="12" t="str">
        <f>INDEX('ei names mapping'!$B$38:$R$67,MATCH(B153,'ei names mapping'!$A$4:$A$33,0),MATCH(G183,'ei names mapping'!$B$3:$R$3,0))</f>
        <v>RER</v>
      </c>
      <c r="D183" s="12" t="str">
        <f>INDEX('ei names mapping'!$B$104:$R$133,MATCH($B$3,'ei names mapping'!$A$4:$A$33,0),MATCH(G183,'ei names mapping'!$B$3:$R$3,0))</f>
        <v>unit</v>
      </c>
      <c r="E183" s="12"/>
      <c r="F183" s="12" t="s">
        <v>91</v>
      </c>
      <c r="G183" t="s">
        <v>16</v>
      </c>
      <c r="H183" s="12" t="str">
        <f>INDEX('ei names mapping'!$B$71:$R$100,MATCH(B153,'ei names mapping'!$A$4:$A$33,0),MATCH(G183,'ei names mapping'!$B$3:$R$3,0))</f>
        <v>motor scooter, 50 cubic cm engine</v>
      </c>
    </row>
    <row r="184" spans="1:8" s="21" customFormat="1"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4.5</v>
      </c>
      <c r="C184" s="12" t="str">
        <f>INDEX('ei names mapping'!$B$38:$R$67,MATCH(B153,'ei names mapping'!$A$4:$A$33,0),MATCH(G184,'ei names mapping'!$B$3:$R$3,0))</f>
        <v>GLO</v>
      </c>
      <c r="D184" s="12" t="str">
        <f>INDEX('ei names mapping'!$B$104:$R$133,MATCH(B153,'ei names mapping'!$A$4:$A$33,0),MATCH(G184,'ei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0.78749999999999998</v>
      </c>
      <c r="C185" s="12" t="str">
        <f>INDEX('ei names mapping'!$B$38:$R$67,MATCH(B153,'ei names mapping'!$A$4:$A$33,0),MATCH(G185,'ei names mapping'!$B$3:$R$3,0))</f>
        <v>RER</v>
      </c>
      <c r="D185" s="12" t="str">
        <f>INDEX('ei names mapping'!$B$104:$R$133,MATCH($B$3,'ei names mapping'!$A$4:$A$33,0),MATCH(G185,'ei names mapping'!$B$3:$R$3,0))</f>
        <v>kilogram</v>
      </c>
      <c r="E185" s="12"/>
      <c r="F185" s="12" t="s">
        <v>91</v>
      </c>
      <c r="G185" t="s">
        <v>24</v>
      </c>
      <c r="H185" s="12" t="str">
        <f>INDEX('ei names mapping'!$B$71:$R$100,MATCH(B153,'ei names mapping'!$A$4:$A$33,0),MATCH(G185,'ei names mapping'!$B$3:$R$3,0))</f>
        <v>polyethylene, high density, granulate</v>
      </c>
    </row>
    <row r="186" spans="1:8" s="21" customFormat="1" x14ac:dyDescent="0.3">
      <c r="A186" s="22" t="s">
        <v>468</v>
      </c>
      <c r="B186" s="21">
        <f>(B166/1000)*B177</f>
        <v>121.63749999999999</v>
      </c>
      <c r="C186" s="21" t="s">
        <v>94</v>
      </c>
      <c r="D186" s="21" t="s">
        <v>243</v>
      </c>
      <c r="F186" s="21" t="s">
        <v>91</v>
      </c>
      <c r="H186" s="22" t="s">
        <v>469</v>
      </c>
    </row>
    <row r="187" spans="1:8" s="21" customFormat="1" x14ac:dyDescent="0.3">
      <c r="A187" s="22" t="s">
        <v>467</v>
      </c>
      <c r="B187" s="2">
        <f>(B166/1000)*B176</f>
        <v>1934.0362499999997</v>
      </c>
      <c r="C187" s="21" t="s">
        <v>98</v>
      </c>
      <c r="D187" s="21" t="s">
        <v>243</v>
      </c>
      <c r="F187" s="21" t="s">
        <v>91</v>
      </c>
      <c r="H187" s="22" t="s">
        <v>467</v>
      </c>
    </row>
    <row r="189" spans="1:8" ht="15.6" x14ac:dyDescent="0.3">
      <c r="A189" s="11" t="s">
        <v>72</v>
      </c>
      <c r="B189" s="9" t="str">
        <f>B191&amp;", "&amp;B193</f>
        <v>Scooter, gasoline, 4-11kW, EURO-5, 2050</v>
      </c>
    </row>
    <row r="190" spans="1:8" x14ac:dyDescent="0.3">
      <c r="A190" t="s">
        <v>73</v>
      </c>
      <c r="B190" t="s">
        <v>37</v>
      </c>
    </row>
    <row r="191" spans="1:8" x14ac:dyDescent="0.3">
      <c r="A191" t="s">
        <v>87</v>
      </c>
      <c r="B191" t="s">
        <v>638</v>
      </c>
    </row>
    <row r="192" spans="1:8" x14ac:dyDescent="0.3">
      <c r="A192" t="s">
        <v>88</v>
      </c>
      <c r="B192" s="12"/>
    </row>
    <row r="193" spans="1:2" x14ac:dyDescent="0.3">
      <c r="A193" t="s">
        <v>89</v>
      </c>
      <c r="B193" s="12">
        <v>2050</v>
      </c>
    </row>
    <row r="194" spans="1:2" x14ac:dyDescent="0.3">
      <c r="A194" t="s">
        <v>131</v>
      </c>
      <c r="B194" s="12" t="str">
        <f>B191&amp;" - "&amp;B193&amp;" - "&amp;B190</f>
        <v>Scooter, gasoline, 4-11kW, EURO-5 - 2050 - CH</v>
      </c>
    </row>
    <row r="195" spans="1:2" x14ac:dyDescent="0.3">
      <c r="A195" t="s">
        <v>74</v>
      </c>
      <c r="B195" t="str">
        <f>B191</f>
        <v>Scooter, gasoline, 4-11kW, EURO-5</v>
      </c>
    </row>
    <row r="196" spans="1:2" x14ac:dyDescent="0.3">
      <c r="A196" t="s">
        <v>75</v>
      </c>
      <c r="B196" t="s">
        <v>76</v>
      </c>
    </row>
    <row r="197" spans="1:2" x14ac:dyDescent="0.3">
      <c r="A197" t="s">
        <v>77</v>
      </c>
      <c r="B197" t="s">
        <v>77</v>
      </c>
    </row>
    <row r="198" spans="1:2" x14ac:dyDescent="0.3">
      <c r="A198" t="s">
        <v>79</v>
      </c>
      <c r="B198" t="s">
        <v>90</v>
      </c>
    </row>
    <row r="199" spans="1:2" x14ac:dyDescent="0.3">
      <c r="A199" t="s">
        <v>132</v>
      </c>
      <c r="B199">
        <f>INDEX('vehicles specifications'!$B$3:$CK$86,MATCH(B194,'vehicles specifications'!$A$3:$A$86,0),MATCH("Lifetime [km]",'vehicles specifications'!$B$2:$CK$2,0))</f>
        <v>39800</v>
      </c>
    </row>
    <row r="200" spans="1:2" x14ac:dyDescent="0.3">
      <c r="A200" t="s">
        <v>133</v>
      </c>
      <c r="B200">
        <f>INDEX('vehicles specifications'!$B$3:$CK$86,MATCH(B194,'vehicles specifications'!$A$3:$A$86,0),MATCH("Passengers [unit]",'vehicles specifications'!$B$2:$CK$2,0))</f>
        <v>1</v>
      </c>
    </row>
    <row r="201" spans="1:2" x14ac:dyDescent="0.3">
      <c r="A201" t="s">
        <v>134</v>
      </c>
      <c r="B201">
        <f>INDEX('vehicles specifications'!$B$3:$CK$86,MATCH(B194,'vehicles specifications'!$A$3:$A$86,0),MATCH("Servicing [unit]",'vehicles specifications'!$B$2:$CK$2,0))</f>
        <v>1</v>
      </c>
    </row>
    <row r="202" spans="1:2" x14ac:dyDescent="0.3">
      <c r="A202" t="s">
        <v>135</v>
      </c>
      <c r="B202">
        <f>INDEX('vehicles specifications'!$B$3:$CK$86,MATCH(B194,'vehicles specifications'!$A$3:$A$86,0),MATCH("Energy battery replacement [unit]",'vehicles specifications'!$B$2:$CK$2,0))</f>
        <v>0</v>
      </c>
    </row>
    <row r="203" spans="1:2" x14ac:dyDescent="0.3">
      <c r="A203" t="s">
        <v>136</v>
      </c>
      <c r="B203">
        <f>INDEX('vehicles specifications'!$B$3:$CK$86,MATCH(B194,'vehicles specifications'!$A$3:$A$86,0),MATCH("Annual kilometers [km]",'vehicles specifications'!$B$2:$CK$2,0))</f>
        <v>2731</v>
      </c>
    </row>
    <row r="204" spans="1:2" x14ac:dyDescent="0.3">
      <c r="A204" t="s">
        <v>137</v>
      </c>
      <c r="B204" s="2">
        <f>INDEX('vehicles specifications'!$B$3:$CK$86,MATCH(B194,'vehicles specifications'!$A$3:$A$86,0),MATCH("Curb mass [kg]",'vehicles specifications'!$B$2:$CK$2,0))</f>
        <v>118.93749999999999</v>
      </c>
    </row>
    <row r="205" spans="1:2" x14ac:dyDescent="0.3">
      <c r="A205" t="s">
        <v>138</v>
      </c>
      <c r="B205">
        <f>INDEX('vehicles specifications'!$B$3:$CK$86,MATCH(B194,'vehicles specifications'!$A$3:$A$86,0),MATCH("Power [kW]",'vehicles specifications'!$B$2:$CK$2,0))</f>
        <v>8.8000000000000007</v>
      </c>
    </row>
    <row r="206" spans="1:2" x14ac:dyDescent="0.3">
      <c r="A206" t="s">
        <v>139</v>
      </c>
      <c r="B206">
        <f>INDEX('vehicles specifications'!$B$3:$CK$86,MATCH(B194,'vehicles specifications'!$A$3:$A$86,0),MATCH("Energy battery mass [kg]",'vehicles specifications'!$B$2:$CK$2,0))</f>
        <v>0</v>
      </c>
    </row>
    <row r="207" spans="1:2" x14ac:dyDescent="0.3">
      <c r="A207" t="s">
        <v>140</v>
      </c>
      <c r="B207">
        <f>INDEX('vehicles specifications'!$B$3:$CK$86,MATCH(B194,'vehicles specifications'!$A$3:$A$86,0),MATCH("Electric energy available [kWh]",'vehicles specifications'!$B$2:$CK$2,0))</f>
        <v>0</v>
      </c>
    </row>
    <row r="208" spans="1:2" x14ac:dyDescent="0.3">
      <c r="A208" t="s">
        <v>143</v>
      </c>
      <c r="B208" s="2">
        <f>INDEX('vehicles specifications'!$B$3:$CK$86,MATCH(B194,'vehicles specifications'!$A$3:$A$86,0),MATCH("Oxydation energy stored [kWh]",'vehicles specifications'!$B$2:$CK$2,0))</f>
        <v>61.833333333333329</v>
      </c>
    </row>
    <row r="209" spans="1:8" x14ac:dyDescent="0.3">
      <c r="A209" t="s">
        <v>145</v>
      </c>
      <c r="B209">
        <f>INDEX('vehicles specifications'!$B$3:$CK$86,MATCH(B194,'vehicles specifications'!$A$3:$A$86,0),MATCH("Fuel mass [kg]",'vehicles specifications'!$B$2:$CK$2,0))</f>
        <v>5.25</v>
      </c>
    </row>
    <row r="210" spans="1:8" x14ac:dyDescent="0.3">
      <c r="A210" t="s">
        <v>141</v>
      </c>
      <c r="B210" s="2">
        <f>INDEX('vehicles specifications'!$B$3:$CK$86,MATCH(B194,'vehicles specifications'!$A$3:$A$86,0),MATCH("Range [km]",'vehicles specifications'!$B$2:$CK$2,0))</f>
        <v>221.18427317521866</v>
      </c>
    </row>
    <row r="211" spans="1:8" x14ac:dyDescent="0.3">
      <c r="A211" t="s">
        <v>142</v>
      </c>
      <c r="B211" t="str">
        <f>INDEX('vehicles specifications'!$B$3:$CK$86,MATCH(B194,'vehicles specifications'!$A$3:$A$86,0),MATCH("Emission standard",'vehicles specifications'!$B$2:$CK$2,0))</f>
        <v>EURO-5</v>
      </c>
    </row>
    <row r="212" spans="1:8" x14ac:dyDescent="0.3">
      <c r="A212" t="s">
        <v>144</v>
      </c>
      <c r="B212" s="6">
        <f>INDEX('vehicles specifications'!$B$3:$CK$86,MATCH(B194,'vehicles specifications'!$A$3:$A$86,0),MATCH("Lightweighting rate [%]",'vehicles specifications'!$B$2:$CK$2,0))</f>
        <v>7.0000000000000007E-2</v>
      </c>
    </row>
    <row r="213" spans="1:8" s="21" customFormat="1" x14ac:dyDescent="0.3">
      <c r="A213" s="21" t="s">
        <v>513</v>
      </c>
      <c r="B213" s="6" t="s">
        <v>514</v>
      </c>
    </row>
    <row r="214" spans="1:8" s="21" customFormat="1" x14ac:dyDescent="0.3">
      <c r="A214" s="21" t="s">
        <v>515</v>
      </c>
      <c r="B214" s="2">
        <v>15900</v>
      </c>
    </row>
    <row r="215" spans="1:8" s="21" customFormat="1" x14ac:dyDescent="0.3">
      <c r="A215" s="21" t="s">
        <v>516</v>
      </c>
      <c r="B215" s="2">
        <v>1000</v>
      </c>
    </row>
    <row r="216" spans="1:8" s="21" customFormat="1"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8.8 kW. Lifetime: 39800 km. Annual kilometers: 2731 km. Number of passengers: 1. Curb mass: 118.9 kg. Lightweighting of glider: 7%. Emission standard: EURO-5. Service visits throughout lifetime: 1. Range: 221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t="s">
        <v>81</v>
      </c>
      <c r="B218" t="s">
        <v>82</v>
      </c>
      <c r="C218" t="s">
        <v>73</v>
      </c>
      <c r="D218" t="s">
        <v>77</v>
      </c>
      <c r="E218" t="s">
        <v>83</v>
      </c>
      <c r="F218" t="s">
        <v>75</v>
      </c>
      <c r="G218" t="s">
        <v>84</v>
      </c>
      <c r="H218" t="s">
        <v>74</v>
      </c>
    </row>
    <row r="219" spans="1:8" x14ac:dyDescent="0.3">
      <c r="A219" s="12" t="str">
        <f>B189</f>
        <v>Scooter, gasoline, 4-11kW, EURO-5, 2050</v>
      </c>
      <c r="B219" s="12">
        <v>1</v>
      </c>
      <c r="C219" s="12" t="str">
        <f>B190</f>
        <v>CH</v>
      </c>
      <c r="D219" s="12" t="str">
        <f>B197</f>
        <v>unit</v>
      </c>
      <c r="E219" s="12"/>
      <c r="F219" s="12" t="s">
        <v>85</v>
      </c>
      <c r="G219" s="12" t="s">
        <v>86</v>
      </c>
      <c r="H219" s="12" t="str">
        <f>B191</f>
        <v>Scooter, gasoline, 4-11kW,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1</v>
      </c>
      <c r="C220" s="12" t="str">
        <f>INDEX('ei names mapping'!$B$38:$R$67,MATCH(B191,'ei names mapping'!$A$4:$A$33,0),MATCH(G220,'ei names mapping'!$B$3:$R$3,0))</f>
        <v>RER</v>
      </c>
      <c r="D220" s="12" t="str">
        <f>INDEX('ei names mapping'!$B$104:$R$133,MATCH($B$3,'ei names mapping'!$A$4:$A$33,0),MATCH(G220,'ei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0.32444444444444442</v>
      </c>
      <c r="C221" s="12" t="str">
        <f>INDEX('ei names mapping'!$B$38:$R$67,MATCH(B191,'ei names mapping'!$A$4:$A$33,0),MATCH(G221,'ei names mapping'!$B$3:$R$3,0))</f>
        <v>RER</v>
      </c>
      <c r="D221" s="12" t="str">
        <f>INDEX('ei names mapping'!$B$104:$R$133,MATCH($B$3,'ei names mapping'!$A$4:$A$33,0),MATCH(G221,'ei names mapping'!$B$3:$R$3,0))</f>
        <v>unit</v>
      </c>
      <c r="E221" s="12"/>
      <c r="F221" s="12" t="s">
        <v>91</v>
      </c>
      <c r="G221" t="s">
        <v>16</v>
      </c>
      <c r="H221" s="12" t="str">
        <f>INDEX('ei names mapping'!$B$71:$R$100,MATCH(B191,'ei names mapping'!$A$4:$A$33,0),MATCH(G221,'ei names mapping'!$B$3:$R$3,0))</f>
        <v>motor scooter, 50 cubic cm engine</v>
      </c>
    </row>
    <row r="222" spans="1:8" s="21" customFormat="1"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6.3000000000000007</v>
      </c>
      <c r="C222" s="12" t="str">
        <f>INDEX('ei names mapping'!$B$38:$R$67,MATCH(B191,'ei names mapping'!$A$4:$A$33,0),MATCH(G222,'ei names mapping'!$B$3:$R$3,0))</f>
        <v>GLO</v>
      </c>
      <c r="D222" s="12" t="str">
        <f>INDEX('ei names mapping'!$B$104:$R$133,MATCH(B191,'ei names mapping'!$A$4:$A$33,0),MATCH(G222,'ei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0.78749999999999998</v>
      </c>
      <c r="C223" s="12" t="str">
        <f>INDEX('ei names mapping'!$B$38:$R$67,MATCH(B191,'ei names mapping'!$A$4:$A$33,0),MATCH(G223,'ei names mapping'!$B$3:$R$3,0))</f>
        <v>RER</v>
      </c>
      <c r="D223" s="12" t="str">
        <f>INDEX('ei names mapping'!$B$104:$R$133,MATCH($B$3,'ei names mapping'!$A$4:$A$33,0),MATCH(G223,'ei names mapping'!$B$3:$R$3,0))</f>
        <v>kilogram</v>
      </c>
      <c r="E223" s="12"/>
      <c r="F223" s="12" t="s">
        <v>91</v>
      </c>
      <c r="G223" t="s">
        <v>24</v>
      </c>
      <c r="H223" s="12" t="str">
        <f>INDEX('ei names mapping'!$B$71:$R$100,MATCH(B191,'ei names mapping'!$A$4:$A$33,0),MATCH(G223,'ei names mapping'!$B$3:$R$3,0))</f>
        <v>polyethylene, high density, granulate</v>
      </c>
    </row>
    <row r="224" spans="1:8" s="21" customFormat="1" x14ac:dyDescent="0.3">
      <c r="A224" s="22" t="s">
        <v>468</v>
      </c>
      <c r="B224" s="21">
        <f>(B204/1000)*B215</f>
        <v>118.93749999999999</v>
      </c>
      <c r="C224" s="21" t="s">
        <v>94</v>
      </c>
      <c r="D224" s="21" t="s">
        <v>243</v>
      </c>
      <c r="F224" s="21" t="s">
        <v>91</v>
      </c>
      <c r="H224" s="22" t="s">
        <v>469</v>
      </c>
    </row>
    <row r="225" spans="1:8" s="21" customFormat="1" x14ac:dyDescent="0.3">
      <c r="A225" s="22" t="s">
        <v>467</v>
      </c>
      <c r="B225" s="2">
        <f>(B204/1000)*B214</f>
        <v>1891.1062499999998</v>
      </c>
      <c r="C225" s="21" t="s">
        <v>98</v>
      </c>
      <c r="D225" s="21" t="s">
        <v>243</v>
      </c>
      <c r="F225" s="21" t="s">
        <v>91</v>
      </c>
      <c r="H225" s="22" t="s">
        <v>467</v>
      </c>
    </row>
    <row r="227" spans="1:8" ht="15.6" x14ac:dyDescent="0.3">
      <c r="A227" s="11" t="s">
        <v>72</v>
      </c>
      <c r="B227" s="9" t="str">
        <f>"transport, "&amp;B229&amp;", "&amp;B231</f>
        <v>transport, Scooter, gasoline, 4-11kW, EURO-3, 2006</v>
      </c>
    </row>
    <row r="228" spans="1:8" x14ac:dyDescent="0.3">
      <c r="A228" t="s">
        <v>73</v>
      </c>
      <c r="B228" t="s">
        <v>37</v>
      </c>
    </row>
    <row r="229" spans="1:8" x14ac:dyDescent="0.3">
      <c r="A229" t="s">
        <v>87</v>
      </c>
      <c r="B229" t="s">
        <v>636</v>
      </c>
    </row>
    <row r="230" spans="1:8" x14ac:dyDescent="0.3">
      <c r="A230" t="s">
        <v>88</v>
      </c>
      <c r="B230" s="12"/>
    </row>
    <row r="231" spans="1:8" x14ac:dyDescent="0.3">
      <c r="A231" t="s">
        <v>89</v>
      </c>
      <c r="B231" s="12">
        <v>2006</v>
      </c>
    </row>
    <row r="232" spans="1:8" x14ac:dyDescent="0.3">
      <c r="A232" t="s">
        <v>131</v>
      </c>
      <c r="B232" s="12" t="str">
        <f>B229&amp;" - "&amp;B231&amp;" - "&amp;B228</f>
        <v>Scooter, gasoline, 4-11kW, EURO-3 - 2006 - CH</v>
      </c>
    </row>
    <row r="233" spans="1:8" x14ac:dyDescent="0.3">
      <c r="A233" t="s">
        <v>74</v>
      </c>
      <c r="B233" s="12" t="str">
        <f>"transport, "&amp;B229</f>
        <v>transport, Scooter, gasoline, 4-11kW, EURO-3</v>
      </c>
    </row>
    <row r="234" spans="1:8" x14ac:dyDescent="0.3">
      <c r="A234" t="s">
        <v>75</v>
      </c>
      <c r="B234" t="s">
        <v>76</v>
      </c>
    </row>
    <row r="235" spans="1:8" x14ac:dyDescent="0.3">
      <c r="A235" t="s">
        <v>77</v>
      </c>
      <c r="B235" t="s">
        <v>172</v>
      </c>
    </row>
    <row r="236" spans="1:8" x14ac:dyDescent="0.3">
      <c r="A236" t="s">
        <v>79</v>
      </c>
      <c r="B236" t="s">
        <v>90</v>
      </c>
    </row>
    <row r="237" spans="1:8" x14ac:dyDescent="0.3">
      <c r="A237" t="s">
        <v>132</v>
      </c>
      <c r="B237">
        <f>INDEX('vehicles specifications'!$B$3:$CK$86,MATCH(B232,'vehicles specifications'!$A$3:$A$86,0),MATCH("Lifetime [km]",'vehicles specifications'!$B$2:$CK$2,0))</f>
        <v>39800</v>
      </c>
    </row>
    <row r="238" spans="1:8" x14ac:dyDescent="0.3">
      <c r="A238" t="s">
        <v>133</v>
      </c>
      <c r="B238">
        <f>INDEX('vehicles specifications'!$B$3:$CK$86,MATCH(B232,'vehicles specifications'!$A$3:$A$86,0),MATCH("Passengers [unit]",'vehicles specifications'!$B$2:$CK$2,0))</f>
        <v>1</v>
      </c>
    </row>
    <row r="239" spans="1:8" x14ac:dyDescent="0.3">
      <c r="A239" t="s">
        <v>134</v>
      </c>
      <c r="B239">
        <f>INDEX('vehicles specifications'!$B$3:$CK$86,MATCH(B232,'vehicles specifications'!$A$3:$A$86,0),MATCH("Servicing [unit]",'vehicles specifications'!$B$2:$CK$2,0))</f>
        <v>1</v>
      </c>
    </row>
    <row r="240" spans="1:8" x14ac:dyDescent="0.3">
      <c r="A240" t="s">
        <v>135</v>
      </c>
      <c r="B240">
        <f>INDEX('vehicles specifications'!$B$3:$CK$86,MATCH(B232,'vehicles specifications'!$A$3:$A$86,0),MATCH("Energy battery replacement [unit]",'vehicles specifications'!$B$2:$CK$2,0))</f>
        <v>0</v>
      </c>
    </row>
    <row r="241" spans="1:8" x14ac:dyDescent="0.3">
      <c r="A241" t="s">
        <v>136</v>
      </c>
      <c r="B241">
        <f>INDEX('vehicles specifications'!$B$3:$CK$86,MATCH(B232,'vehicles specifications'!$A$3:$A$86,0),MATCH("Annual kilometers [km]",'vehicles specifications'!$B$2:$CK$2,0))</f>
        <v>2731</v>
      </c>
    </row>
    <row r="242" spans="1:8" x14ac:dyDescent="0.3">
      <c r="A242" t="s">
        <v>137</v>
      </c>
      <c r="B242" s="2">
        <f>INDEX('vehicles specifications'!$B$3:$CK$86,MATCH(B232,'vehicles specifications'!$A$3:$A$86,0),MATCH("Curb mass [kg]",'vehicles specifications'!$B$2:$CK$2,0))</f>
        <v>132.53749999999999</v>
      </c>
    </row>
    <row r="243" spans="1:8" x14ac:dyDescent="0.3">
      <c r="A243" t="s">
        <v>138</v>
      </c>
      <c r="B243">
        <f>INDEX('vehicles specifications'!$B$3:$CK$86,MATCH(B232,'vehicles specifications'!$A$3:$A$86,0),MATCH("Power [kW]",'vehicles specifications'!$B$2:$CK$2,0))</f>
        <v>8.8000000000000007</v>
      </c>
    </row>
    <row r="244" spans="1:8" x14ac:dyDescent="0.3">
      <c r="A244" t="s">
        <v>139</v>
      </c>
      <c r="B244">
        <f>INDEX('vehicles specifications'!$B$3:$CK$86,MATCH(B232,'vehicles specifications'!$A$3:$A$86,0),MATCH("Energy battery mass [kg]",'vehicles specifications'!$B$2:$CK$2,0))</f>
        <v>0</v>
      </c>
    </row>
    <row r="245" spans="1:8" x14ac:dyDescent="0.3">
      <c r="A245" t="s">
        <v>140</v>
      </c>
      <c r="B245">
        <f>INDEX('vehicles specifications'!$B$3:$CK$86,MATCH(B232,'vehicles specifications'!$A$3:$A$86,0),MATCH("Electric energy available [kWh]",'vehicles specifications'!$B$2:$CK$2,0))</f>
        <v>0</v>
      </c>
    </row>
    <row r="246" spans="1:8" x14ac:dyDescent="0.3">
      <c r="A246" t="s">
        <v>143</v>
      </c>
      <c r="B246" s="2">
        <f>INDEX('vehicles specifications'!$B$3:$CK$86,MATCH(B232,'vehicles specifications'!$A$3:$A$86,0),MATCH("Oxydation energy stored [kWh]",'vehicles specifications'!$B$2:$CK$2,0))</f>
        <v>61.833333333333329</v>
      </c>
    </row>
    <row r="247" spans="1:8" x14ac:dyDescent="0.3">
      <c r="A247" t="s">
        <v>145</v>
      </c>
      <c r="B247">
        <f>INDEX('vehicles specifications'!$B$3:$CK$86,MATCH(B232,'vehicles specifications'!$A$3:$A$86,0),MATCH("Fuel mass [kg]",'vehicles specifications'!$B$2:$CK$2,0))</f>
        <v>5.25</v>
      </c>
    </row>
    <row r="248" spans="1:8" x14ac:dyDescent="0.3">
      <c r="A248" t="s">
        <v>141</v>
      </c>
      <c r="B248" s="2">
        <f>INDEX('vehicles specifications'!$B$3:$CK$86,MATCH(B232,'vehicles specifications'!$A$3:$A$86,0),MATCH("Range [km]",'vehicles specifications'!$B$2:$CK$2,0))</f>
        <v>210.36507949194564</v>
      </c>
    </row>
    <row r="249" spans="1:8" x14ac:dyDescent="0.3">
      <c r="A249" t="s">
        <v>142</v>
      </c>
      <c r="B249" t="str">
        <f>INDEX('vehicles specifications'!$B$3:$CK$86,MATCH(B232,'vehicles specifications'!$A$3:$A$86,0),MATCH("Emission standard",'vehicles specifications'!$B$2:$CK$2,0))</f>
        <v>EURO-5</v>
      </c>
    </row>
    <row r="250" spans="1:8" x14ac:dyDescent="0.3">
      <c r="A250" t="s">
        <v>144</v>
      </c>
      <c r="B250" s="6">
        <f>INDEX('vehicles specifications'!$B$3:$CK$86,MATCH(B232,'vehicles specifications'!$A$3:$A$86,0),MATCH("Lightweighting rate [%]",'vehicles specifications'!$B$2:$CK$2,0))</f>
        <v>-0.05</v>
      </c>
    </row>
    <row r="251" spans="1:8" x14ac:dyDescent="0.3">
      <c r="A25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8.8 kW. Lifetime: 39800 km. Annual kilometers: 2731 km. Number of passengers: 1. Curb mass: 132.5 kg. Lightweighting of glider: -5%. Emission standard: EURO-5. Service visits throughout lifetime: 1. Range: 210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t="s">
        <v>81</v>
      </c>
      <c r="B253" t="s">
        <v>82</v>
      </c>
      <c r="C253" t="s">
        <v>73</v>
      </c>
      <c r="D253" t="s">
        <v>77</v>
      </c>
      <c r="E253" t="s">
        <v>83</v>
      </c>
      <c r="F253" t="s">
        <v>75</v>
      </c>
      <c r="G253" t="s">
        <v>84</v>
      </c>
      <c r="H253" t="s">
        <v>74</v>
      </c>
    </row>
    <row r="254" spans="1:8" x14ac:dyDescent="0.3">
      <c r="A254" s="12" t="str">
        <f>B227</f>
        <v>transport, Scooter, gasoline, 4-11kW, EURO-3, 2006</v>
      </c>
      <c r="B254" s="12">
        <v>1</v>
      </c>
      <c r="C254" s="12" t="str">
        <f>B228</f>
        <v>CH</v>
      </c>
      <c r="D254" s="12" t="s">
        <v>172</v>
      </c>
      <c r="E254" s="12"/>
      <c r="F254" s="12" t="s">
        <v>85</v>
      </c>
      <c r="G254" s="12" t="s">
        <v>86</v>
      </c>
      <c r="H254" s="12" t="str">
        <f>B233</f>
        <v>transport, Scooter, gasoline, 4-11kW, EURO-3</v>
      </c>
    </row>
    <row r="255" spans="1:8" x14ac:dyDescent="0.3">
      <c r="A255" s="12" t="str">
        <f>RIGHT(A254,LEN(A254)-11)</f>
        <v>Scooter, gasoline, 4-11kW, EURO-3, 2006</v>
      </c>
      <c r="B255" s="15">
        <f>1/B237</f>
        <v>2.5125628140703518E-5</v>
      </c>
      <c r="C255" s="12" t="str">
        <f>B228</f>
        <v>CH</v>
      </c>
      <c r="D255" s="12" t="s">
        <v>77</v>
      </c>
      <c r="E255" s="12"/>
      <c r="F255" s="12" t="s">
        <v>91</v>
      </c>
      <c r="G255" s="12"/>
      <c r="H255" s="12" t="str">
        <f>RIGHT(H254,LEN(H254)-11)</f>
        <v>Scooter, gasoline, 4-11kW, EURO-3</v>
      </c>
    </row>
    <row r="256" spans="1:8" s="21" customFormat="1"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1.1091063749999999E-4</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road maintenance</v>
      </c>
      <c r="B257" s="16">
        <f>INDEX('vehicles specifications'!$B$3:$CK$86,MATCH(B232,'vehicles specifications'!$A$3:$A$86,0),MATCH(G257,'vehicles specifications'!$B$2:$CK$2,0))*INDEX('ei names mapping'!$B$137:$BK$220,MATCH(B232,'ei names mapping'!$A$137:$A$220,0),MATCH(G257,'ei names mapping'!$B$136:$BK$136,0))</f>
        <v>1.2899999999999999E-3</v>
      </c>
      <c r="C257" s="12" t="str">
        <f>INDEX('ei names mapping'!$B$38:$R$67,MATCH(B229,'ei names mapping'!$A$4:$A$33,0),MATCH(G257,'ei names mapping'!$B$3:$R$3,0))</f>
        <v>CH</v>
      </c>
      <c r="D257" s="12" t="str">
        <f>INDEX('ei names mapping'!$B$104:$BK$133,MATCH(B229,'ei names mapping'!$A$4:$A$33,0),MATCH(G257,'ei names mapping'!$B$3:$BK$3,0))</f>
        <v>meter-year</v>
      </c>
      <c r="E257" s="12"/>
      <c r="F257" s="12" t="s">
        <v>91</v>
      </c>
      <c r="G257" t="s">
        <v>117</v>
      </c>
      <c r="H257" s="12" t="str">
        <f>INDEX('ei names mapping'!$B$71:$BK$100,MATCH(B229,'ei names mapping'!$A$4:$A$33,0),MATCH(G257,'ei names mapping'!$B$3:$BK$3,0))</f>
        <v>road maintenance</v>
      </c>
    </row>
    <row r="258" spans="1:8" x14ac:dyDescent="0.3">
      <c r="A258" s="12" t="str">
        <f>INDEX('ei names mapping'!$B$4:$R$33,MATCH(B229,'ei names mapping'!$A$4:$A$33,0),MATCH(G258,'ei names mapping'!$B$3:$R$3,0))</f>
        <v>maintenance, motor scooter</v>
      </c>
      <c r="B258" s="16">
        <f>INDEX('vehicles specifications'!$B$3:$CK$86,MATCH(B232,'vehicles specifications'!$A$3:$A$86,0),MATCH(G258,'vehicles specifications'!$B$2:$CK$2,0))*INDEX('ei names mapping'!$B$137:$BK$220,MATCH(B232,'ei names mapping'!$A$137:$A$220,0),MATCH(G258,'ei names mapping'!$B$136:$BK$136,0))</f>
        <v>2.5125628140703518E-5</v>
      </c>
      <c r="C258" s="12" t="str">
        <f>INDEX('ei names mapping'!$B$38:$BK$67,MATCH(B229,'ei names mapping'!$A$4:$A$33,0),MATCH(G258,'ei names mapping'!$B$3:$BK$3,0))</f>
        <v>CH</v>
      </c>
      <c r="D258" s="12" t="str">
        <f>INDEX('ei names mapping'!$B$104:$BK$133,MATCH(B229,'ei names mapping'!$A$4:$A$33,0),MATCH(G258,'ei names mapping'!$B$3:$BK$3,0))</f>
        <v>unit</v>
      </c>
      <c r="F258" s="12" t="s">
        <v>91</v>
      </c>
      <c r="G258" s="12" t="s">
        <v>123</v>
      </c>
      <c r="H258" s="12" t="str">
        <f>INDEX('ei names mapping'!$B$71:$BK$100,MATCH(B229,'ei names mapping'!$A$4:$A$33,0),MATCH(G258,'ei names mapping'!$B$3:$BK$3,0))</f>
        <v>maintenance, motor scooter</v>
      </c>
    </row>
    <row r="259" spans="1:8" x14ac:dyDescent="0.3">
      <c r="A259" s="12" t="str">
        <f>INDEX('ei names mapping'!$B$4:$R$33,MATCH(B229,'ei names mapping'!$A$4:$A$33,0),MATCH(G259,'ei names mapping'!$B$3:$R$3,0))</f>
        <v>petrol blending for two-stroke engines</v>
      </c>
      <c r="B259" s="16">
        <f>INDEX('vehicles specifications'!$B$3:$CK$86,MATCH(B232,'vehicles specifications'!$A$3:$A$86,0),MATCH(G259,'vehicles specifications'!$B$2:$CK$2,0))*INDEX('ei names mapping'!$B$137:$BK$220,MATCH(B232,'ei names mapping'!$A$137:$A$220,0),MATCH(G259,'ei names mapping'!$B$136:$BK$136,0))</f>
        <v>2.49566135818707E-2</v>
      </c>
      <c r="C259" s="12" t="str">
        <f>INDEX('ei names mapping'!$B$38:$BK$67,MATCH(B229,'ei names mapping'!$A$4:$A$33,0),MATCH(G259,'ei names mapping'!$B$3:$BK$3,0))</f>
        <v>CH</v>
      </c>
      <c r="D259" s="12" t="str">
        <f>INDEX('ei names mapping'!$B$104:$BK$133,MATCH(B229,'ei names mapping'!$A$4:$A$33,0),MATCH(G259,'ei names mapping'!$B$3:$BK$3,0))</f>
        <v>kilogram</v>
      </c>
      <c r="F259" s="12" t="s">
        <v>91</v>
      </c>
      <c r="G259" s="12" t="s">
        <v>27</v>
      </c>
      <c r="H259" s="12" t="str">
        <f>INDEX('ei names mapping'!$B$71:$BK$100,MATCH(B229,'ei names mapping'!$A$4:$A$33,0),MATCH(G259,'ei names mapping'!$B$3:$BK$3,0))</f>
        <v>petrol, two-stroke blend</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7.9362031190348833E-2</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3.9930581730993117E-7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6.4338455124178328E-5</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2.9172963769054263E-5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3.0847444281666904E-3</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1.4801097802665792E-6</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1.4801097802665792E-6</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1.1099448161280961E-4</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8.5002704680709625E-6</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s="21" customFormat="1"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5.1883631191048621E-4</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s="21" customFormat="1"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3.6584611737277873E-5</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s="21" customFormat="1"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7.454544711357561E-6</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s="21" customFormat="1"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6.0095098903867111E-5</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s="21" customFormat="1"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2.4657340199105778E-5</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s="21" customFormat="1"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1.8464333823516422E-5</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s="21" customFormat="1"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1.3074124570688646E-5</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s="21" customFormat="1"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8.4867124406224538E-6</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s="21" customFormat="1"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8.3720271373707988E-5</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s="21" customFormat="1"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4.3809785842132124E-5</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s="21" customFormat="1"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1.2615383357682027E-6</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s="21" customFormat="1"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1.2592446297031695E-4</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s="21" customFormat="1"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6.2274119665648545E-5</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s="21" customFormat="1"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2.5918878534873981E-5</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s="21" customFormat="1"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1.9496501552781316E-5</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s="21" customFormat="1"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8.6013977438741078E-6</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s="21" customFormat="1"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2.5230766715364054E-6</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s="21" customFormat="1"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6.9958034983509425E-6</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s="21" customFormat="1"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0</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s="21" customFormat="1"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2.1790207617814409E-6</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s="21" customFormat="1"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1.1583215628417132E-5</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s="21" customFormat="1"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3.6823982472321851E-8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s="21" customFormat="1"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3.1744812476139525E-10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s="21" customFormat="1"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2.1163208317426353E-10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s="21" customFormat="1"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2.2856264982820463E-6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s="21" customFormat="1"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4.444273746659534E-8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s="21" customFormat="1"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1.3756085406327129E-8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s="21" customFormat="1"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1.6930566653941085E-8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s="21" customFormat="1"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3.3861133307882163E-11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s="21" customFormat="1"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9.2059956180804626E-9</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s="21" customFormat="1"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1.1428132491410231E-8</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-6.3939999999999993E-6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-6.1789999999999996E-6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Scooter, gasoline, 4-11kW, EURO-4, 2016</v>
      </c>
    </row>
    <row r="305" spans="1:2" x14ac:dyDescent="0.3">
      <c r="A305" t="s">
        <v>73</v>
      </c>
      <c r="B305" t="s">
        <v>37</v>
      </c>
    </row>
    <row r="306" spans="1:2" x14ac:dyDescent="0.3">
      <c r="A306" t="s">
        <v>87</v>
      </c>
      <c r="B306" t="s">
        <v>637</v>
      </c>
    </row>
    <row r="307" spans="1:2" x14ac:dyDescent="0.3">
      <c r="A307" t="s">
        <v>88</v>
      </c>
      <c r="B307" s="12"/>
    </row>
    <row r="308" spans="1:2" x14ac:dyDescent="0.3">
      <c r="A308" t="s">
        <v>89</v>
      </c>
      <c r="B308" s="12">
        <v>2016</v>
      </c>
    </row>
    <row r="309" spans="1:2" x14ac:dyDescent="0.3">
      <c r="A309" t="s">
        <v>131</v>
      </c>
      <c r="B309" s="12" t="str">
        <f>B306&amp;" - "&amp;B308&amp;" - "&amp;B305</f>
        <v>Scooter, gasoline, 4-11kW, EURO-4 - 2016 - CH</v>
      </c>
    </row>
    <row r="310" spans="1:2" x14ac:dyDescent="0.3">
      <c r="A310" t="s">
        <v>74</v>
      </c>
      <c r="B310" s="12" t="str">
        <f>"transport, "&amp;B306</f>
        <v>transport, Scooter, gasoline, 4-11kW, EURO-4</v>
      </c>
    </row>
    <row r="311" spans="1:2" x14ac:dyDescent="0.3">
      <c r="A311" t="s">
        <v>75</v>
      </c>
      <c r="B311" t="s">
        <v>76</v>
      </c>
    </row>
    <row r="312" spans="1:2" x14ac:dyDescent="0.3">
      <c r="A312" t="s">
        <v>77</v>
      </c>
      <c r="B312" t="s">
        <v>172</v>
      </c>
    </row>
    <row r="313" spans="1:2" x14ac:dyDescent="0.3">
      <c r="A313" t="s">
        <v>79</v>
      </c>
      <c r="B313" t="s">
        <v>90</v>
      </c>
    </row>
    <row r="314" spans="1:2" x14ac:dyDescent="0.3">
      <c r="A314" t="s">
        <v>132</v>
      </c>
      <c r="B314">
        <f>INDEX('vehicles specifications'!$B$3:$CK$86,MATCH(B309,'vehicles specifications'!$A$3:$A$86,0),MATCH("Lifetime [km]",'vehicles specifications'!$B$2:$CK$2,0))</f>
        <v>39800</v>
      </c>
    </row>
    <row r="315" spans="1:2" x14ac:dyDescent="0.3">
      <c r="A315" t="s">
        <v>133</v>
      </c>
      <c r="B315">
        <f>INDEX('vehicles specifications'!$B$3:$CK$86,MATCH(B309,'vehicles specifications'!$A$3:$A$86,0),MATCH("Passengers [unit]",'vehicles specifications'!$B$2:$CK$2,0))</f>
        <v>1</v>
      </c>
    </row>
    <row r="316" spans="1:2" x14ac:dyDescent="0.3">
      <c r="A316" t="s">
        <v>134</v>
      </c>
      <c r="B316">
        <f>INDEX('vehicles specifications'!$B$3:$CK$86,MATCH(B309,'vehicles specifications'!$A$3:$A$86,0),MATCH("Servicing [unit]",'vehicles specifications'!$B$2:$CK$2,0))</f>
        <v>1</v>
      </c>
    </row>
    <row r="317" spans="1:2" x14ac:dyDescent="0.3">
      <c r="A317" t="s">
        <v>135</v>
      </c>
      <c r="B317">
        <f>INDEX('vehicles specifications'!$B$3:$CK$86,MATCH(B309,'vehicles specifications'!$A$3:$A$86,0),MATCH("Energy battery replacement [unit]",'vehicles specifications'!$B$2:$CK$2,0))</f>
        <v>0</v>
      </c>
    </row>
    <row r="318" spans="1:2" x14ac:dyDescent="0.3">
      <c r="A318" t="s">
        <v>136</v>
      </c>
      <c r="B318">
        <f>INDEX('vehicles specifications'!$B$3:$CK$86,MATCH(B309,'vehicles specifications'!$A$3:$A$86,0),MATCH("Annual kilometers [km]",'vehicles specifications'!$B$2:$CK$2,0))</f>
        <v>2731</v>
      </c>
    </row>
    <row r="319" spans="1:2" x14ac:dyDescent="0.3">
      <c r="A319" t="s">
        <v>137</v>
      </c>
      <c r="B319" s="2">
        <f>INDEX('vehicles specifications'!$B$3:$CK$86,MATCH(B309,'vehicles specifications'!$A$3:$A$86,0),MATCH("Curb mass [kg]",'vehicles specifications'!$B$2:$CK$2,0))</f>
        <v>129.83750000000001</v>
      </c>
    </row>
    <row r="320" spans="1:2" x14ac:dyDescent="0.3">
      <c r="A320" t="s">
        <v>138</v>
      </c>
      <c r="B320">
        <f>INDEX('vehicles specifications'!$B$3:$CK$86,MATCH(B309,'vehicles specifications'!$A$3:$A$86,0),MATCH("Power [kW]",'vehicles specifications'!$B$2:$CK$2,0))</f>
        <v>8.8000000000000007</v>
      </c>
    </row>
    <row r="321" spans="1:8" x14ac:dyDescent="0.3">
      <c r="A321" t="s">
        <v>139</v>
      </c>
      <c r="B321">
        <f>INDEX('vehicles specifications'!$B$3:$CK$86,MATCH(B309,'vehicles specifications'!$A$3:$A$86,0),MATCH("Energy battery mass [kg]",'vehicles specifications'!$B$2:$CK$2,0))</f>
        <v>0</v>
      </c>
    </row>
    <row r="322" spans="1:8" x14ac:dyDescent="0.3">
      <c r="A322" t="s">
        <v>140</v>
      </c>
      <c r="B322">
        <f>INDEX('vehicles specifications'!$B$3:$CK$86,MATCH(B309,'vehicles specifications'!$A$3:$A$86,0),MATCH("Electric energy available [kWh]",'vehicles specifications'!$B$2:$CK$2,0))</f>
        <v>0</v>
      </c>
    </row>
    <row r="323" spans="1:8" x14ac:dyDescent="0.3">
      <c r="A323" t="s">
        <v>143</v>
      </c>
      <c r="B323" s="2">
        <f>INDEX('vehicles specifications'!$B$3:$CK$86,MATCH(B309,'vehicles specifications'!$A$3:$A$86,0),MATCH("Oxydation energy stored [kWh]",'vehicles specifications'!$B$2:$CK$2,0))</f>
        <v>61.833333333333329</v>
      </c>
    </row>
    <row r="324" spans="1:8" x14ac:dyDescent="0.3">
      <c r="A324" t="s">
        <v>145</v>
      </c>
      <c r="B324">
        <f>INDEX('vehicles specifications'!$B$3:$CK$86,MATCH(B309,'vehicles specifications'!$A$3:$A$86,0),MATCH("Fuel mass [kg]",'vehicles specifications'!$B$2:$CK$2,0))</f>
        <v>5.25</v>
      </c>
    </row>
    <row r="325" spans="1:8" x14ac:dyDescent="0.3">
      <c r="A325" t="s">
        <v>141</v>
      </c>
      <c r="B325" s="2">
        <f>INDEX('vehicles specifications'!$B$3:$CK$86,MATCH(B309,'vehicles specifications'!$A$3:$A$86,0),MATCH("Range [km]",'vehicles specifications'!$B$2:$CK$2,0))</f>
        <v>212.46873028686511</v>
      </c>
    </row>
    <row r="326" spans="1:8" x14ac:dyDescent="0.3">
      <c r="A326" t="s">
        <v>142</v>
      </c>
      <c r="B326" t="str">
        <f>INDEX('vehicles specifications'!$B$3:$CK$86,MATCH(B309,'vehicles specifications'!$A$3:$A$86,0),MATCH("Emission standard",'vehicles specifications'!$B$2:$CK$2,0))</f>
        <v>EURO-4</v>
      </c>
    </row>
    <row r="327" spans="1:8" x14ac:dyDescent="0.3">
      <c r="A327" t="s">
        <v>144</v>
      </c>
      <c r="B327" s="6">
        <f>INDEX('vehicles specifications'!$B$3:$CK$86,MATCH(B309,'vehicles specifications'!$A$3:$A$86,0),MATCH("Lightweighting rate [%]",'vehicles specifications'!$B$2:$CK$2,0))</f>
        <v>-0.02</v>
      </c>
    </row>
    <row r="328" spans="1:8" x14ac:dyDescent="0.3">
      <c r="A328"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8.8 kW. Lifetime: 39800 km. Annual kilometers: 2731 km. Number of passengers: 1. Curb mass: 129.8 kg. Lightweighting of glider: -2%. Emission standard: EURO-4. Service visits throughout lifetime: 1. Range: 212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t="s">
        <v>81</v>
      </c>
      <c r="B330" t="s">
        <v>82</v>
      </c>
      <c r="C330" t="s">
        <v>73</v>
      </c>
      <c r="D330" t="s">
        <v>77</v>
      </c>
      <c r="E330" t="s">
        <v>83</v>
      </c>
      <c r="F330" t="s">
        <v>75</v>
      </c>
      <c r="G330" t="s">
        <v>84</v>
      </c>
      <c r="H330" t="s">
        <v>74</v>
      </c>
    </row>
    <row r="331" spans="1:8" x14ac:dyDescent="0.3">
      <c r="A331" s="12" t="str">
        <f>B304</f>
        <v>transport, Scooter, gasoline, 4-11kW, EURO-4, 2016</v>
      </c>
      <c r="B331" s="12">
        <v>1</v>
      </c>
      <c r="C331" s="12" t="str">
        <f>B305</f>
        <v>CH</v>
      </c>
      <c r="D331" s="12" t="s">
        <v>172</v>
      </c>
      <c r="E331" s="12"/>
      <c r="F331" s="12" t="s">
        <v>85</v>
      </c>
      <c r="G331" s="12" t="s">
        <v>86</v>
      </c>
      <c r="H331" s="12" t="str">
        <f>B310</f>
        <v>transport, Scooter, gasoline, 4-11kW, EURO-4</v>
      </c>
    </row>
    <row r="332" spans="1:8" x14ac:dyDescent="0.3">
      <c r="A332" s="12" t="str">
        <f>RIGHT(A331,LEN(A331)-11)</f>
        <v>Scooter, gasoline, 4-11kW, EURO-4, 2016</v>
      </c>
      <c r="B332" s="12">
        <f>1/B314</f>
        <v>2.5125628140703518E-5</v>
      </c>
      <c r="C332" s="12" t="str">
        <f>B305</f>
        <v>CH</v>
      </c>
      <c r="D332" s="12" t="s">
        <v>77</v>
      </c>
      <c r="E332" s="12"/>
      <c r="F332" s="12" t="s">
        <v>91</v>
      </c>
      <c r="G332" s="12"/>
      <c r="H332" s="12" t="str">
        <f>RIGHT(H331,LEN(H331)-11)</f>
        <v>Scooter, gasoline, 4-11kW, EURO-4</v>
      </c>
    </row>
    <row r="333" spans="1:8" s="21" customFormat="1"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1.0946073750000001E-4</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road maintenance</v>
      </c>
      <c r="B334" s="16">
        <f>INDEX('vehicles specifications'!$B$3:$CK$86,MATCH(B309,'vehicles specifications'!$A$3:$A$86,0),MATCH(G334,'vehicles specifications'!$B$2:$CK$2,0))*INDEX('ei names mapping'!$B$137:$BK$220,MATCH(B309,'ei names mapping'!$A$137:$A$220,0),MATCH(G334,'ei names mapping'!$B$136:$BK$136,0))</f>
        <v>1.2899999999999999E-3</v>
      </c>
      <c r="C334" s="12" t="str">
        <f>INDEX('ei names mapping'!$B$38:$R$67,MATCH(B306,'ei names mapping'!$A$4:$A$33,0),MATCH(G334,'ei names mapping'!$B$3:$R$3,0))</f>
        <v>CH</v>
      </c>
      <c r="D334" s="12" t="str">
        <f>INDEX('ei names mapping'!$B$104:$BK$133,MATCH(B306,'ei names mapping'!$A$4:$A$33,0),MATCH(G334,'ei names mapping'!$B$3:$BK$3,0))</f>
        <v>meter-year</v>
      </c>
      <c r="E334" s="12"/>
      <c r="F334" s="12" t="s">
        <v>91</v>
      </c>
      <c r="G334" t="s">
        <v>117</v>
      </c>
      <c r="H334" s="12" t="str">
        <f>INDEX('ei names mapping'!$B$71:$BK$100,MATCH(B306,'ei names mapping'!$A$4:$A$33,0),MATCH(G334,'ei names mapping'!$B$3:$BK$3,0))</f>
        <v>road maintenance</v>
      </c>
    </row>
    <row r="335" spans="1:8" x14ac:dyDescent="0.3">
      <c r="A335" s="12" t="str">
        <f>INDEX('ei names mapping'!$B$4:$R$33,MATCH(B306,'ei names mapping'!$A$4:$A$33,0),MATCH(G335,'ei names mapping'!$B$3:$R$3,0))</f>
        <v>maintenance, motor scooter</v>
      </c>
      <c r="B335" s="16">
        <f>INDEX('vehicles specifications'!$B$3:$CK$86,MATCH(B309,'vehicles specifications'!$A$3:$A$86,0),MATCH(G335,'vehicles specifications'!$B$2:$CK$2,0))*INDEX('ei names mapping'!$B$137:$BK$220,MATCH(B309,'ei names mapping'!$A$137:$A$220,0),MATCH(G335,'ei names mapping'!$B$136:$BK$136,0))</f>
        <v>2.5125628140703518E-5</v>
      </c>
      <c r="C335" s="12" t="str">
        <f>INDEX('ei names mapping'!$B$38:$BK$67,MATCH(B306,'ei names mapping'!$A$4:$A$33,0),MATCH(G335,'ei names mapping'!$B$3:$BK$3,0))</f>
        <v>CH</v>
      </c>
      <c r="D335" s="12" t="str">
        <f>INDEX('ei names mapping'!$B$104:$BK$133,MATCH(B306,'ei names mapping'!$A$4:$A$33,0),MATCH(G335,'ei names mapping'!$B$3:$BK$3,0))</f>
        <v>unit</v>
      </c>
      <c r="F335" s="12" t="s">
        <v>91</v>
      </c>
      <c r="G335" s="12" t="s">
        <v>123</v>
      </c>
      <c r="H335" s="12" t="str">
        <f>INDEX('ei names mapping'!$B$71:$BK$100,MATCH(B306,'ei names mapping'!$A$4:$A$33,0),MATCH(G335,'ei names mapping'!$B$3:$BK$3,0))</f>
        <v>maintenance, motor scooter</v>
      </c>
    </row>
    <row r="336" spans="1:8" x14ac:dyDescent="0.3">
      <c r="A336" s="12" t="str">
        <f>INDEX('ei names mapping'!$B$4:$R$33,MATCH(B306,'ei names mapping'!$A$4:$A$33,0),MATCH(G336,'ei names mapping'!$B$3:$R$3,0))</f>
        <v>petrol blending for two-stroke engines</v>
      </c>
      <c r="B336" s="16">
        <f>INDEX('vehicles specifications'!$B$3:$CK$86,MATCH(B309,'vehicles specifications'!$A$3:$A$86,0),MATCH(G336,'vehicles specifications'!$B$2:$CK$2,0))*INDEX('ei names mapping'!$B$137:$BK$220,MATCH(B309,'ei names mapping'!$A$137:$A$220,0),MATCH(G336,'ei names mapping'!$B$136:$BK$136,0))</f>
        <v>2.4709518397891782E-2</v>
      </c>
      <c r="C336" s="12" t="str">
        <f>INDEX('ei names mapping'!$B$38:$BK$67,MATCH(B306,'ei names mapping'!$A$4:$A$33,0),MATCH(G336,'ei names mapping'!$B$3:$BK$3,0))</f>
        <v>CH</v>
      </c>
      <c r="D336" s="12" t="str">
        <f>INDEX('ei names mapping'!$B$104:$BK$133,MATCH(B306,'ei names mapping'!$A$4:$A$33,0),MATCH(G336,'ei names mapping'!$B$3:$BK$3,0))</f>
        <v>kilogram</v>
      </c>
      <c r="F336" s="12" t="s">
        <v>91</v>
      </c>
      <c r="G336" s="12" t="s">
        <v>27</v>
      </c>
      <c r="H336" s="12" t="str">
        <f>INDEX('ei names mapping'!$B$71:$BK$100,MATCH(B306,'ei names mapping'!$A$4:$A$33,0),MATCH(G336,'ei names mapping'!$B$3:$BK$3,0))</f>
        <v>petrol, two-stroke blend</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7.8576268505295865E-2</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3.9535229436626849E-7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6.3701440717008236E-5</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2.8884122543618082E-5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3.054202404125436E-3</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1.465455227986712E-6</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1.465455227986712E-6</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1.0989552634931646E-4</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8.416109374327685E-6</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s="21" customFormat="1"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5.1369931872325368E-4</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s="21" customFormat="1"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3.6222387858690965E-5</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s="21" customFormat="1"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7.3807373379777832E-6</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s="21" customFormat="1"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5.9500097924620903E-5</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s="21" customFormat="1"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2.4413208117926513E-5</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s="21" customFormat="1"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1.8281518637144973E-5</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s="21" customFormat="1"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1.2944677792761034E-5</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s="21" customFormat="1"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8.4026855847747068E-6</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s="21" customFormat="1"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8.2891357795750482E-5</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s="21" customFormat="1"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4.3376025586269431E-5</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s="21" customFormat="1"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1.2490478571962403E-6</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s="21" customFormat="1"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1.246776861092247E-4</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s="21" customFormat="1"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6.1657544223414404E-5</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s="21" customFormat="1"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2.566225597512275E-5</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s="21" customFormat="1"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1.9303466883941896E-5</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s="21" customFormat="1"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8.5162353899743643E-6</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s="21" customFormat="1"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2.4980957143924805E-6</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s="21" customFormat="1"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6.9265381171791515E-6</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s="21" customFormat="1"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s="21" customFormat="1"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2.1574462987935059E-6</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s="21" customFormat="1"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1.1468530325165477E-5</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s="21" customFormat="1"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3.6459388586457277E-8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s="21" customFormat="1"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3.1430507402118343E-10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s="21" customFormat="1"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2.095367160141223E-10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s="21" customFormat="1"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2.262996532952521E-6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s="21" customFormat="1"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4.4002710362965682E-8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s="21" customFormat="1"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1.3619886540917949E-8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s="21" customFormat="1"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1.6762937281129788E-8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s="21" customFormat="1"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3.3525874562259564E-11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s="21" customFormat="1"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9.1148471466143193E-9</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s="21" customFormat="1"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1.1314982664762604E-8</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-6.3939999999999993E-6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-6.1789999999999996E-6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Scooter, gasoline, 4-11kW, EURO-5, 2020</v>
      </c>
    </row>
    <row r="382" spans="1:8" x14ac:dyDescent="0.3">
      <c r="A382" t="s">
        <v>73</v>
      </c>
      <c r="B382" t="s">
        <v>37</v>
      </c>
    </row>
    <row r="383" spans="1:8" x14ac:dyDescent="0.3">
      <c r="A383" t="s">
        <v>87</v>
      </c>
      <c r="B383" t="s">
        <v>638</v>
      </c>
    </row>
    <row r="384" spans="1:8" x14ac:dyDescent="0.3">
      <c r="A384" t="s">
        <v>88</v>
      </c>
      <c r="B384" s="12"/>
    </row>
    <row r="385" spans="1:2" x14ac:dyDescent="0.3">
      <c r="A385" t="s">
        <v>89</v>
      </c>
      <c r="B385" s="12">
        <v>2020</v>
      </c>
    </row>
    <row r="386" spans="1:2" x14ac:dyDescent="0.3">
      <c r="A386" t="s">
        <v>131</v>
      </c>
      <c r="B386" s="12" t="str">
        <f>B383&amp;" - "&amp;B385&amp;" - "&amp;B382</f>
        <v>Scooter, gasoline, 4-11kW, EURO-5 - 2020 - CH</v>
      </c>
    </row>
    <row r="387" spans="1:2" x14ac:dyDescent="0.3">
      <c r="A387" t="s">
        <v>74</v>
      </c>
      <c r="B387" s="12" t="str">
        <f>"transport, "&amp;B383</f>
        <v>transport, Scooter, gasoline, 4-11kW, EURO-5</v>
      </c>
    </row>
    <row r="388" spans="1:2" x14ac:dyDescent="0.3">
      <c r="A388" t="s">
        <v>75</v>
      </c>
      <c r="B388" t="s">
        <v>76</v>
      </c>
    </row>
    <row r="389" spans="1:2" x14ac:dyDescent="0.3">
      <c r="A389" t="s">
        <v>77</v>
      </c>
      <c r="B389" t="s">
        <v>172</v>
      </c>
    </row>
    <row r="390" spans="1:2" x14ac:dyDescent="0.3">
      <c r="A390" t="s">
        <v>79</v>
      </c>
      <c r="B390" t="s">
        <v>90</v>
      </c>
    </row>
    <row r="391" spans="1:2" x14ac:dyDescent="0.3">
      <c r="A391" t="s">
        <v>132</v>
      </c>
      <c r="B391">
        <f>INDEX('vehicles specifications'!$B$3:$CK$86,MATCH(B386,'vehicles specifications'!$A$3:$A$86,0),MATCH("Lifetime [km]",'vehicles specifications'!$B$2:$CK$2,0))</f>
        <v>39800</v>
      </c>
    </row>
    <row r="392" spans="1:2" x14ac:dyDescent="0.3">
      <c r="A392" t="s">
        <v>133</v>
      </c>
      <c r="B392">
        <f>INDEX('vehicles specifications'!$B$3:$CK$86,MATCH(B386,'vehicles specifications'!$A$3:$A$86,0),MATCH("Passengers [unit]",'vehicles specifications'!$B$2:$CK$2,0))</f>
        <v>1</v>
      </c>
    </row>
    <row r="393" spans="1:2" x14ac:dyDescent="0.3">
      <c r="A393" t="s">
        <v>134</v>
      </c>
      <c r="B393">
        <f>INDEX('vehicles specifications'!$B$3:$CK$86,MATCH(B386,'vehicles specifications'!$A$3:$A$86,0),MATCH("Servicing [unit]",'vehicles specifications'!$B$2:$CK$2,0))</f>
        <v>1</v>
      </c>
    </row>
    <row r="394" spans="1:2" x14ac:dyDescent="0.3">
      <c r="A394" t="s">
        <v>135</v>
      </c>
      <c r="B394">
        <f>INDEX('vehicles specifications'!$B$3:$CK$86,MATCH(B386,'vehicles specifications'!$A$3:$A$86,0),MATCH("Energy battery replacement [unit]",'vehicles specifications'!$B$2:$CK$2,0))</f>
        <v>0</v>
      </c>
    </row>
    <row r="395" spans="1:2" x14ac:dyDescent="0.3">
      <c r="A395" t="s">
        <v>136</v>
      </c>
      <c r="B395">
        <f>INDEX('vehicles specifications'!$B$3:$CK$86,MATCH(B386,'vehicles specifications'!$A$3:$A$86,0),MATCH("Annual kilometers [km]",'vehicles specifications'!$B$2:$CK$2,0))</f>
        <v>2731</v>
      </c>
    </row>
    <row r="396" spans="1:2" x14ac:dyDescent="0.3">
      <c r="A396" t="s">
        <v>137</v>
      </c>
      <c r="B396" s="2">
        <f>INDEX('vehicles specifications'!$B$3:$CK$86,MATCH(B386,'vehicles specifications'!$A$3:$A$86,0),MATCH("Curb mass [kg]",'vehicles specifications'!$B$2:$CK$2,0))</f>
        <v>128.03749999999999</v>
      </c>
    </row>
    <row r="397" spans="1:2" x14ac:dyDescent="0.3">
      <c r="A397" t="s">
        <v>138</v>
      </c>
      <c r="B397">
        <f>INDEX('vehicles specifications'!$B$3:$CK$86,MATCH(B386,'vehicles specifications'!$A$3:$A$86,0),MATCH("Power [kW]",'vehicles specifications'!$B$2:$CK$2,0))</f>
        <v>8.8000000000000007</v>
      </c>
    </row>
    <row r="398" spans="1:2" x14ac:dyDescent="0.3">
      <c r="A398" t="s">
        <v>139</v>
      </c>
      <c r="B398">
        <f>INDEX('vehicles specifications'!$B$3:$CK$86,MATCH(B386,'vehicles specifications'!$A$3:$A$86,0),MATCH("Energy battery mass [kg]",'vehicles specifications'!$B$2:$CK$2,0))</f>
        <v>0</v>
      </c>
    </row>
    <row r="399" spans="1:2" x14ac:dyDescent="0.3">
      <c r="A399" t="s">
        <v>140</v>
      </c>
      <c r="B399">
        <f>INDEX('vehicles specifications'!$B$3:$CK$86,MATCH(B386,'vehicles specifications'!$A$3:$A$86,0),MATCH("Electric energy available [kWh]",'vehicles specifications'!$B$2:$CK$2,0))</f>
        <v>0</v>
      </c>
    </row>
    <row r="400" spans="1:2" x14ac:dyDescent="0.3">
      <c r="A400" t="s">
        <v>143</v>
      </c>
      <c r="B400" s="2">
        <f>INDEX('vehicles specifications'!$B$3:$CK$86,MATCH(B386,'vehicles specifications'!$A$3:$A$86,0),MATCH("Oxydation energy stored [kWh]",'vehicles specifications'!$B$2:$CK$2,0))</f>
        <v>61.833333333333329</v>
      </c>
    </row>
    <row r="401" spans="1:8" x14ac:dyDescent="0.3">
      <c r="A401" t="s">
        <v>145</v>
      </c>
      <c r="B401">
        <f>INDEX('vehicles specifications'!$B$3:$CK$86,MATCH(B386,'vehicles specifications'!$A$3:$A$86,0),MATCH("Fuel mass [kg]",'vehicles specifications'!$B$2:$CK$2,0))</f>
        <v>5.25</v>
      </c>
    </row>
    <row r="402" spans="1:8" x14ac:dyDescent="0.3">
      <c r="A402" t="s">
        <v>141</v>
      </c>
      <c r="B402" s="2">
        <f>INDEX('vehicles specifications'!$B$3:$CK$86,MATCH(B386,'vehicles specifications'!$A$3:$A$86,0),MATCH("Range [km]",'vehicles specifications'!$B$2:$CK$2,0))</f>
        <v>214.61487907764152</v>
      </c>
    </row>
    <row r="403" spans="1:8" x14ac:dyDescent="0.3">
      <c r="A403" t="s">
        <v>142</v>
      </c>
      <c r="B403" t="str">
        <f>INDEX('vehicles specifications'!$B$3:$CK$86,MATCH(B386,'vehicles specifications'!$A$3:$A$86,0),MATCH("Emission standard",'vehicles specifications'!$B$2:$CK$2,0))</f>
        <v>EURO-5</v>
      </c>
    </row>
    <row r="404" spans="1:8" x14ac:dyDescent="0.3">
      <c r="A404" t="s">
        <v>144</v>
      </c>
      <c r="B404" s="6">
        <f>INDEX('vehicles specifications'!$B$3:$CK$86,MATCH(B386,'vehicles specifications'!$A$3:$A$86,0),MATCH("Lightweighting rate [%]",'vehicles specifications'!$B$2:$CK$2,0))</f>
        <v>0</v>
      </c>
    </row>
    <row r="405" spans="1:8" x14ac:dyDescent="0.3">
      <c r="A405"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8.8 kW. Lifetime: 39800 km. Annual kilometers: 2731 km. Number of passengers: 1. Curb mass: 128 kg. Lightweighting of glider: 0%. Emission standard: EURO-5. Service visits throughout lifetime: 1. Range: 215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t="s">
        <v>81</v>
      </c>
      <c r="B407" t="s">
        <v>82</v>
      </c>
      <c r="C407" t="s">
        <v>73</v>
      </c>
      <c r="D407" t="s">
        <v>77</v>
      </c>
      <c r="E407" t="s">
        <v>83</v>
      </c>
      <c r="F407" t="s">
        <v>75</v>
      </c>
      <c r="G407" t="s">
        <v>84</v>
      </c>
      <c r="H407" t="s">
        <v>74</v>
      </c>
    </row>
    <row r="408" spans="1:8" x14ac:dyDescent="0.3">
      <c r="A408" s="12" t="str">
        <f>B381</f>
        <v>transport, Scooter, gasoline, 4-11kW, EURO-5, 2020</v>
      </c>
      <c r="B408" s="12">
        <v>1</v>
      </c>
      <c r="C408" s="12" t="str">
        <f>B382</f>
        <v>CH</v>
      </c>
      <c r="D408" s="12" t="s">
        <v>172</v>
      </c>
      <c r="E408" s="12"/>
      <c r="F408" s="12" t="s">
        <v>85</v>
      </c>
      <c r="G408" s="12" t="s">
        <v>86</v>
      </c>
      <c r="H408" s="12" t="str">
        <f>B387</f>
        <v>transport, Scooter, gasoline, 4-11kW, EURO-5</v>
      </c>
    </row>
    <row r="409" spans="1:8" x14ac:dyDescent="0.3">
      <c r="A409" s="12" t="str">
        <f>RIGHT(A408,LEN(A408)-11)</f>
        <v>Scooter, gasoline, 4-11kW, EURO-5, 2020</v>
      </c>
      <c r="B409" s="12">
        <f>1/B391</f>
        <v>2.5125628140703518E-5</v>
      </c>
      <c r="C409" s="12" t="str">
        <f>B382</f>
        <v>CH</v>
      </c>
      <c r="D409" s="12" t="s">
        <v>77</v>
      </c>
      <c r="E409" s="12"/>
      <c r="F409" s="12" t="s">
        <v>91</v>
      </c>
      <c r="G409" s="12"/>
      <c r="H409" s="12" t="str">
        <f>RIGHT(H408,LEN(H408)-11)</f>
        <v>Scooter, gasoline, 4-11kW, EURO-5</v>
      </c>
    </row>
    <row r="410" spans="1:8" s="21" customFormat="1"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1.084941375E-4</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road maintenance</v>
      </c>
      <c r="B411" s="16">
        <f>INDEX('vehicles specifications'!$B$3:$CK$86,MATCH(B386,'vehicles specifications'!$A$3:$A$86,0),MATCH(G411,'vehicles specifications'!$B$2:$CK$2,0))*INDEX('ei names mapping'!$B$137:$BK$220,MATCH(B386,'ei names mapping'!$A$137:$A$220,0),MATCH(G411,'ei names mapping'!$B$136:$BK$136,0))</f>
        <v>1.2899999999999999E-3</v>
      </c>
      <c r="C411" s="12" t="str">
        <f>INDEX('ei names mapping'!$B$38:$R$67,MATCH(B383,'ei names mapping'!$A$4:$A$33,0),MATCH(G411,'ei names mapping'!$B$3:$R$3,0))</f>
        <v>CH</v>
      </c>
      <c r="D411" s="12" t="str">
        <f>INDEX('ei names mapping'!$B$104:$BK$133,MATCH(B383,'ei names mapping'!$A$4:$A$33,0),MATCH(G411,'ei names mapping'!$B$3:$BK$3,0))</f>
        <v>meter-year</v>
      </c>
      <c r="E411" s="12"/>
      <c r="F411" s="12" t="s">
        <v>91</v>
      </c>
      <c r="G411" t="s">
        <v>117</v>
      </c>
      <c r="H411" s="12" t="str">
        <f>INDEX('ei names mapping'!$B$71:$BK$100,MATCH(B383,'ei names mapping'!$A$4:$A$33,0),MATCH(G411,'ei names mapping'!$B$3:$BK$3,0))</f>
        <v>road maintenance</v>
      </c>
    </row>
    <row r="412" spans="1:8" x14ac:dyDescent="0.3">
      <c r="A412" s="12" t="str">
        <f>INDEX('ei names mapping'!$B$4:$R$33,MATCH(B383,'ei names mapping'!$A$4:$A$33,0),MATCH(G412,'ei names mapping'!$B$3:$R$3,0))</f>
        <v>maintenance, motor scooter</v>
      </c>
      <c r="B412" s="16">
        <f>INDEX('vehicles specifications'!$B$3:$CK$86,MATCH(B386,'vehicles specifications'!$A$3:$A$86,0),MATCH(G412,'vehicles specifications'!$B$2:$CK$2,0))*INDEX('ei names mapping'!$B$137:$BK$220,MATCH(B386,'ei names mapping'!$A$137:$A$220,0),MATCH(G412,'ei names mapping'!$B$136:$BK$136,0))</f>
        <v>2.5125628140703518E-5</v>
      </c>
      <c r="C412" s="12" t="str">
        <f>INDEX('ei names mapping'!$B$38:$BK$67,MATCH(B383,'ei names mapping'!$A$4:$A$33,0),MATCH(G412,'ei names mapping'!$B$3:$BK$3,0))</f>
        <v>CH</v>
      </c>
      <c r="D412" s="12" t="str">
        <f>INDEX('ei names mapping'!$B$104:$BK$133,MATCH(B383,'ei names mapping'!$A$4:$A$33,0),MATCH(G412,'ei names mapping'!$B$3:$BK$3,0))</f>
        <v>unit</v>
      </c>
      <c r="F412" s="12" t="s">
        <v>91</v>
      </c>
      <c r="G412" s="12" t="s">
        <v>123</v>
      </c>
      <c r="H412" s="12" t="str">
        <f>INDEX('ei names mapping'!$B$71:$BK$100,MATCH(B383,'ei names mapping'!$A$4:$A$33,0),MATCH(G412,'ei names mapping'!$B$3:$BK$3,0))</f>
        <v>maintenance, motor scooter</v>
      </c>
    </row>
    <row r="413" spans="1:8" x14ac:dyDescent="0.3">
      <c r="A413" s="12" t="str">
        <f>INDEX('ei names mapping'!$B$4:$R$33,MATCH(B383,'ei names mapping'!$A$4:$A$33,0),MATCH(G413,'ei names mapping'!$B$3:$R$3,0))</f>
        <v>petrol blending for two-stroke engines</v>
      </c>
      <c r="B413" s="16">
        <f>INDEX('vehicles specifications'!$B$3:$CK$86,MATCH(B386,'vehicles specifications'!$A$3:$A$86,0),MATCH(G413,'vehicles specifications'!$B$2:$CK$2,0))*INDEX('ei names mapping'!$B$137:$BK$220,MATCH(B386,'ei names mapping'!$A$137:$A$220,0),MATCH(G413,'ei names mapping'!$B$136:$BK$136,0))</f>
        <v>2.4462423213912864E-2</v>
      </c>
      <c r="C413" s="12" t="str">
        <f>INDEX('ei names mapping'!$B$38:$BK$67,MATCH(B383,'ei names mapping'!$A$4:$A$33,0),MATCH(G413,'ei names mapping'!$B$3:$BK$3,0))</f>
        <v>CH</v>
      </c>
      <c r="D413" s="12" t="str">
        <f>INDEX('ei names mapping'!$B$104:$BK$133,MATCH(B383,'ei names mapping'!$A$4:$A$33,0),MATCH(G413,'ei names mapping'!$B$3:$BK$3,0))</f>
        <v>kilogram</v>
      </c>
      <c r="F413" s="12" t="s">
        <v>91</v>
      </c>
      <c r="G413" s="12" t="s">
        <v>27</v>
      </c>
      <c r="H413" s="12" t="str">
        <f>INDEX('ei names mapping'!$B$71:$BK$100,MATCH(B383,'ei names mapping'!$A$4:$A$33,0),MATCH(G413,'ei names mapping'!$B$3:$BK$3,0))</f>
        <v>petrol, two-stroke blend</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7.7790505820242911E-2</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3.9139877142260582E-7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6.3064426309838157E-5</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2.8595281318181901E-5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3.0236603800841816E-3</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1.4508006757068449E-6</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1.4508006757068449E-6</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1.0879657108582329E-4</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8.3319482805844091E-6</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s="21" customFormat="1"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5.0856232553602115E-4</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s="21" customFormat="1"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3.5860163980104051E-5</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s="21" customFormat="1"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7.3069299645980046E-6</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s="21" customFormat="1"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5.8905096945374687E-5</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s="21" customFormat="1"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2.4169076036747247E-5</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s="21" customFormat="1"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1.8098703450773521E-5</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s="21" customFormat="1"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1.2815231014833424E-5</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s="21" customFormat="1"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8.3186587289269597E-6</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s="21" customFormat="1"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8.2062444217792976E-5</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s="21" customFormat="1"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4.2942265330406731E-5</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s="21" customFormat="1"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1.2365573786242778E-6</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s="21" customFormat="1"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1.2343090924813246E-4</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s="21" customFormat="1"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6.1040968781180262E-5</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s="21" customFormat="1"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2.5405633415371523E-5</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s="21" customFormat="1"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1.9110432215102475E-5</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s="21" customFormat="1"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8.4310730360746207E-6</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s="21" customFormat="1"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2.4731147572485556E-6</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s="21" customFormat="1"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6.8572727360073596E-6</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s="21" customFormat="1"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s="21" customFormat="1"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2.1358718358055709E-6</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s="21" customFormat="1"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1.1353845021913823E-5</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s="21" customFormat="1"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3.6094794700592704E-8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s="21" customFormat="1"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3.1116202328097162E-10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s="21" customFormat="1"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2.0744134885398107E-10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s="21" customFormat="1"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2.2403665676229954E-6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s="21" customFormat="1"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4.3562683259336024E-8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s="21" customFormat="1"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1.348368767550877E-8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s="21" customFormat="1"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1.659530790831849E-8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s="21" customFormat="1"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3.3190615816636971E-11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s="21" customFormat="1"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9.0236986751481759E-9</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s="21" customFormat="1"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1.1201832838114978E-8</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-6.3939999999999993E-6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-6.1789999999999996E-6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Scooter, gasoline, 4-11kW, EURO-5, 2030</v>
      </c>
    </row>
    <row r="459" spans="1:8" x14ac:dyDescent="0.3">
      <c r="A459" t="s">
        <v>73</v>
      </c>
      <c r="B459" t="s">
        <v>37</v>
      </c>
    </row>
    <row r="460" spans="1:8" x14ac:dyDescent="0.3">
      <c r="A460" t="s">
        <v>87</v>
      </c>
      <c r="B460" t="s">
        <v>638</v>
      </c>
    </row>
    <row r="461" spans="1:8" x14ac:dyDescent="0.3">
      <c r="A461" t="s">
        <v>88</v>
      </c>
      <c r="B461" s="12"/>
    </row>
    <row r="462" spans="1:8" x14ac:dyDescent="0.3">
      <c r="A462" t="s">
        <v>89</v>
      </c>
      <c r="B462" s="12">
        <v>2030</v>
      </c>
    </row>
    <row r="463" spans="1:8" x14ac:dyDescent="0.3">
      <c r="A463" t="s">
        <v>131</v>
      </c>
      <c r="B463" s="12" t="str">
        <f>B460&amp;" - "&amp;B462&amp;" - "&amp;B459</f>
        <v>Scooter, gasoline, 4-11kW, EURO-5 - 2030 - CH</v>
      </c>
    </row>
    <row r="464" spans="1:8" x14ac:dyDescent="0.3">
      <c r="A464" t="s">
        <v>74</v>
      </c>
      <c r="B464" s="12" t="str">
        <f>"transport, "&amp;B460</f>
        <v>transport, Scooter, gasoline, 4-11kW, EURO-5</v>
      </c>
    </row>
    <row r="465" spans="1:2" x14ac:dyDescent="0.3">
      <c r="A465" t="s">
        <v>75</v>
      </c>
      <c r="B465" t="s">
        <v>76</v>
      </c>
    </row>
    <row r="466" spans="1:2" x14ac:dyDescent="0.3">
      <c r="A466" t="s">
        <v>77</v>
      </c>
      <c r="B466" t="s">
        <v>172</v>
      </c>
    </row>
    <row r="467" spans="1:2" x14ac:dyDescent="0.3">
      <c r="A467" t="s">
        <v>79</v>
      </c>
      <c r="B467" t="s">
        <v>90</v>
      </c>
    </row>
    <row r="468" spans="1:2" x14ac:dyDescent="0.3">
      <c r="A468" t="s">
        <v>132</v>
      </c>
      <c r="B468">
        <f>INDEX('vehicles specifications'!$B$3:$CK$86,MATCH(B463,'vehicles specifications'!$A$3:$A$86,0),MATCH("Lifetime [km]",'vehicles specifications'!$B$2:$CK$2,0))</f>
        <v>39800</v>
      </c>
    </row>
    <row r="469" spans="1:2" x14ac:dyDescent="0.3">
      <c r="A469" t="s">
        <v>133</v>
      </c>
      <c r="B469">
        <f>INDEX('vehicles specifications'!$B$3:$CK$86,MATCH(B463,'vehicles specifications'!$A$3:$A$86,0),MATCH("Passengers [unit]",'vehicles specifications'!$B$2:$CK$2,0))</f>
        <v>1</v>
      </c>
    </row>
    <row r="470" spans="1:2" x14ac:dyDescent="0.3">
      <c r="A470" t="s">
        <v>134</v>
      </c>
      <c r="B470">
        <f>INDEX('vehicles specifications'!$B$3:$CK$86,MATCH(B463,'vehicles specifications'!$A$3:$A$86,0),MATCH("Servicing [unit]",'vehicles specifications'!$B$2:$CK$2,0))</f>
        <v>1</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2731</v>
      </c>
    </row>
    <row r="473" spans="1:2" x14ac:dyDescent="0.3">
      <c r="A473" t="s">
        <v>137</v>
      </c>
      <c r="B473" s="2">
        <f>INDEX('vehicles specifications'!$B$3:$CK$86,MATCH(B463,'vehicles specifications'!$A$3:$A$86,0),MATCH("Curb mass [kg]",'vehicles specifications'!$B$2:$CK$2,0))</f>
        <v>124.33749999999999</v>
      </c>
    </row>
    <row r="474" spans="1:2" x14ac:dyDescent="0.3">
      <c r="A474" t="s">
        <v>138</v>
      </c>
      <c r="B474">
        <f>INDEX('vehicles specifications'!$B$3:$CK$86,MATCH(B463,'vehicles specifications'!$A$3:$A$86,0),MATCH("Power [kW]",'vehicles specifications'!$B$2:$CK$2,0))</f>
        <v>8.8000000000000007</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s="2">
        <f>INDEX('vehicles specifications'!$B$3:$CK$86,MATCH(B463,'vehicles specifications'!$A$3:$A$86,0),MATCH("Oxydation energy stored [kWh]",'vehicles specifications'!$B$2:$CK$2,0))</f>
        <v>61.833333333333329</v>
      </c>
    </row>
    <row r="478" spans="1:2" x14ac:dyDescent="0.3">
      <c r="A478" t="s">
        <v>145</v>
      </c>
      <c r="B478">
        <f>INDEX('vehicles specifications'!$B$3:$CK$86,MATCH(B463,'vehicles specifications'!$A$3:$A$86,0),MATCH("Fuel mass [kg]",'vehicles specifications'!$B$2:$CK$2,0))</f>
        <v>5.25</v>
      </c>
    </row>
    <row r="479" spans="1:2" x14ac:dyDescent="0.3">
      <c r="A479" t="s">
        <v>141</v>
      </c>
      <c r="B479" s="2">
        <f>INDEX('vehicles specifications'!$B$3:$CK$86,MATCH(B463,'vehicles specifications'!$A$3:$A$86,0),MATCH("Range [km]",'vehicles specifications'!$B$2:$CK$2,0))</f>
        <v>216.78270613903183</v>
      </c>
    </row>
    <row r="480" spans="1:2" x14ac:dyDescent="0.3">
      <c r="A480" t="s">
        <v>142</v>
      </c>
      <c r="B480" t="str">
        <f>INDEX('vehicles specifications'!$B$3:$CK$86,MATCH(B463,'vehicles specifications'!$A$3:$A$86,0),MATCH("Emission standard",'vehicles specifications'!$B$2:$CK$2,0))</f>
        <v>EURO-5</v>
      </c>
    </row>
    <row r="481" spans="1:8" x14ac:dyDescent="0.3">
      <c r="A481" t="s">
        <v>144</v>
      </c>
      <c r="B481" s="6">
        <f>INDEX('vehicles specifications'!$B$3:$CK$86,MATCH(B463,'vehicles specifications'!$A$3:$A$86,0),MATCH("Lightweighting rate [%]",'vehicles specifications'!$B$2:$CK$2,0))</f>
        <v>0.03</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8.8 kW. Lifetime: 39800 km. Annual kilometers: 2731 km. Number of passengers: 1. Curb mass: 124.3 kg. Lightweighting of glider: 3%. Emission standard: EURO-5. Service visits throughout lifetime: 1. Range: 217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Scooter, gasoline, 4-11kW, EURO-5, 2030</v>
      </c>
      <c r="B485" s="12">
        <v>1</v>
      </c>
      <c r="C485" s="12" t="str">
        <f>B459</f>
        <v>CH</v>
      </c>
      <c r="D485" s="12" t="s">
        <v>172</v>
      </c>
      <c r="E485" s="12"/>
      <c r="F485" s="12" t="s">
        <v>85</v>
      </c>
      <c r="G485" s="12" t="s">
        <v>86</v>
      </c>
      <c r="H485" s="12" t="str">
        <f>B464</f>
        <v>transport, Scooter, gasoline, 4-11kW, EURO-5</v>
      </c>
    </row>
    <row r="486" spans="1:8" x14ac:dyDescent="0.3">
      <c r="A486" s="12" t="str">
        <f>RIGHT(A485,LEN(A485)-11)</f>
        <v>Scooter, gasoline, 4-11kW, EURO-5, 2030</v>
      </c>
      <c r="B486" s="12">
        <f>1/B468</f>
        <v>2.5125628140703518E-5</v>
      </c>
      <c r="C486" s="12" t="str">
        <f>B459</f>
        <v>CH</v>
      </c>
      <c r="D486" s="12" t="s">
        <v>77</v>
      </c>
      <c r="E486" s="12"/>
      <c r="F486" s="12" t="s">
        <v>91</v>
      </c>
      <c r="G486" s="12"/>
      <c r="H486" s="12" t="str">
        <f>RIGHT(H485,LEN(H485)-11)</f>
        <v>Scooter, gasoline, 4-11kW, EURO-5</v>
      </c>
    </row>
    <row r="487" spans="1:8" s="21" customFormat="1"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1.0650723749999999E-4</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road maintenance</v>
      </c>
      <c r="B488" s="16">
        <f>INDEX('vehicles specifications'!$B$3:$CK$86,MATCH(B463,'vehicles specifications'!$A$3:$A$86,0),MATCH(G488,'vehicles specifications'!$B$2:$CK$2,0))*INDEX('ei names mapping'!$B$137:$BK$220,MATCH(B463,'ei names mapping'!$A$137:$A$220,0),MATCH(G488,'ei names mapping'!$B$136:$BK$136,0))</f>
        <v>1.2899999999999999E-3</v>
      </c>
      <c r="C488" s="12" t="str">
        <f>INDEX('ei names mapping'!$B$38:$R$67,MATCH(B460,'ei names mapping'!$A$4:$A$33,0),MATCH(G488,'ei names mapping'!$B$3:$R$3,0))</f>
        <v>CH</v>
      </c>
      <c r="D488" s="12" t="str">
        <f>INDEX('ei names mapping'!$B$104:$BK$133,MATCH(B460,'ei names mapping'!$A$4:$A$33,0),MATCH(G488,'ei names mapping'!$B$3:$BK$3,0))</f>
        <v>meter-year</v>
      </c>
      <c r="E488" s="12"/>
      <c r="F488" s="12" t="s">
        <v>91</v>
      </c>
      <c r="G488" t="s">
        <v>117</v>
      </c>
      <c r="H488" s="12" t="str">
        <f>INDEX('ei names mapping'!$B$71:$BK$100,MATCH(B460,'ei names mapping'!$A$4:$A$33,0),MATCH(G488,'ei names mapping'!$B$3:$BK$3,0))</f>
        <v>road maintenance</v>
      </c>
    </row>
    <row r="489" spans="1:8" x14ac:dyDescent="0.3">
      <c r="A489" s="12" t="str">
        <f>INDEX('ei names mapping'!$B$4:$R$33,MATCH(B460,'ei names mapping'!$A$4:$A$33,0),MATCH(G489,'ei names mapping'!$B$3:$R$3,0))</f>
        <v>maintenance, motor scooter</v>
      </c>
      <c r="B489" s="16">
        <f>INDEX('vehicles specifications'!$B$3:$CK$86,MATCH(B463,'vehicles specifications'!$A$3:$A$86,0),MATCH(G489,'vehicles specifications'!$B$2:$CK$2,0))*INDEX('ei names mapping'!$B$137:$BK$220,MATCH(B463,'ei names mapping'!$A$137:$A$220,0),MATCH(G489,'ei names mapping'!$B$136:$BK$136,0))</f>
        <v>2.5125628140703518E-5</v>
      </c>
      <c r="C489" s="12" t="str">
        <f>INDEX('ei names mapping'!$B$38:$BK$67,MATCH(B460,'ei names mapping'!$A$4:$A$33,0),MATCH(G489,'ei names mapping'!$B$3:$BK$3,0))</f>
        <v>CH</v>
      </c>
      <c r="D489" s="12" t="str">
        <f>INDEX('ei names mapping'!$B$104:$BK$133,MATCH(B460,'ei names mapping'!$A$4:$A$33,0),MATCH(G489,'ei names mapping'!$B$3:$BK$3,0))</f>
        <v>unit</v>
      </c>
      <c r="F489" s="12" t="s">
        <v>91</v>
      </c>
      <c r="G489" s="12" t="s">
        <v>123</v>
      </c>
      <c r="H489" s="12" t="str">
        <f>INDEX('ei names mapping'!$B$71:$BK$100,MATCH(B460,'ei names mapping'!$A$4:$A$33,0),MATCH(G489,'ei names mapping'!$B$3:$BK$3,0))</f>
        <v>maintenance, motor scooter</v>
      </c>
    </row>
    <row r="490" spans="1:8" x14ac:dyDescent="0.3">
      <c r="A490" s="12" t="str">
        <f>INDEX('ei names mapping'!$B$4:$R$33,MATCH(B460,'ei names mapping'!$A$4:$A$33,0),MATCH(G490,'ei names mapping'!$B$3:$R$3,0))</f>
        <v>petrol blending for two-stroke engines</v>
      </c>
      <c r="B490" s="16">
        <f>INDEX('vehicles specifications'!$B$3:$CK$86,MATCH(B463,'vehicles specifications'!$A$3:$A$86,0),MATCH(G490,'vehicles specifications'!$B$2:$CK$2,0))*INDEX('ei names mapping'!$B$137:$BK$220,MATCH(B463,'ei names mapping'!$A$137:$A$220,0),MATCH(G490,'ei names mapping'!$B$136:$BK$136,0))</f>
        <v>2.4217798981773734E-2</v>
      </c>
      <c r="C490" s="12" t="str">
        <f>INDEX('ei names mapping'!$B$38:$BK$67,MATCH(B460,'ei names mapping'!$A$4:$A$33,0),MATCH(G490,'ei names mapping'!$B$3:$BK$3,0))</f>
        <v>CH</v>
      </c>
      <c r="D490" s="12" t="str">
        <f>INDEX('ei names mapping'!$B$104:$BK$133,MATCH(B460,'ei names mapping'!$A$4:$A$33,0),MATCH(G490,'ei names mapping'!$B$3:$BK$3,0))</f>
        <v>kilogram</v>
      </c>
      <c r="F490" s="12" t="s">
        <v>91</v>
      </c>
      <c r="G490" s="12" t="s">
        <v>27</v>
      </c>
      <c r="H490" s="12" t="str">
        <f>INDEX('ei names mapping'!$B$71:$BK$100,MATCH(B460,'ei names mapping'!$A$4:$A$33,0),MATCH(G490,'ei names mapping'!$B$3:$BK$3,0))</f>
        <v>petrol, two-stroke blend</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7.7012600762040473E-2</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3.874847837083797E-7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6.2433782046739775E-5</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2.8309328505000081E-5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2.99342377628334E-3</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1.4362926689497763E-6</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1.4362926689497763E-6</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1.0770860537496506E-4</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8.248628797778565E-6</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s="21" customFormat="1"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5.0347670228066102E-4</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s="21" customFormat="1"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3.550156234030301E-5</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s="21" customFormat="1"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7.2338606649520251E-6</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s="21" customFormat="1"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5.8316045975920942E-5</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s="21" customFormat="1"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2.3927385276379776E-5</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s="21" customFormat="1"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1.7917716416265787E-5</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s="21" customFormat="1"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1.268707870468509E-5</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s="21" customFormat="1"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8.2354721416376894E-6</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s="21" customFormat="1"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8.1241819775615057E-5</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s="21" customFormat="1"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4.2512842677102667E-5</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s="21" customFormat="1"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1.2241918048380351E-6</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s="21" customFormat="1"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1.2219660015565112E-4</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s="21" customFormat="1"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6.043055909336846E-5</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s="21" customFormat="1"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2.515157708121781E-5</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s="21" customFormat="1"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1.8919327892951451E-5</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s="21" customFormat="1"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8.3467623057138745E-6</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s="21" customFormat="1"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2.4483836096760702E-6</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s="21" customFormat="1"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6.7887000086472864E-6</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s="21" customFormat="1"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s="21" customFormat="1"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2.1145131174475149E-6</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s="21" customFormat="1"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1.1240306571694684E-5</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s="21" customFormat="1"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3.5733846753586782E-8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s="21" customFormat="1"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3.0805040304816191E-10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s="21" customFormat="1"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2.0536693536544127E-10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s="21" customFormat="1"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2.2179629019467658E-6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s="21" customFormat="1"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4.3127056426742661E-8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s="21" customFormat="1"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1.3348850798753683E-8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s="21" customFormat="1"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1.6429354829235304E-8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s="21" customFormat="1"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3.2858709658470601E-11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s="21" customFormat="1"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8.9334616883966954E-9</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s="21" customFormat="1"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1.1089814509733829E-8</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-6.3939999999999993E-6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-6.1789999999999996E-6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Scooter, gasoline, 4-11kW, EURO-5, 2040</v>
      </c>
    </row>
    <row r="536" spans="1:8" x14ac:dyDescent="0.3">
      <c r="A536" t="s">
        <v>73</v>
      </c>
      <c r="B536" t="s">
        <v>37</v>
      </c>
    </row>
    <row r="537" spans="1:8" x14ac:dyDescent="0.3">
      <c r="A537" t="s">
        <v>87</v>
      </c>
      <c r="B537" t="s">
        <v>638</v>
      </c>
    </row>
    <row r="538" spans="1:8" x14ac:dyDescent="0.3">
      <c r="A538" t="s">
        <v>88</v>
      </c>
      <c r="B538" s="12"/>
    </row>
    <row r="539" spans="1:8" x14ac:dyDescent="0.3">
      <c r="A539" t="s">
        <v>89</v>
      </c>
      <c r="B539" s="12">
        <v>2040</v>
      </c>
    </row>
    <row r="540" spans="1:8" x14ac:dyDescent="0.3">
      <c r="A540" t="s">
        <v>131</v>
      </c>
      <c r="B540" s="12" t="str">
        <f>B537&amp;" - "&amp;B539&amp;" - "&amp;B536</f>
        <v>Scooter, gasoline, 4-11kW, EURO-5 - 2040 - CH</v>
      </c>
    </row>
    <row r="541" spans="1:8" x14ac:dyDescent="0.3">
      <c r="A541" t="s">
        <v>74</v>
      </c>
      <c r="B541" s="12" t="str">
        <f>"transport, "&amp;B537</f>
        <v>transport, Scooter, gasoline, 4-11kW, EURO-5</v>
      </c>
    </row>
    <row r="542" spans="1:8" x14ac:dyDescent="0.3">
      <c r="A542" t="s">
        <v>75</v>
      </c>
      <c r="B542" t="s">
        <v>76</v>
      </c>
    </row>
    <row r="543" spans="1:8" x14ac:dyDescent="0.3">
      <c r="A543" t="s">
        <v>77</v>
      </c>
      <c r="B543" t="s">
        <v>172</v>
      </c>
    </row>
    <row r="544" spans="1:8" x14ac:dyDescent="0.3">
      <c r="A544" t="s">
        <v>79</v>
      </c>
      <c r="B544" t="s">
        <v>90</v>
      </c>
    </row>
    <row r="545" spans="1:2" x14ac:dyDescent="0.3">
      <c r="A545" t="s">
        <v>132</v>
      </c>
      <c r="B545">
        <f>INDEX('vehicles specifications'!$B$3:$CK$86,MATCH(B540,'vehicles specifications'!$A$3:$A$86,0),MATCH("Lifetime [km]",'vehicles specifications'!$B$2:$CK$2,0))</f>
        <v>39800</v>
      </c>
    </row>
    <row r="546" spans="1:2" x14ac:dyDescent="0.3">
      <c r="A546" t="s">
        <v>133</v>
      </c>
      <c r="B546">
        <f>INDEX('vehicles specifications'!$B$3:$CK$86,MATCH(B540,'vehicles specifications'!$A$3:$A$86,0),MATCH("Passengers [unit]",'vehicles specifications'!$B$2:$CK$2,0))</f>
        <v>1</v>
      </c>
    </row>
    <row r="547" spans="1:2" x14ac:dyDescent="0.3">
      <c r="A547" t="s">
        <v>134</v>
      </c>
      <c r="B547">
        <f>INDEX('vehicles specifications'!$B$3:$CK$86,MATCH(B540,'vehicles specifications'!$A$3:$A$86,0),MATCH("Servicing [unit]",'vehicles specifications'!$B$2:$CK$2,0))</f>
        <v>1</v>
      </c>
    </row>
    <row r="548" spans="1:2" x14ac:dyDescent="0.3">
      <c r="A548" t="s">
        <v>135</v>
      </c>
      <c r="B548">
        <f>INDEX('vehicles specifications'!$B$3:$CK$86,MATCH(B540,'vehicles specifications'!$A$3:$A$86,0),MATCH("Energy battery replacement [unit]",'vehicles specifications'!$B$2:$CK$2,0))</f>
        <v>0</v>
      </c>
    </row>
    <row r="549" spans="1:2" x14ac:dyDescent="0.3">
      <c r="A549" t="s">
        <v>136</v>
      </c>
      <c r="B549">
        <f>INDEX('vehicles specifications'!$B$3:$CK$86,MATCH(B540,'vehicles specifications'!$A$3:$A$86,0),MATCH("Annual kilometers [km]",'vehicles specifications'!$B$2:$CK$2,0))</f>
        <v>2731</v>
      </c>
    </row>
    <row r="550" spans="1:2" x14ac:dyDescent="0.3">
      <c r="A550" t="s">
        <v>137</v>
      </c>
      <c r="B550" s="2">
        <f>INDEX('vehicles specifications'!$B$3:$CK$86,MATCH(B540,'vehicles specifications'!$A$3:$A$86,0),MATCH("Curb mass [kg]",'vehicles specifications'!$B$2:$CK$2,0))</f>
        <v>121.63749999999999</v>
      </c>
    </row>
    <row r="551" spans="1:2" x14ac:dyDescent="0.3">
      <c r="A551" t="s">
        <v>138</v>
      </c>
      <c r="B551">
        <f>INDEX('vehicles specifications'!$B$3:$CK$86,MATCH(B540,'vehicles specifications'!$A$3:$A$86,0),MATCH("Power [kW]",'vehicles specifications'!$B$2:$CK$2,0))</f>
        <v>8.8000000000000007</v>
      </c>
    </row>
    <row r="552" spans="1:2" x14ac:dyDescent="0.3">
      <c r="A552" t="s">
        <v>139</v>
      </c>
      <c r="B552">
        <f>INDEX('vehicles specifications'!$B$3:$CK$86,MATCH(B540,'vehicles specifications'!$A$3:$A$86,0),MATCH("Energy battery mass [kg]",'vehicles specifications'!$B$2:$CK$2,0))</f>
        <v>0</v>
      </c>
    </row>
    <row r="553" spans="1:2" x14ac:dyDescent="0.3">
      <c r="A553" t="s">
        <v>140</v>
      </c>
      <c r="B553">
        <f>INDEX('vehicles specifications'!$B$3:$CK$86,MATCH(B540,'vehicles specifications'!$A$3:$A$86,0),MATCH("Electric energy available [kWh]",'vehicles specifications'!$B$2:$CK$2,0))</f>
        <v>0</v>
      </c>
    </row>
    <row r="554" spans="1:2" x14ac:dyDescent="0.3">
      <c r="A554" t="s">
        <v>143</v>
      </c>
      <c r="B554" s="2">
        <f>INDEX('vehicles specifications'!$B$3:$CK$86,MATCH(B540,'vehicles specifications'!$A$3:$A$86,0),MATCH("Oxydation energy stored [kWh]",'vehicles specifications'!$B$2:$CK$2,0))</f>
        <v>61.833333333333329</v>
      </c>
    </row>
    <row r="555" spans="1:2" x14ac:dyDescent="0.3">
      <c r="A555" t="s">
        <v>145</v>
      </c>
      <c r="B555">
        <f>INDEX('vehicles specifications'!$B$3:$CK$86,MATCH(B540,'vehicles specifications'!$A$3:$A$86,0),MATCH("Fuel mass [kg]",'vehicles specifications'!$B$2:$CK$2,0))</f>
        <v>5.25</v>
      </c>
    </row>
    <row r="556" spans="1:2" x14ac:dyDescent="0.3">
      <c r="A556" t="s">
        <v>141</v>
      </c>
      <c r="B556" s="2">
        <f>INDEX('vehicles specifications'!$B$3:$CK$86,MATCH(B540,'vehicles specifications'!$A$3:$A$86,0),MATCH("Range [km]",'vehicles specifications'!$B$2:$CK$2,0))</f>
        <v>218.97243044346649</v>
      </c>
    </row>
    <row r="557" spans="1:2" x14ac:dyDescent="0.3">
      <c r="A557" t="s">
        <v>142</v>
      </c>
      <c r="B557" t="str">
        <f>INDEX('vehicles specifications'!$B$3:$CK$86,MATCH(B540,'vehicles specifications'!$A$3:$A$86,0),MATCH("Emission standard",'vehicles specifications'!$B$2:$CK$2,0))</f>
        <v>EURO-5</v>
      </c>
    </row>
    <row r="558" spans="1:2" x14ac:dyDescent="0.3">
      <c r="A558" t="s">
        <v>144</v>
      </c>
      <c r="B558" s="6">
        <f>INDEX('vehicles specifications'!$B$3:$CK$86,MATCH(B540,'vehicles specifications'!$A$3:$A$86,0),MATCH("Lightweighting rate [%]",'vehicles specifications'!$B$2:$CK$2,0))</f>
        <v>0.05</v>
      </c>
    </row>
    <row r="559" spans="1:2" x14ac:dyDescent="0.3">
      <c r="A559"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8.8 kW. Lifetime: 39800 km. Annual kilometers: 2731 km. Number of passengers: 1. Curb mass: 121.6 kg. Lightweighting of glider: 5%. Emission standard: EURO-5. Service visits throughout lifetime: 1. Range: 219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t="s">
        <v>81</v>
      </c>
      <c r="B561" t="s">
        <v>82</v>
      </c>
      <c r="C561" t="s">
        <v>73</v>
      </c>
      <c r="D561" t="s">
        <v>77</v>
      </c>
      <c r="E561" t="s">
        <v>83</v>
      </c>
      <c r="F561" t="s">
        <v>75</v>
      </c>
      <c r="G561" t="s">
        <v>84</v>
      </c>
      <c r="H561" t="s">
        <v>74</v>
      </c>
    </row>
    <row r="562" spans="1:8" x14ac:dyDescent="0.3">
      <c r="A562" s="12" t="str">
        <f>B535</f>
        <v>transport, Scooter, gasoline, 4-11kW, EURO-5, 2040</v>
      </c>
      <c r="B562" s="12">
        <v>1</v>
      </c>
      <c r="C562" s="12" t="str">
        <f>B536</f>
        <v>CH</v>
      </c>
      <c r="D562" s="12" t="s">
        <v>172</v>
      </c>
      <c r="E562" s="12"/>
      <c r="F562" s="12" t="s">
        <v>85</v>
      </c>
      <c r="G562" s="12" t="s">
        <v>86</v>
      </c>
      <c r="H562" s="12" t="str">
        <f>B541</f>
        <v>transport, Scooter, gasoline, 4-11kW, EURO-5</v>
      </c>
    </row>
    <row r="563" spans="1:8" x14ac:dyDescent="0.3">
      <c r="A563" s="12" t="str">
        <f>RIGHT(A562,LEN(A562)-11)</f>
        <v>Scooter, gasoline, 4-11kW, EURO-5, 2040</v>
      </c>
      <c r="B563" s="12">
        <f>1/B545</f>
        <v>2.5125628140703518E-5</v>
      </c>
      <c r="C563" s="12" t="str">
        <f>B536</f>
        <v>CH</v>
      </c>
      <c r="D563" s="12" t="s">
        <v>77</v>
      </c>
      <c r="E563" s="12"/>
      <c r="F563" s="12" t="s">
        <v>91</v>
      </c>
      <c r="G563" s="12"/>
      <c r="H563" s="12" t="str">
        <f>RIGHT(H562,LEN(H562)-11)</f>
        <v>Scooter, gasoline, 4-11kW, EURO-5</v>
      </c>
    </row>
    <row r="564" spans="1:8" s="21" customFormat="1"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1.050573375E-4</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road maintenance</v>
      </c>
      <c r="B565" s="16">
        <f>INDEX('vehicles specifications'!$B$3:$CK$86,MATCH(B540,'vehicles specifications'!$A$3:$A$86,0),MATCH(G565,'vehicles specifications'!$B$2:$CK$2,0))*INDEX('ei names mapping'!$B$137:$BK$220,MATCH(B540,'ei names mapping'!$A$137:$A$220,0),MATCH(G565,'ei names mapping'!$B$136:$BK$136,0))</f>
        <v>1.2899999999999999E-3</v>
      </c>
      <c r="C565" s="12" t="str">
        <f>INDEX('ei names mapping'!$B$38:$R$67,MATCH(B537,'ei names mapping'!$A$4:$A$33,0),MATCH(G565,'ei names mapping'!$B$3:$R$3,0))</f>
        <v>CH</v>
      </c>
      <c r="D565" s="12" t="str">
        <f>INDEX('ei names mapping'!$B$104:$BK$133,MATCH(B537,'ei names mapping'!$A$4:$A$33,0),MATCH(G565,'ei names mapping'!$B$3:$BK$3,0))</f>
        <v>meter-year</v>
      </c>
      <c r="E565" s="12"/>
      <c r="F565" s="12" t="s">
        <v>91</v>
      </c>
      <c r="G565" t="s">
        <v>117</v>
      </c>
      <c r="H565" s="12" t="str">
        <f>INDEX('ei names mapping'!$B$71:$BK$100,MATCH(B537,'ei names mapping'!$A$4:$A$33,0),MATCH(G565,'ei names mapping'!$B$3:$BK$3,0))</f>
        <v>road maintenance</v>
      </c>
    </row>
    <row r="566" spans="1:8" x14ac:dyDescent="0.3">
      <c r="A566" s="12" t="str">
        <f>INDEX('ei names mapping'!$B$4:$R$33,MATCH(B537,'ei names mapping'!$A$4:$A$33,0),MATCH(G566,'ei names mapping'!$B$3:$R$3,0))</f>
        <v>maintenance, motor scooter</v>
      </c>
      <c r="B566" s="16">
        <f>INDEX('vehicles specifications'!$B$3:$CK$86,MATCH(B540,'vehicles specifications'!$A$3:$A$86,0),MATCH(G566,'vehicles specifications'!$B$2:$CK$2,0))*INDEX('ei names mapping'!$B$137:$BK$220,MATCH(B540,'ei names mapping'!$A$137:$A$220,0),MATCH(G566,'ei names mapping'!$B$136:$BK$136,0))</f>
        <v>2.5125628140703518E-5</v>
      </c>
      <c r="C566" s="12" t="str">
        <f>INDEX('ei names mapping'!$B$38:$BK$67,MATCH(B537,'ei names mapping'!$A$4:$A$33,0),MATCH(G566,'ei names mapping'!$B$3:$BK$3,0))</f>
        <v>CH</v>
      </c>
      <c r="D566" s="12" t="str">
        <f>INDEX('ei names mapping'!$B$104:$BK$133,MATCH(B537,'ei names mapping'!$A$4:$A$33,0),MATCH(G566,'ei names mapping'!$B$3:$BK$3,0))</f>
        <v>unit</v>
      </c>
      <c r="F566" s="12" t="s">
        <v>91</v>
      </c>
      <c r="G566" s="12" t="s">
        <v>123</v>
      </c>
      <c r="H566" s="12" t="str">
        <f>INDEX('ei names mapping'!$B$71:$BK$100,MATCH(B537,'ei names mapping'!$A$4:$A$33,0),MATCH(G566,'ei names mapping'!$B$3:$BK$3,0))</f>
        <v>maintenance, motor scooter</v>
      </c>
    </row>
    <row r="567" spans="1:8" x14ac:dyDescent="0.3">
      <c r="A567" s="12" t="str">
        <f>INDEX('ei names mapping'!$B$4:$R$33,MATCH(B537,'ei names mapping'!$A$4:$A$33,0),MATCH(G567,'ei names mapping'!$B$3:$R$3,0))</f>
        <v>petrol blending for two-stroke engines</v>
      </c>
      <c r="B567" s="16">
        <f>INDEX('vehicles specifications'!$B$3:$CK$86,MATCH(B540,'vehicles specifications'!$A$3:$A$86,0),MATCH(G567,'vehicles specifications'!$B$2:$CK$2,0))*INDEX('ei names mapping'!$B$137:$BK$220,MATCH(B540,'ei names mapping'!$A$137:$A$220,0),MATCH(G567,'ei names mapping'!$B$136:$BK$136,0))</f>
        <v>2.3975620991956E-2</v>
      </c>
      <c r="C567" s="12" t="str">
        <f>INDEX('ei names mapping'!$B$38:$BK$67,MATCH(B537,'ei names mapping'!$A$4:$A$33,0),MATCH(G567,'ei names mapping'!$B$3:$BK$3,0))</f>
        <v>CH</v>
      </c>
      <c r="D567" s="12" t="str">
        <f>INDEX('ei names mapping'!$B$104:$BK$133,MATCH(B537,'ei names mapping'!$A$4:$A$33,0),MATCH(G567,'ei names mapping'!$B$3:$BK$3,0))</f>
        <v>kilogram</v>
      </c>
      <c r="F567" s="12" t="s">
        <v>91</v>
      </c>
      <c r="G567" s="12" t="s">
        <v>27</v>
      </c>
      <c r="H567" s="12" t="str">
        <f>INDEX('ei names mapping'!$B$71:$BK$100,MATCH(B537,'ei names mapping'!$A$4:$A$33,0),MATCH(G567,'ei names mapping'!$B$3:$BK$3,0))</f>
        <v>petrol, two-stroke blend</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7.6242474754420073E-2</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3.836099358712959E-7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6.1809444226272389E-5</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2.8026235219950081E-5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2.9634895385205065E-3</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1.4219297422602786E-6</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1.4219297422602786E-6</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1.066315193212154E-4</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8.1661425098007786E-6</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s="21" customFormat="1"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4.9844193525785442E-4</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s="21" customFormat="1"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3.5146546716899981E-5</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s="21" customFormat="1"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7.1615220583025053E-6</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s="21" customFormat="1"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5.7732885516161735E-5</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s="21" customFormat="1"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2.3688111423615977E-5</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s="21" customFormat="1"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1.7738539252103131E-5</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s="21" customFormat="1"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1.256020791763824E-5</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s="21" customFormat="1"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8.1531174202213136E-6</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s="21" customFormat="1"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8.042940157785891E-5</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s="21" customFormat="1"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4.2087714250331641E-5</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s="21" customFormat="1"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1.2119498867896548E-6</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s="21" customFormat="1"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1.2097463415409463E-4</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s="21" customFormat="1"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5.9826253502434775E-5</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s="21" customFormat="1"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2.4900061310405631E-5</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s="21" customFormat="1"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1.8730134614021937E-5</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s="21" customFormat="1"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8.2632946826567353E-6</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s="21" customFormat="1"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2.4238997735793097E-6</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s="21" customFormat="1"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6.7208130085608136E-6</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s="21" customFormat="1"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s="21" customFormat="1"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2.0933679862730401E-6</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s="21" customFormat="1"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1.1127903505977737E-5</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s="21" customFormat="1"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3.5376508286050916E-8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s="21" customFormat="1"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3.0496989901768027E-10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s="21" customFormat="1"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2.0331326601178686E-10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s="21" customFormat="1"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2.1957832729272979E-6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s="21" customFormat="1"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4.269578586247524E-8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s="21" customFormat="1"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1.3215362290766146E-8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s="21" customFormat="1"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1.6265061280942952E-8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s="21" customFormat="1"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3.2530122561885898E-11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s="21" customFormat="1"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8.844127071512729E-9</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s="21" customFormat="1"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1.097891636463649E-8</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-6.3939999999999993E-6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-6.1789999999999996E-6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Scooter, gasoline, 4-11kW, EURO-5, 2050</v>
      </c>
    </row>
    <row r="613" spans="1:8" x14ac:dyDescent="0.3">
      <c r="A613" t="s">
        <v>73</v>
      </c>
      <c r="B613" t="s">
        <v>37</v>
      </c>
    </row>
    <row r="614" spans="1:8" x14ac:dyDescent="0.3">
      <c r="A614" t="s">
        <v>87</v>
      </c>
      <c r="B614" t="s">
        <v>638</v>
      </c>
    </row>
    <row r="615" spans="1:8" x14ac:dyDescent="0.3">
      <c r="A615" t="s">
        <v>88</v>
      </c>
      <c r="B615" s="12"/>
    </row>
    <row r="616" spans="1:8" x14ac:dyDescent="0.3">
      <c r="A616" t="s">
        <v>89</v>
      </c>
      <c r="B616" s="12">
        <v>2050</v>
      </c>
    </row>
    <row r="617" spans="1:8" x14ac:dyDescent="0.3">
      <c r="A617" t="s">
        <v>131</v>
      </c>
      <c r="B617" s="12" t="str">
        <f>B614&amp;" - "&amp;B616&amp;" - "&amp;B613</f>
        <v>Scooter, gasoline, 4-11kW, EURO-5 - 2050 - CH</v>
      </c>
    </row>
    <row r="618" spans="1:8" x14ac:dyDescent="0.3">
      <c r="A618" t="s">
        <v>74</v>
      </c>
      <c r="B618" s="12" t="str">
        <f>"transport, "&amp;B614</f>
        <v>transport, Scooter, gasoline, 4-11kW, EURO-5</v>
      </c>
    </row>
    <row r="619" spans="1:8" x14ac:dyDescent="0.3">
      <c r="A619" t="s">
        <v>75</v>
      </c>
      <c r="B619" t="s">
        <v>76</v>
      </c>
    </row>
    <row r="620" spans="1:8" x14ac:dyDescent="0.3">
      <c r="A620" t="s">
        <v>77</v>
      </c>
      <c r="B620" t="s">
        <v>172</v>
      </c>
    </row>
    <row r="621" spans="1:8" x14ac:dyDescent="0.3">
      <c r="A621" t="s">
        <v>79</v>
      </c>
      <c r="B621" t="s">
        <v>90</v>
      </c>
    </row>
    <row r="622" spans="1:8" x14ac:dyDescent="0.3">
      <c r="A622" t="s">
        <v>132</v>
      </c>
      <c r="B622">
        <f>INDEX('vehicles specifications'!$B$3:$CK$86,MATCH(B617,'vehicles specifications'!$A$3:$A$86,0),MATCH("Lifetime [km]",'vehicles specifications'!$B$2:$CK$2,0))</f>
        <v>39800</v>
      </c>
    </row>
    <row r="623" spans="1:8" x14ac:dyDescent="0.3">
      <c r="A623" t="s">
        <v>133</v>
      </c>
      <c r="B623">
        <f>INDEX('vehicles specifications'!$B$3:$CK$86,MATCH(B617,'vehicles specifications'!$A$3:$A$86,0),MATCH("Passengers [unit]",'vehicles specifications'!$B$2:$CK$2,0))</f>
        <v>1</v>
      </c>
    </row>
    <row r="624" spans="1:8" x14ac:dyDescent="0.3">
      <c r="A624" t="s">
        <v>134</v>
      </c>
      <c r="B624">
        <f>INDEX('vehicles specifications'!$B$3:$CK$86,MATCH(B617,'vehicles specifications'!$A$3:$A$86,0),MATCH("Servicing [unit]",'vehicles specifications'!$B$2:$CK$2,0))</f>
        <v>1</v>
      </c>
    </row>
    <row r="625" spans="1:8" x14ac:dyDescent="0.3">
      <c r="A625" t="s">
        <v>135</v>
      </c>
      <c r="B625">
        <f>INDEX('vehicles specifications'!$B$3:$CK$86,MATCH(B617,'vehicles specifications'!$A$3:$A$86,0),MATCH("Energy battery replacement [unit]",'vehicles specifications'!$B$2:$CK$2,0))</f>
        <v>0</v>
      </c>
    </row>
    <row r="626" spans="1:8" x14ac:dyDescent="0.3">
      <c r="A626" t="s">
        <v>136</v>
      </c>
      <c r="B626">
        <f>INDEX('vehicles specifications'!$B$3:$CK$86,MATCH(B617,'vehicles specifications'!$A$3:$A$86,0),MATCH("Annual kilometers [km]",'vehicles specifications'!$B$2:$CK$2,0))</f>
        <v>2731</v>
      </c>
    </row>
    <row r="627" spans="1:8" x14ac:dyDescent="0.3">
      <c r="A627" t="s">
        <v>137</v>
      </c>
      <c r="B627" s="2">
        <f>INDEX('vehicles specifications'!$B$3:$CK$86,MATCH(B617,'vehicles specifications'!$A$3:$A$86,0),MATCH("Curb mass [kg]",'vehicles specifications'!$B$2:$CK$2,0))</f>
        <v>118.93749999999999</v>
      </c>
    </row>
    <row r="628" spans="1:8" x14ac:dyDescent="0.3">
      <c r="A628" t="s">
        <v>138</v>
      </c>
      <c r="B628">
        <f>INDEX('vehicles specifications'!$B$3:$CK$86,MATCH(B617,'vehicles specifications'!$A$3:$A$86,0),MATCH("Power [kW]",'vehicles specifications'!$B$2:$CK$2,0))</f>
        <v>8.8000000000000007</v>
      </c>
    </row>
    <row r="629" spans="1:8" x14ac:dyDescent="0.3">
      <c r="A629" t="s">
        <v>139</v>
      </c>
      <c r="B629">
        <f>INDEX('vehicles specifications'!$B$3:$CK$86,MATCH(B617,'vehicles specifications'!$A$3:$A$86,0),MATCH("Energy battery mass [kg]",'vehicles specifications'!$B$2:$CK$2,0))</f>
        <v>0</v>
      </c>
    </row>
    <row r="630" spans="1:8" x14ac:dyDescent="0.3">
      <c r="A630" t="s">
        <v>140</v>
      </c>
      <c r="B630">
        <f>INDEX('vehicles specifications'!$B$3:$CK$86,MATCH(B617,'vehicles specifications'!$A$3:$A$86,0),MATCH("Electric energy available [kWh]",'vehicles specifications'!$B$2:$CK$2,0))</f>
        <v>0</v>
      </c>
    </row>
    <row r="631" spans="1:8" x14ac:dyDescent="0.3">
      <c r="A631" t="s">
        <v>143</v>
      </c>
      <c r="B631" s="2">
        <f>INDEX('vehicles specifications'!$B$3:$CK$86,MATCH(B617,'vehicles specifications'!$A$3:$A$86,0),MATCH("Oxydation energy stored [kWh]",'vehicles specifications'!$B$2:$CK$2,0))</f>
        <v>61.833333333333329</v>
      </c>
    </row>
    <row r="632" spans="1:8" x14ac:dyDescent="0.3">
      <c r="A632" t="s">
        <v>145</v>
      </c>
      <c r="B632">
        <f>INDEX('vehicles specifications'!$B$3:$CK$86,MATCH(B617,'vehicles specifications'!$A$3:$A$86,0),MATCH("Fuel mass [kg]",'vehicles specifications'!$B$2:$CK$2,0))</f>
        <v>5.25</v>
      </c>
    </row>
    <row r="633" spans="1:8" x14ac:dyDescent="0.3">
      <c r="A633" t="s">
        <v>141</v>
      </c>
      <c r="B633" s="2">
        <f>INDEX('vehicles specifications'!$B$3:$CK$86,MATCH(B617,'vehicles specifications'!$A$3:$A$86,0),MATCH("Range [km]",'vehicles specifications'!$B$2:$CK$2,0))</f>
        <v>221.18427317521866</v>
      </c>
    </row>
    <row r="634" spans="1:8" x14ac:dyDescent="0.3">
      <c r="A634" t="s">
        <v>142</v>
      </c>
      <c r="B634" t="str">
        <f>INDEX('vehicles specifications'!$B$3:$CK$86,MATCH(B617,'vehicles specifications'!$A$3:$A$86,0),MATCH("Emission standard",'vehicles specifications'!$B$2:$CK$2,0))</f>
        <v>EURO-5</v>
      </c>
    </row>
    <row r="635" spans="1:8" x14ac:dyDescent="0.3">
      <c r="A635" t="s">
        <v>144</v>
      </c>
      <c r="B635" s="6">
        <f>INDEX('vehicles specifications'!$B$3:$CK$86,MATCH(B617,'vehicles specifications'!$A$3:$A$86,0),MATCH("Lightweighting rate [%]",'vehicles specifications'!$B$2:$CK$2,0))</f>
        <v>7.0000000000000007E-2</v>
      </c>
    </row>
    <row r="636" spans="1:8" x14ac:dyDescent="0.3">
      <c r="A636"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8.8 kW. Lifetime: 39800 km. Annual kilometers: 2731 km. Number of passengers: 1. Curb mass: 118.9 kg. Lightweighting of glider: 7%. Emission standard: EURO-5. Service visits throughout lifetime: 1. Range: 221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t="s">
        <v>81</v>
      </c>
      <c r="B638" t="s">
        <v>82</v>
      </c>
      <c r="C638" t="s">
        <v>73</v>
      </c>
      <c r="D638" t="s">
        <v>77</v>
      </c>
      <c r="E638" t="s">
        <v>83</v>
      </c>
      <c r="F638" t="s">
        <v>75</v>
      </c>
      <c r="G638" t="s">
        <v>84</v>
      </c>
      <c r="H638" t="s">
        <v>74</v>
      </c>
    </row>
    <row r="639" spans="1:8" x14ac:dyDescent="0.3">
      <c r="A639" s="12" t="str">
        <f>B612</f>
        <v>transport, Scooter, gasoline, 4-11kW, EURO-5, 2050</v>
      </c>
      <c r="B639" s="12">
        <v>1</v>
      </c>
      <c r="C639" s="12" t="str">
        <f>B613</f>
        <v>CH</v>
      </c>
      <c r="D639" s="12" t="s">
        <v>172</v>
      </c>
      <c r="E639" s="12"/>
      <c r="F639" s="12" t="s">
        <v>85</v>
      </c>
      <c r="G639" s="12" t="s">
        <v>86</v>
      </c>
      <c r="H639" s="12" t="str">
        <f>B618</f>
        <v>transport, Scooter, gasoline, 4-11kW, EURO-5</v>
      </c>
    </row>
    <row r="640" spans="1:8" x14ac:dyDescent="0.3">
      <c r="A640" s="12" t="str">
        <f>RIGHT(A639,LEN(A639)-11)</f>
        <v>Scooter, gasoline, 4-11kW, EURO-5, 2050</v>
      </c>
      <c r="B640" s="12">
        <f>1/B622</f>
        <v>2.5125628140703518E-5</v>
      </c>
      <c r="C640" s="12" t="str">
        <f>B613</f>
        <v>CH</v>
      </c>
      <c r="D640" s="12" t="s">
        <v>77</v>
      </c>
      <c r="E640" s="12"/>
      <c r="F640" s="12" t="s">
        <v>91</v>
      </c>
      <c r="G640" s="12"/>
      <c r="H640" s="12" t="str">
        <f>RIGHT(H639,LEN(H639)-11)</f>
        <v>Scooter, gasoline, 4-11kW, EURO-5</v>
      </c>
    </row>
    <row r="641" spans="1:8" s="21" customFormat="1"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1.036074375E-4</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road maintenance</v>
      </c>
      <c r="B642" s="16">
        <f>INDEX('vehicles specifications'!$B$3:$CK$86,MATCH(B617,'vehicles specifications'!$A$3:$A$86,0),MATCH(G642,'vehicles specifications'!$B$2:$CK$2,0))*INDEX('ei names mapping'!$B$137:$BK$220,MATCH(B617,'ei names mapping'!$A$137:$A$220,0),MATCH(G642,'ei names mapping'!$B$136:$BK$136,0))</f>
        <v>1.2899999999999999E-3</v>
      </c>
      <c r="C642" s="12" t="str">
        <f>INDEX('ei names mapping'!$B$38:$R$67,MATCH(B614,'ei names mapping'!$A$4:$A$33,0),MATCH(G642,'ei names mapping'!$B$3:$R$3,0))</f>
        <v>CH</v>
      </c>
      <c r="D642" s="12" t="str">
        <f>INDEX('ei names mapping'!$B$104:$BK$133,MATCH(B614,'ei names mapping'!$A$4:$A$33,0),MATCH(G642,'ei names mapping'!$B$3:$BK$3,0))</f>
        <v>meter-year</v>
      </c>
      <c r="E642" s="12"/>
      <c r="F642" s="12" t="s">
        <v>91</v>
      </c>
      <c r="G642" t="s">
        <v>117</v>
      </c>
      <c r="H642" s="12" t="str">
        <f>INDEX('ei names mapping'!$B$71:$BK$100,MATCH(B614,'ei names mapping'!$A$4:$A$33,0),MATCH(G642,'ei names mapping'!$B$3:$BK$3,0))</f>
        <v>road maintenance</v>
      </c>
    </row>
    <row r="643" spans="1:8" x14ac:dyDescent="0.3">
      <c r="A643" s="12" t="str">
        <f>INDEX('ei names mapping'!$B$4:$R$33,MATCH(B614,'ei names mapping'!$A$4:$A$33,0),MATCH(G643,'ei names mapping'!$B$3:$R$3,0))</f>
        <v>maintenance, motor scooter</v>
      </c>
      <c r="B643" s="16">
        <f>INDEX('vehicles specifications'!$B$3:$CK$86,MATCH(B617,'vehicles specifications'!$A$3:$A$86,0),MATCH(G643,'vehicles specifications'!$B$2:$CK$2,0))*INDEX('ei names mapping'!$B$137:$BK$220,MATCH(B617,'ei names mapping'!$A$137:$A$220,0),MATCH(G643,'ei names mapping'!$B$136:$BK$136,0))</f>
        <v>2.5125628140703518E-5</v>
      </c>
      <c r="C643" s="12" t="str">
        <f>INDEX('ei names mapping'!$B$38:$BK$67,MATCH(B614,'ei names mapping'!$A$4:$A$33,0),MATCH(G643,'ei names mapping'!$B$3:$BK$3,0))</f>
        <v>CH</v>
      </c>
      <c r="D643" s="12" t="str">
        <f>INDEX('ei names mapping'!$B$104:$BK$133,MATCH(B614,'ei names mapping'!$A$4:$A$33,0),MATCH(G643,'ei names mapping'!$B$3:$BK$3,0))</f>
        <v>unit</v>
      </c>
      <c r="F643" s="12" t="s">
        <v>91</v>
      </c>
      <c r="G643" s="12" t="s">
        <v>123</v>
      </c>
      <c r="H643" s="12" t="str">
        <f>INDEX('ei names mapping'!$B$71:$BK$100,MATCH(B614,'ei names mapping'!$A$4:$A$33,0),MATCH(G643,'ei names mapping'!$B$3:$BK$3,0))</f>
        <v>maintenance, motor scooter</v>
      </c>
    </row>
    <row r="644" spans="1:8" x14ac:dyDescent="0.3">
      <c r="A644" s="12" t="str">
        <f>INDEX('ei names mapping'!$B$4:$R$33,MATCH(B614,'ei names mapping'!$A$4:$A$33,0),MATCH(G644,'ei names mapping'!$B$3:$R$3,0))</f>
        <v>petrol blending for two-stroke engines</v>
      </c>
      <c r="B644" s="16">
        <f>INDEX('vehicles specifications'!$B$3:$CK$86,MATCH(B617,'vehicles specifications'!$A$3:$A$86,0),MATCH(G644,'vehicles specifications'!$B$2:$CK$2,0))*INDEX('ei names mapping'!$B$137:$BK$220,MATCH(B617,'ei names mapping'!$A$137:$A$220,0),MATCH(G644,'ei names mapping'!$B$136:$BK$136,0))</f>
        <v>2.3735864782036438E-2</v>
      </c>
      <c r="C644" s="12" t="str">
        <f>INDEX('ei names mapping'!$B$38:$BK$67,MATCH(B614,'ei names mapping'!$A$4:$A$33,0),MATCH(G644,'ei names mapping'!$B$3:$BK$3,0))</f>
        <v>CH</v>
      </c>
      <c r="D644" s="12" t="str">
        <f>INDEX('ei names mapping'!$B$104:$BK$133,MATCH(B614,'ei names mapping'!$A$4:$A$33,0),MATCH(G644,'ei names mapping'!$B$3:$BK$3,0))</f>
        <v>kilogram</v>
      </c>
      <c r="F644" s="12" t="s">
        <v>91</v>
      </c>
      <c r="G644" s="12" t="s">
        <v>27</v>
      </c>
      <c r="H644" s="12" t="str">
        <f>INDEX('ei names mapping'!$B$71:$BK$100,MATCH(B614,'ei names mapping'!$A$4:$A$33,0),MATCH(G644,'ei names mapping'!$B$3:$BK$3,0))</f>
        <v>petrol, two-stroke blend</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7.5480050006875882E-2</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3.79773836512583E-7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6.1191349784009663E-5</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2.7745972867750582E-5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2.9338546431353016E-3</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1.4077104448376758E-6</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1.4077104448376758E-6</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1.0556520412800326E-4</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8.0844810847027712E-6</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s="21" customFormat="1"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4.9345751590527584E-4</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s="21" customFormat="1"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3.4795081249730984E-5</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s="21" customFormat="1"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7.0899068377194797E-6</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s="21" customFormat="1"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5.7155556661000123E-5</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s="21" customFormat="1"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2.3451230309379819E-5</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s="21" customFormat="1"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1.7561153859582098E-5</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s="21" customFormat="1"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1.2434605838461858E-5</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s="21" customFormat="1"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8.0715862460191008E-6</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s="21" customFormat="1"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7.962510756208032E-5</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s="21" customFormat="1"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4.1666837107828324E-5</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s="21" customFormat="1"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1.1998303879217583E-6</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s="21" customFormat="1"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1.1976488781255369E-4</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s="21" customFormat="1"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5.9227990967410433E-5</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s="21" customFormat="1"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2.4651060697301577E-5</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s="21" customFormat="1"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1.854283326788172E-5</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s="21" customFormat="1"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8.1806617358301686E-6</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s="21" customFormat="1"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2.3996607758435167E-6</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s="21" customFormat="1"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6.6536048784752052E-6</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s="21" customFormat="1"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s="21" customFormat="1"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2.0724343064103095E-6</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s="21" customFormat="1"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1.101662447091796E-5</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s="21" customFormat="1"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3.5022743203190402E-8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s="21" customFormat="1"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3.0192020002750349E-10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s="21" customFormat="1"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2.0128013335166901E-10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s="21" customFormat="1"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2.1738254401980251E-6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s="21" customFormat="1"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4.2268828003850484E-8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s="21" customFormat="1"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1.3083208667858485E-8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s="21" customFormat="1"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1.6102410668133523E-8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s="21" customFormat="1"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3.220482133626704E-11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s="21" customFormat="1"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8.7556858007976005E-9</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s="21" customFormat="1"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1.0869127200990126E-8</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-6.3939999999999993E-6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-6.1789999999999996E-6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3"/>
  <sheetViews>
    <sheetView zoomScale="85" zoomScaleNormal="85" workbookViewId="0">
      <selection activeCell="B17" sqref="B17"/>
    </sheetView>
  </sheetViews>
  <sheetFormatPr defaultRowHeight="14.4" x14ac:dyDescent="0.3"/>
  <cols>
    <col min="1" max="1" width="48.21875" style="21" bestFit="1" customWidth="1"/>
    <col min="2" max="2" width="15.6640625" style="21" bestFit="1" customWidth="1"/>
    <col min="3" max="4" width="8.88671875" style="21"/>
    <col min="5" max="5" width="9.77734375" style="21" bestFit="1" customWidth="1"/>
    <col min="6" max="6" width="12.44140625" style="21" bestFit="1" customWidth="1"/>
    <col min="7" max="7" width="32" style="21" bestFit="1" customWidth="1"/>
    <col min="8" max="16384" width="8.88671875" style="21"/>
  </cols>
  <sheetData>
    <row r="1" spans="1:2" ht="15.6" x14ac:dyDescent="0.3">
      <c r="A1" s="11" t="s">
        <v>72</v>
      </c>
      <c r="B1" s="9" t="str">
        <f>B3&amp;", "&amp;B5</f>
        <v>Scooter, electric, &lt;4kW, 2020</v>
      </c>
    </row>
    <row r="2" spans="1:2" x14ac:dyDescent="0.3">
      <c r="A2" s="21" t="s">
        <v>73</v>
      </c>
      <c r="B2" s="21" t="s">
        <v>37</v>
      </c>
    </row>
    <row r="3" spans="1:2" x14ac:dyDescent="0.3">
      <c r="A3" s="21" t="s">
        <v>87</v>
      </c>
      <c r="B3" s="21" t="s">
        <v>674</v>
      </c>
    </row>
    <row r="4" spans="1:2" x14ac:dyDescent="0.3">
      <c r="A4" s="21" t="s">
        <v>88</v>
      </c>
      <c r="B4" s="12"/>
    </row>
    <row r="5" spans="1:2" x14ac:dyDescent="0.3">
      <c r="A5" s="21" t="s">
        <v>89</v>
      </c>
      <c r="B5" s="12">
        <v>2020</v>
      </c>
    </row>
    <row r="6" spans="1:2" x14ac:dyDescent="0.3">
      <c r="A6" s="21" t="s">
        <v>131</v>
      </c>
      <c r="B6" s="12" t="str">
        <f>B3&amp;" - "&amp;B5&amp;" - "&amp;B2</f>
        <v>Scooter, electric, &lt;4kW - 2020 - CH</v>
      </c>
    </row>
    <row r="7" spans="1:2" x14ac:dyDescent="0.3">
      <c r="A7" s="21" t="s">
        <v>74</v>
      </c>
      <c r="B7" s="21" t="str">
        <f>B3</f>
        <v>Scooter, electric, &lt;4kW</v>
      </c>
    </row>
    <row r="8" spans="1:2" x14ac:dyDescent="0.3">
      <c r="A8" s="21" t="s">
        <v>75</v>
      </c>
      <c r="B8" s="21" t="s">
        <v>76</v>
      </c>
    </row>
    <row r="9" spans="1:2" x14ac:dyDescent="0.3">
      <c r="A9" s="21" t="s">
        <v>77</v>
      </c>
      <c r="B9" s="21" t="s">
        <v>77</v>
      </c>
    </row>
    <row r="10" spans="1:2" x14ac:dyDescent="0.3">
      <c r="A10" s="21" t="s">
        <v>79</v>
      </c>
      <c r="B10" s="21" t="s">
        <v>90</v>
      </c>
    </row>
    <row r="11" spans="1:2" x14ac:dyDescent="0.3">
      <c r="A11" s="21" t="s">
        <v>132</v>
      </c>
      <c r="B11" s="21">
        <f>INDEX('vehicles specifications'!$B$3:$CK$86,MATCH(B6,'vehicles specifications'!$A$3:$A$86,0),MATCH("Lifetime [km]",'vehicles specifications'!$B$2:$CK$2,0))</f>
        <v>33400</v>
      </c>
    </row>
    <row r="12" spans="1:2" x14ac:dyDescent="0.3">
      <c r="A12" s="21" t="s">
        <v>133</v>
      </c>
      <c r="B12" s="21">
        <f>INDEX('vehicles specifications'!$B$3:$CK$86,MATCH(B6,'vehicles specifications'!$A$3:$A$86,0),MATCH("Passengers [unit]",'vehicles specifications'!$B$2:$CK$2,0))</f>
        <v>1</v>
      </c>
    </row>
    <row r="13" spans="1:2" x14ac:dyDescent="0.3">
      <c r="A13" s="21" t="s">
        <v>134</v>
      </c>
      <c r="B13" s="21">
        <f>INDEX('vehicles specifications'!$B$3:$CK$86,MATCH(B6,'vehicles specifications'!$A$3:$A$86,0),MATCH("Servicing [unit]",'vehicles specifications'!$B$2:$CK$2,0))</f>
        <v>1</v>
      </c>
    </row>
    <row r="14" spans="1:2" x14ac:dyDescent="0.3">
      <c r="A14" s="21" t="s">
        <v>135</v>
      </c>
      <c r="B14" s="21">
        <f>INDEX('vehicles specifications'!$B$3:$CK$86,MATCH(B6,'vehicles specifications'!$A$3:$A$86,0),MATCH("Energy battery replacement [unit]",'vehicles specifications'!$B$2:$CK$2,0))</f>
        <v>1</v>
      </c>
    </row>
    <row r="15" spans="1:2" x14ac:dyDescent="0.3">
      <c r="A15" s="21" t="s">
        <v>136</v>
      </c>
      <c r="B15" s="21">
        <f>INDEX('vehicles specifications'!$B$3:$CK$86,MATCH(B6,'vehicles specifications'!$A$3:$A$86,0),MATCH("Annual kilometers [km]",'vehicles specifications'!$B$2:$CK$2,0))</f>
        <v>2553</v>
      </c>
    </row>
    <row r="16" spans="1:2" x14ac:dyDescent="0.3">
      <c r="A16" s="21" t="s">
        <v>137</v>
      </c>
      <c r="B16" s="2">
        <f>INDEX('vehicles specifications'!$B$3:$CK$86,MATCH(B6,'vehicles specifications'!$A$3:$A$86,0),MATCH("Curb mass [kg]",'vehicles specifications'!$B$2:$CK$2,0))</f>
        <v>99.8</v>
      </c>
    </row>
    <row r="17" spans="1:8" x14ac:dyDescent="0.3">
      <c r="A17" s="21" t="s">
        <v>138</v>
      </c>
      <c r="B17" s="21">
        <f>INDEX('vehicles specifications'!$B$3:$CK$86,MATCH(B6,'vehicles specifications'!$A$3:$A$86,0),MATCH("Power [kW]",'vehicles specifications'!$B$2:$CK$2,0))</f>
        <v>2.6</v>
      </c>
    </row>
    <row r="18" spans="1:8" x14ac:dyDescent="0.3">
      <c r="A18" s="21" t="s">
        <v>139</v>
      </c>
      <c r="B18" s="21">
        <f>INDEX('vehicles specifications'!$B$3:$CK$86,MATCH(B6,'vehicles specifications'!$A$3:$A$86,0),MATCH("Energy battery mass [kg]",'vehicles specifications'!$B$2:$CK$2,0))</f>
        <v>13.799999999999997</v>
      </c>
    </row>
    <row r="19" spans="1:8" x14ac:dyDescent="0.3">
      <c r="A19" s="21" t="s">
        <v>140</v>
      </c>
      <c r="B19" s="21">
        <f>INDEX('vehicles specifications'!$B$3:$CK$86,MATCH(B6,'vehicles specifications'!$A$3:$A$86,0),MATCH("Electric energy stored [kWh]",'vehicles specifications'!$B$2:$CK$2,0))</f>
        <v>2.2999999999999998</v>
      </c>
    </row>
    <row r="20" spans="1:8" x14ac:dyDescent="0.3">
      <c r="A20" s="21" t="s">
        <v>654</v>
      </c>
      <c r="B20" s="21">
        <f>INDEX('vehicles specifications'!$B$3:$CK$86,MATCH(B6,'vehicles specifications'!$A$3:$A$86,0),MATCH("Electric energy available [kWh]",'vehicles specifications'!$B$2:$CK$2,0))</f>
        <v>1.8399999999999999</v>
      </c>
    </row>
    <row r="21" spans="1:8" x14ac:dyDescent="0.3">
      <c r="A21" s="21" t="s">
        <v>143</v>
      </c>
      <c r="B21" s="2">
        <f>INDEX('vehicles specifications'!$B$3:$CK$86,MATCH(B6,'vehicles specifications'!$A$3:$A$86,0),MATCH("Oxydation energy stored [kWh]",'vehicles specifications'!$B$2:$CK$2,0))</f>
        <v>0</v>
      </c>
    </row>
    <row r="22" spans="1:8" x14ac:dyDescent="0.3">
      <c r="A22" s="21" t="s">
        <v>145</v>
      </c>
      <c r="B22" s="21">
        <f>INDEX('vehicles specifications'!$B$3:$CK$86,MATCH(B6,'vehicles specifications'!$A$3:$A$86,0),MATCH("Fuel mass [kg]",'vehicles specifications'!$B$2:$CK$2,0))</f>
        <v>0</v>
      </c>
    </row>
    <row r="23" spans="1:8" x14ac:dyDescent="0.3">
      <c r="A23" s="21" t="s">
        <v>141</v>
      </c>
      <c r="B23" s="2">
        <f>INDEX('vehicles specifications'!$B$3:$CK$86,MATCH(B6,'vehicles specifications'!$A$3:$A$86,0),MATCH("Range [km]",'vehicles specifications'!$B$2:$CK$2,0))</f>
        <v>49.641735985533444</v>
      </c>
    </row>
    <row r="24" spans="1:8" x14ac:dyDescent="0.3">
      <c r="A24" s="21" t="s">
        <v>142</v>
      </c>
      <c r="B24" s="21" t="str">
        <f>INDEX('vehicles specifications'!$B$3:$CK$86,MATCH(B6,'vehicles specifications'!$A$3:$A$86,0),MATCH("Emission standard",'vehicles specifications'!$B$2:$CK$2,0))</f>
        <v>None</v>
      </c>
    </row>
    <row r="25" spans="1:8" x14ac:dyDescent="0.3">
      <c r="A25" s="21" t="s">
        <v>144</v>
      </c>
      <c r="B25" s="6">
        <f>INDEX('vehicles specifications'!$B$3:$CK$86,MATCH(B6,'vehicles specifications'!$A$3:$A$86,0),MATCH("Lightweighting rate [%]",'vehicles specifications'!$B$2:$CK$2,0))</f>
        <v>0</v>
      </c>
    </row>
    <row r="26" spans="1:8" x14ac:dyDescent="0.3">
      <c r="A26" s="21" t="s">
        <v>513</v>
      </c>
      <c r="B26" s="6" t="s">
        <v>514</v>
      </c>
    </row>
    <row r="27" spans="1:8" x14ac:dyDescent="0.3">
      <c r="A27" s="21" t="s">
        <v>515</v>
      </c>
      <c r="B27" s="2">
        <v>15900</v>
      </c>
    </row>
    <row r="28" spans="1:8" x14ac:dyDescent="0.3">
      <c r="A28" s="21" t="s">
        <v>516</v>
      </c>
      <c r="B28" s="2">
        <v>1000</v>
      </c>
    </row>
    <row r="29" spans="1:8"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2.6 kW. Lifetime: 33400 km. Annual kilometers: 2553 km. Number of passengers: 1. Curb mass: 99.8 kg. Lightweighting of glider: 0%. Emission standard: None. Service visits throughout lifetime: 1. Range: 50 km. Battery capacity: 2.3 kWh. Available battery capacity: 1.84 kWh. Battery mass: 13.8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s="21" t="s">
        <v>81</v>
      </c>
      <c r="B31" s="21" t="s">
        <v>82</v>
      </c>
      <c r="C31" s="21" t="s">
        <v>73</v>
      </c>
      <c r="D31" s="21" t="s">
        <v>77</v>
      </c>
      <c r="E31" s="21" t="s">
        <v>83</v>
      </c>
      <c r="F31" s="21" t="s">
        <v>75</v>
      </c>
      <c r="G31" s="21" t="s">
        <v>84</v>
      </c>
      <c r="H31" s="21" t="s">
        <v>74</v>
      </c>
    </row>
    <row r="32" spans="1:8" x14ac:dyDescent="0.3">
      <c r="A32" s="12" t="str">
        <f>B1</f>
        <v>Scooter, electric, &lt;4kW, 2020</v>
      </c>
      <c r="B32" s="12">
        <v>1</v>
      </c>
      <c r="C32" s="12" t="str">
        <f>B2</f>
        <v>CH</v>
      </c>
      <c r="D32" s="12" t="str">
        <f>B9</f>
        <v>unit</v>
      </c>
      <c r="E32" s="12"/>
      <c r="F32" s="12" t="s">
        <v>85</v>
      </c>
      <c r="G32" s="12" t="s">
        <v>86</v>
      </c>
      <c r="H32" s="12" t="str">
        <f>B3</f>
        <v>Scooter, electric, &lt;4kW</v>
      </c>
    </row>
    <row r="33" spans="1:8" x14ac:dyDescent="0.3">
      <c r="A33" s="12" t="str">
        <f>INDEX('ei names mapping'!$B$4:$R$33,MATCH(B3,'ei names mapping'!$A$4:$A$33,0),MATCH(G33,'ei names mapping'!$B$3:$R$3,0))</f>
        <v>market for glider, for electric scooter</v>
      </c>
      <c r="B33" s="16">
        <f>INDEX('vehicles specifications'!$B$3:$CK$86,MATCH(B6,'vehicles specifications'!$A$3:$A$86,0),MATCH(G33,'vehicles specifications'!$B$2:$CK$2,0))*INDEX('ei names mapping'!$B$137:$BK$220,MATCH(B6,'ei names mapping'!$A$137:$A$220,0),MATCH(G33,'ei names mapping'!$B$136:$BK$136,0))</f>
        <v>73</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x14ac:dyDescent="0.3">
      <c r="A34" s="12" t="str">
        <f>INDEX('ei names mapping'!$B$4:$R$33,MATCH(B3,'ei names mapping'!$A$4:$A$33,0),MATCH(G34,'ei names mapping'!$B$3:$R$3,0))</f>
        <v>glider lightweighting</v>
      </c>
      <c r="B34" s="16">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16">
        <f>INDEX('vehicles specifications'!$B$3:$CK$86,MATCH(B6,'vehicles specifications'!$A$3:$A$86,0),MATCH(G35,'vehicles specifications'!$B$2:$CK$2,0))*INDEX('ei names mapping'!$B$137:$BK$220,MATCH(B6,'ei names mapping'!$A$137:$A$220,0),MATCH(G35,'ei names mapping'!$B$136:$BK$136,0))</f>
        <v>5</v>
      </c>
      <c r="C35" s="12" t="str">
        <f>INDEX('ei names mapping'!$B$38:$R$67,MATCH(B3,'ei names mapping'!$A$4:$A$33,0),MATCH(G35,'ei names mapping'!$B$3:$R$3,0))</f>
        <v>GLO</v>
      </c>
      <c r="D35" s="12" t="str">
        <f>INDEX('ei names mapping'!$B$104:$R$133,MATCH(B3,'ei names mapping'!$A$104:$A$133,0),MATCH(G35,'ei names mapping'!$B$3:$R$3,0))</f>
        <v>kilogram</v>
      </c>
      <c r="E35" s="12"/>
      <c r="F35" s="12" t="s">
        <v>91</v>
      </c>
      <c r="G35" s="21"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16">
        <f>INDEX('vehicles specifications'!$B$3:$CK$86,MATCH(B6,'vehicles specifications'!$A$3:$A$86,0),MATCH(G36,'vehicles specifications'!$B$2:$CK$2,0))*INDEX('ei names mapping'!$B$137:$BK$220,MATCH(B6,'ei names mapping'!$A$137:$A$220,0),MATCH(G36,'ei names mapping'!$B$136:$BK$136,0))</f>
        <v>8</v>
      </c>
      <c r="C36" s="12" t="str">
        <f>INDEX('ei names mapping'!$B$38:$R$67,MATCH(B3,'ei names mapping'!$A$4:$A$33,0),MATCH(G36,'ei names mapping'!$B$3:$R$3,0))</f>
        <v>GLO</v>
      </c>
      <c r="D36" s="12" t="str">
        <f>INDEX('ei names mapping'!$B$104:$R$133,MATCH(B3,'ei names mapping'!$A$104:$A$133,0),MATCH(G36,'ei names mapping'!$B$3:$R$3,0))</f>
        <v>kilogram</v>
      </c>
      <c r="E36" s="12"/>
      <c r="F36" s="12" t="s">
        <v>91</v>
      </c>
      <c r="G36" s="21"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16">
        <f>INDEX('vehicles specifications'!$B$3:$CK$86,MATCH(B6,'vehicles specifications'!$A$3:$A$86,0),MATCH(G37,'vehicles specifications'!$B$2:$CK$2,0))*INDEX('ei names mapping'!$B$137:$BK$220,MATCH(B6,'ei names mapping'!$A$137:$A$220,0),MATCH(G37,'ei names mapping'!$B$136:$BK$136,0))</f>
        <v>22.999999999999996</v>
      </c>
      <c r="C37" s="12" t="str">
        <f>INDEX('ei names mapping'!$B$38:$R$67,MATCH(B3,'ei names mapping'!$A$4:$A$33,0),MATCH(G37,'ei names mapping'!$B$3:$R$3,0))</f>
        <v>GLO</v>
      </c>
      <c r="D37" s="12" t="str">
        <f>INDEX('ei names mapping'!$B$104:$R$133,MATCH(B3,'ei names mapping'!$A$104:$A$133,0),MATCH(G37,'ei names mapping'!$B$3:$R$3,0))</f>
        <v>kilogram</v>
      </c>
      <c r="E37" s="12"/>
      <c r="F37" s="12" t="s">
        <v>91</v>
      </c>
      <c r="G37" s="21"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16">
        <f>INDEX('vehicles specifications'!$B$3:$CK$86,MATCH(B6,'vehicles specifications'!$A$3:$A$86,0),MATCH(G38,'vehicles specifications'!$B$2:$CK$2,0))*INDEX('ei names mapping'!$B$137:$BK$220,MATCH(B6,'ei names mapping'!$A$137:$A$220,0),MATCH(G38,'ei names mapping'!$B$136:$BK$136,0))</f>
        <v>4.5999999999999996</v>
      </c>
      <c r="C38" s="12" t="str">
        <f>INDEX('ei names mapping'!$B$38:$R$67,MATCH(B3,'ei names mapping'!$A$4:$A$33,0),MATCH(G38,'ei names mapping'!$B$3:$R$3,0))</f>
        <v>GLO</v>
      </c>
      <c r="D38" s="12" t="str">
        <f>INDEX('ei names mapping'!$B$104:$R$133,MATCH(B3,'ei names mapping'!$A$104:$A$133,0),MATCH(G38,'ei names mapping'!$B$3:$R$3,0))</f>
        <v>kilogram</v>
      </c>
      <c r="E38" s="12"/>
      <c r="F38" s="12" t="s">
        <v>91</v>
      </c>
      <c r="G38" s="21"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16">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s="21"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market for manual dismantling of electric scooter</v>
      </c>
      <c r="B40" s="16">
        <f>INDEX('vehicles specifications'!$B$3:$CK$86,MATCH(B6,'vehicles specifications'!$A$3:$A$86,0),MATCH(G40,'vehicles specifications'!$B$2:$CK$2,0))*INDEX('ei names mapping'!$B$137:$BK$220,MATCH(B6,'ei names mapping'!$A$137:$A$220,0),MATCH(G40,'ei names mapping'!$B$136:$BK$136,0))</f>
        <v>73</v>
      </c>
      <c r="C40" s="12" t="str">
        <f>INDEX('ei names mapping'!$B$38:$R$67,MATCH(B3,'ei names mapping'!$A$4:$A$33,0),MATCH(G40,'ei names mapping'!$B$3:$R$3,0))</f>
        <v>GLO</v>
      </c>
      <c r="D40" s="12" t="str">
        <f>INDEX('ei names mapping'!$B$104:$R$133,MATCH(B3,'ei names mapping'!$A$104:$A$133,0),MATCH(G40,'ei names mapping'!$B$3:$R$3,0))</f>
        <v>unit</v>
      </c>
      <c r="E40" s="12"/>
      <c r="F40" s="12" t="s">
        <v>91</v>
      </c>
      <c r="G40" s="21"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market for manual dismantling of electric scooter</v>
      </c>
      <c r="B41" s="16">
        <f>INDEX('vehicles specifications'!$B$3:$CK$86,MATCH(B6,'vehicles specifications'!$A$3:$A$86,0),MATCH(G41,'vehicles specifications'!$B$2:$CK$2,0))*INDEX('ei names mapping'!$B$137:$BK$220,MATCH(B6,'ei names mapping'!$A$137:$A$220,0),MATCH(G41,'ei names mapping'!$B$136:$BK$136,0))</f>
        <v>13</v>
      </c>
      <c r="C41" s="12" t="str">
        <f>INDEX('ei names mapping'!$B$38:$R$67,MATCH(B3,'ei names mapping'!$A$4:$A$33,0),MATCH(G41,'ei names mapping'!$B$3:$R$3,0))</f>
        <v>GLO</v>
      </c>
      <c r="D41" s="12" t="str">
        <f>INDEX('ei names mapping'!$B$104:$R$133,MATCH(B3,'ei names mapping'!$A$104:$A$133,0),MATCH(G41,'ei names mapping'!$B$3:$R$3,0))</f>
        <v>unit</v>
      </c>
      <c r="E41" s="12"/>
      <c r="F41" s="12" t="s">
        <v>91</v>
      </c>
      <c r="G41" s="2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16">
        <f>INDEX('vehicles specifications'!$B$3:$CK$86,MATCH(B6,'vehicles specifications'!$A$3:$A$86,0),MATCH(G42,'vehicles specifications'!$B$2:$CK$2,0))*INDEX('ei names mapping'!$B$137:$BK$220,MATCH(B6,'ei names mapping'!$A$137:$A$220,0),MATCH(G42,'ei names mapping'!$B$136:$BK$136,0))</f>
        <v>-27.599999999999994</v>
      </c>
      <c r="C42" s="12" t="str">
        <f>INDEX('ei names mapping'!$B$38:$R$67,MATCH(B3,'ei names mapping'!$A$4:$A$33,0),MATCH(G42,'ei names mapping'!$B$3:$R$3,0))</f>
        <v>GLO</v>
      </c>
      <c r="D42" s="12" t="str">
        <f>INDEX('ei names mapping'!$B$104:$R$133,MATCH(B3,'ei names mapping'!$A$104:$A$133,0),MATCH(G42,'ei names mapping'!$B$3:$R$3,0))</f>
        <v>kilogram</v>
      </c>
      <c r="E42" s="12"/>
      <c r="F42" s="12" t="s">
        <v>91</v>
      </c>
      <c r="G42" s="21" t="s">
        <v>152</v>
      </c>
      <c r="H42" s="12" t="str">
        <f>INDEX('ei names mapping'!$B$71:$R$100,MATCH(B3,'ei names mapping'!$A$4:$A$33,0),MATCH(G42,'ei names mapping'!$B$3:$R$3,0))</f>
        <v>used Li-ion battery</v>
      </c>
    </row>
    <row r="43" spans="1:8" x14ac:dyDescent="0.3">
      <c r="A43" s="22" t="s">
        <v>468</v>
      </c>
      <c r="B43" s="21">
        <f>(B16/1000)*B28</f>
        <v>99.8</v>
      </c>
      <c r="C43" s="21" t="s">
        <v>94</v>
      </c>
      <c r="D43" s="21" t="s">
        <v>243</v>
      </c>
      <c r="F43" s="21" t="s">
        <v>91</v>
      </c>
      <c r="H43" s="22" t="s">
        <v>469</v>
      </c>
    </row>
    <row r="44" spans="1:8" x14ac:dyDescent="0.3">
      <c r="A44" s="22" t="s">
        <v>467</v>
      </c>
      <c r="B44" s="2">
        <f>(B16/1000)*B27</f>
        <v>1586.82</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Scooter, electric, &lt;4kW, 2030</v>
      </c>
    </row>
    <row r="47" spans="1:8" x14ac:dyDescent="0.3">
      <c r="A47" s="21" t="s">
        <v>73</v>
      </c>
      <c r="B47" s="21" t="s">
        <v>37</v>
      </c>
    </row>
    <row r="48" spans="1:8" x14ac:dyDescent="0.3">
      <c r="A48" s="21" t="s">
        <v>87</v>
      </c>
      <c r="B48" s="21" t="s">
        <v>674</v>
      </c>
    </row>
    <row r="49" spans="1:2" x14ac:dyDescent="0.3">
      <c r="A49" s="21" t="s">
        <v>88</v>
      </c>
      <c r="B49" s="12"/>
    </row>
    <row r="50" spans="1:2" x14ac:dyDescent="0.3">
      <c r="A50" s="21" t="s">
        <v>89</v>
      </c>
      <c r="B50" s="12">
        <v>2030</v>
      </c>
    </row>
    <row r="51" spans="1:2" x14ac:dyDescent="0.3">
      <c r="A51" s="21" t="s">
        <v>131</v>
      </c>
      <c r="B51" s="12" t="str">
        <f>B48&amp;" - "&amp;B50&amp;" - "&amp;B47</f>
        <v>Scooter, electric, &lt;4kW - 2030 - CH</v>
      </c>
    </row>
    <row r="52" spans="1:2" x14ac:dyDescent="0.3">
      <c r="A52" s="21" t="s">
        <v>74</v>
      </c>
      <c r="B52" s="21" t="str">
        <f>B48</f>
        <v>Scooter, electric, &lt;4kW</v>
      </c>
    </row>
    <row r="53" spans="1:2" x14ac:dyDescent="0.3">
      <c r="A53" s="21" t="s">
        <v>75</v>
      </c>
      <c r="B53" s="21" t="s">
        <v>76</v>
      </c>
    </row>
    <row r="54" spans="1:2" x14ac:dyDescent="0.3">
      <c r="A54" s="21" t="s">
        <v>77</v>
      </c>
      <c r="B54" s="21" t="s">
        <v>77</v>
      </c>
    </row>
    <row r="55" spans="1:2" x14ac:dyDescent="0.3">
      <c r="A55" s="21" t="s">
        <v>79</v>
      </c>
      <c r="B55" s="21" t="s">
        <v>90</v>
      </c>
    </row>
    <row r="56" spans="1:2" x14ac:dyDescent="0.3">
      <c r="A56" s="21" t="s">
        <v>132</v>
      </c>
      <c r="B56" s="21">
        <f>INDEX('vehicles specifications'!$B$3:$CK$86,MATCH(B51,'vehicles specifications'!$A$3:$A$86,0),MATCH("Lifetime [km]",'vehicles specifications'!$B$2:$CK$2,0))</f>
        <v>33400</v>
      </c>
    </row>
    <row r="57" spans="1:2" x14ac:dyDescent="0.3">
      <c r="A57" s="21" t="s">
        <v>133</v>
      </c>
      <c r="B57" s="21">
        <f>INDEX('vehicles specifications'!$B$3:$CK$86,MATCH(B51,'vehicles specifications'!$A$3:$A$86,0),MATCH("Passengers [unit]",'vehicles specifications'!$B$2:$CK$2,0))</f>
        <v>1</v>
      </c>
    </row>
    <row r="58" spans="1:2" x14ac:dyDescent="0.3">
      <c r="A58" s="21" t="s">
        <v>134</v>
      </c>
      <c r="B58" s="21">
        <f>INDEX('vehicles specifications'!$B$3:$CK$86,MATCH(B51,'vehicles specifications'!$A$3:$A$86,0),MATCH("Servicing [unit]",'vehicles specifications'!$B$2:$CK$2,0))</f>
        <v>1</v>
      </c>
    </row>
    <row r="59" spans="1:2" x14ac:dyDescent="0.3">
      <c r="A59" s="21" t="s">
        <v>135</v>
      </c>
      <c r="B59" s="21">
        <f>INDEX('vehicles specifications'!$B$3:$CK$86,MATCH(B51,'vehicles specifications'!$A$3:$A$86,0),MATCH("Energy battery replacement [unit]",'vehicles specifications'!$B$2:$CK$2,0))</f>
        <v>0.5</v>
      </c>
    </row>
    <row r="60" spans="1:2" x14ac:dyDescent="0.3">
      <c r="A60" s="21" t="s">
        <v>136</v>
      </c>
      <c r="B60" s="21">
        <f>INDEX('vehicles specifications'!$B$3:$CK$86,MATCH(B51,'vehicles specifications'!$A$3:$A$86,0),MATCH("Annual kilometers [km]",'vehicles specifications'!$B$2:$CK$2,0))</f>
        <v>2553</v>
      </c>
    </row>
    <row r="61" spans="1:2" x14ac:dyDescent="0.3">
      <c r="A61" s="21" t="s">
        <v>137</v>
      </c>
      <c r="B61" s="2">
        <f>INDEX('vehicles specifications'!$B$3:$CK$86,MATCH(B51,'vehicles specifications'!$A$3:$A$86,0),MATCH("Curb mass [kg]",'vehicles specifications'!$B$2:$CK$2,0))</f>
        <v>99.81</v>
      </c>
    </row>
    <row r="62" spans="1:2" x14ac:dyDescent="0.3">
      <c r="A62" s="21" t="s">
        <v>138</v>
      </c>
      <c r="B62" s="21">
        <f>INDEX('vehicles specifications'!$B$3:$CK$86,MATCH(B51,'vehicles specifications'!$A$3:$A$86,0),MATCH("Power [kW]",'vehicles specifications'!$B$2:$CK$2,0))</f>
        <v>2.6</v>
      </c>
    </row>
    <row r="63" spans="1:2" x14ac:dyDescent="0.3">
      <c r="A63" s="21" t="s">
        <v>139</v>
      </c>
      <c r="B63" s="21">
        <f>INDEX('vehicles specifications'!$B$3:$CK$86,MATCH(B51,'vehicles specifications'!$A$3:$A$86,0),MATCH("Energy battery mass [kg]",'vehicles specifications'!$B$2:$CK$2,0))</f>
        <v>16</v>
      </c>
    </row>
    <row r="64" spans="1:2" x14ac:dyDescent="0.3">
      <c r="A64" s="21" t="s">
        <v>140</v>
      </c>
      <c r="B64" s="21">
        <f>INDEX('vehicles specifications'!$B$3:$CK$86,MATCH(B51,'vehicles specifications'!$A$3:$A$86,0),MATCH("Electric energy stored [kWh]",'vehicles specifications'!$B$2:$CK$2,0))</f>
        <v>4</v>
      </c>
    </row>
    <row r="65" spans="1:8" x14ac:dyDescent="0.3">
      <c r="A65" s="21" t="s">
        <v>654</v>
      </c>
      <c r="B65" s="21">
        <f>INDEX('vehicles specifications'!$B$3:$CK$86,MATCH(B51,'vehicles specifications'!$A$3:$A$86,0),MATCH("Electric energy available [kWh]",'vehicles specifications'!$B$2:$CK$2,0))</f>
        <v>3.2</v>
      </c>
    </row>
    <row r="66" spans="1:8" x14ac:dyDescent="0.3">
      <c r="A66" s="21" t="s">
        <v>143</v>
      </c>
      <c r="B66" s="2">
        <f>INDEX('vehicles specifications'!$B$3:$CK$86,MATCH(B51,'vehicles specifications'!$A$3:$A$86,0),MATCH("Oxydation energy stored [kWh]",'vehicles specifications'!$B$2:$CK$2,0))</f>
        <v>0</v>
      </c>
    </row>
    <row r="67" spans="1:8" x14ac:dyDescent="0.3">
      <c r="A67" s="21" t="s">
        <v>145</v>
      </c>
      <c r="B67" s="21">
        <f>INDEX('vehicles specifications'!$B$3:$CK$86,MATCH(B51,'vehicles specifications'!$A$3:$A$86,0),MATCH("Fuel mass [kg]",'vehicles specifications'!$B$2:$CK$2,0))</f>
        <v>0</v>
      </c>
    </row>
    <row r="68" spans="1:8" x14ac:dyDescent="0.3">
      <c r="A68" s="21" t="s">
        <v>141</v>
      </c>
      <c r="B68" s="2">
        <f>INDEX('vehicles specifications'!$B$3:$CK$86,MATCH(B51,'vehicles specifications'!$A$3:$A$86,0),MATCH("Range [km]",'vehicles specifications'!$B$2:$CK$2,0))</f>
        <v>86.333453887884261</v>
      </c>
    </row>
    <row r="69" spans="1:8" x14ac:dyDescent="0.3">
      <c r="A69" s="21" t="s">
        <v>142</v>
      </c>
      <c r="B69" s="21" t="str">
        <f>INDEX('vehicles specifications'!$B$3:$CK$86,MATCH(B51,'vehicles specifications'!$A$3:$A$86,0),MATCH("Emission standard",'vehicles specifications'!$B$2:$CK$2,0))</f>
        <v>None</v>
      </c>
    </row>
    <row r="70" spans="1:8" x14ac:dyDescent="0.3">
      <c r="A70" s="21" t="s">
        <v>144</v>
      </c>
      <c r="B70" s="6">
        <f>INDEX('vehicles specifications'!$B$3:$CK$86,MATCH(B51,'vehicles specifications'!$A$3:$A$86,0),MATCH("Lightweighting rate [%]",'vehicles specifications'!$B$2:$CK$2,0))</f>
        <v>0.03</v>
      </c>
    </row>
    <row r="71" spans="1:8" x14ac:dyDescent="0.3">
      <c r="A71" s="21" t="s">
        <v>513</v>
      </c>
      <c r="B71" s="6" t="s">
        <v>514</v>
      </c>
    </row>
    <row r="72" spans="1:8" x14ac:dyDescent="0.3">
      <c r="A72" s="21" t="s">
        <v>515</v>
      </c>
      <c r="B72" s="2">
        <v>15900</v>
      </c>
    </row>
    <row r="73" spans="1:8" x14ac:dyDescent="0.3">
      <c r="A73" s="21" t="s">
        <v>516</v>
      </c>
      <c r="B73" s="2">
        <v>1000</v>
      </c>
    </row>
    <row r="74" spans="1:8"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2.6 kW. Lifetime: 33400 km. Annual kilometers: 2553 km. Number of passengers: 1. Curb mass: 99.8 kg. Lightweighting of glider: 3%. Emission standard: None. Service visits throughout lifetime: 1. Range: 86 km. Battery capacity: 4 kWh. Available battery capacity: 3.2 kWh. Battery mass: 16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s="21" t="s">
        <v>81</v>
      </c>
      <c r="B76" s="21" t="s">
        <v>82</v>
      </c>
      <c r="C76" s="21" t="s">
        <v>73</v>
      </c>
      <c r="D76" s="21" t="s">
        <v>77</v>
      </c>
      <c r="E76" s="21" t="s">
        <v>83</v>
      </c>
      <c r="F76" s="21" t="s">
        <v>75</v>
      </c>
      <c r="G76" s="21" t="s">
        <v>84</v>
      </c>
      <c r="H76" s="21" t="s">
        <v>74</v>
      </c>
    </row>
    <row r="77" spans="1:8" x14ac:dyDescent="0.3">
      <c r="A77" s="12" t="str">
        <f>B46</f>
        <v>Scooter, electric, &lt;4kW, 2030</v>
      </c>
      <c r="B77" s="12">
        <v>1</v>
      </c>
      <c r="C77" s="12" t="str">
        <f>B47</f>
        <v>CH</v>
      </c>
      <c r="D77" s="12" t="str">
        <f>B54</f>
        <v>unit</v>
      </c>
      <c r="E77" s="12"/>
      <c r="F77" s="12" t="s">
        <v>85</v>
      </c>
      <c r="G77" s="12" t="s">
        <v>86</v>
      </c>
      <c r="H77" s="12" t="str">
        <f>B48</f>
        <v>Scooter, electric, &lt;4kW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73</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2.19</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5</v>
      </c>
      <c r="C80" s="12" t="str">
        <f>INDEX('ei names mapping'!$B$38:$R$67,MATCH(B48,'ei names mapping'!$A$4:$A$33,0),MATCH(G80,'ei names mapping'!$B$3:$R$3,0))</f>
        <v>GLO</v>
      </c>
      <c r="D80" s="12" t="str">
        <f>INDEX('ei names mapping'!$B$104:$R$133,MATCH(B48,'ei names mapping'!$A$104:$A$133,0),MATCH(G80,'ei names mapping'!$B$3:$R$3,0))</f>
        <v>kilogram</v>
      </c>
      <c r="E80" s="12"/>
      <c r="F80" s="12" t="s">
        <v>91</v>
      </c>
      <c r="G80" s="21"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8</v>
      </c>
      <c r="C81" s="12" t="str">
        <f>INDEX('ei names mapping'!$B$38:$R$67,MATCH(B48,'ei names mapping'!$A$4:$A$33,0),MATCH(G81,'ei names mapping'!$B$3:$R$3,0))</f>
        <v>GLO</v>
      </c>
      <c r="D81" s="12" t="str">
        <f>INDEX('ei names mapping'!$B$104:$R$133,MATCH(B48,'ei names mapping'!$A$104:$A$133,0),MATCH(G81,'ei names mapping'!$B$3:$R$3,0))</f>
        <v>kilogram</v>
      </c>
      <c r="E81" s="12"/>
      <c r="F81" s="12" t="s">
        <v>91</v>
      </c>
      <c r="G81" s="2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20</v>
      </c>
      <c r="C82" s="12" t="str">
        <f>INDEX('ei names mapping'!$B$38:$R$67,MATCH(B48,'ei names mapping'!$A$4:$A$33,0),MATCH(G82,'ei names mapping'!$B$3:$R$3,0))</f>
        <v>GLO</v>
      </c>
      <c r="D82" s="12" t="str">
        <f>INDEX('ei names mapping'!$B$104:$R$133,MATCH(B48,'ei names mapping'!$A$104:$A$133,0),MATCH(G82,'ei names mapping'!$B$3:$R$3,0))</f>
        <v>kilogram</v>
      </c>
      <c r="E82" s="12"/>
      <c r="F82" s="12" t="s">
        <v>91</v>
      </c>
      <c r="G82" s="21"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4</v>
      </c>
      <c r="C83" s="12" t="str">
        <f>INDEX('ei names mapping'!$B$38:$R$67,MATCH(B48,'ei names mapping'!$A$4:$A$33,0),MATCH(G83,'ei names mapping'!$B$3:$R$3,0))</f>
        <v>GLO</v>
      </c>
      <c r="D83" s="12" t="str">
        <f>INDEX('ei names mapping'!$B$104:$R$133,MATCH(B48,'ei names mapping'!$A$104:$A$133,0),MATCH(G83,'ei names mapping'!$B$3:$R$3,0))</f>
        <v>kilogram</v>
      </c>
      <c r="E83" s="12"/>
      <c r="F83" s="12" t="s">
        <v>91</v>
      </c>
      <c r="G83" s="21"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s="21"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market for manual dismantling of electric scooter</v>
      </c>
      <c r="B85" s="16">
        <f>INDEX('vehicles specifications'!$B$3:$CK$86,MATCH(B51,'vehicles specifications'!$A$3:$A$86,0),MATCH(G85,'vehicles specifications'!$B$2:$CK$2,0))*INDEX('ei names mapping'!$B$137:$BK$220,MATCH(B51,'ei names mapping'!$A$137:$A$220,0),MATCH(G85,'ei names mapping'!$B$136:$BK$136,0))</f>
        <v>70.81</v>
      </c>
      <c r="C85" s="12" t="str">
        <f>INDEX('ei names mapping'!$B$38:$R$67,MATCH(B48,'ei names mapping'!$A$4:$A$33,0),MATCH(G85,'ei names mapping'!$B$3:$R$3,0))</f>
        <v>GLO</v>
      </c>
      <c r="D85" s="12" t="str">
        <f>INDEX('ei names mapping'!$B$104:$R$133,MATCH(B48,'ei names mapping'!$A$104:$A$133,0),MATCH(G85,'ei names mapping'!$B$3:$R$3,0))</f>
        <v>unit</v>
      </c>
      <c r="E85" s="12"/>
      <c r="F85" s="12" t="s">
        <v>91</v>
      </c>
      <c r="G85" s="21"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market for manual dismantling of electric scooter</v>
      </c>
      <c r="B86" s="16">
        <f>INDEX('vehicles specifications'!$B$3:$CK$86,MATCH(B51,'vehicles specifications'!$A$3:$A$86,0),MATCH(G86,'vehicles specifications'!$B$2:$CK$2,0))*INDEX('ei names mapping'!$B$137:$BK$220,MATCH(B51,'ei names mapping'!$A$137:$A$220,0),MATCH(G86,'ei names mapping'!$B$136:$BK$136,0))</f>
        <v>13</v>
      </c>
      <c r="C86" s="12" t="str">
        <f>INDEX('ei names mapping'!$B$38:$R$67,MATCH(B48,'ei names mapping'!$A$4:$A$33,0),MATCH(G86,'ei names mapping'!$B$3:$R$3,0))</f>
        <v>GLO</v>
      </c>
      <c r="D86" s="12" t="str">
        <f>INDEX('ei names mapping'!$B$104:$R$133,MATCH(B48,'ei names mapping'!$A$104:$A$133,0),MATCH(G86,'ei names mapping'!$B$3:$R$3,0))</f>
        <v>unit</v>
      </c>
      <c r="E86" s="12"/>
      <c r="F86" s="12" t="s">
        <v>91</v>
      </c>
      <c r="G86" s="21"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-24</v>
      </c>
      <c r="C87" s="12" t="str">
        <f>INDEX('ei names mapping'!$B$38:$R$67,MATCH(B48,'ei names mapping'!$A$4:$A$33,0),MATCH(G87,'ei names mapping'!$B$3:$R$3,0))</f>
        <v>GLO</v>
      </c>
      <c r="D87" s="12" t="str">
        <f>INDEX('ei names mapping'!$B$104:$R$133,MATCH(B48,'ei names mapping'!$A$104:$A$133,0),MATCH(G87,'ei names mapping'!$B$3:$R$3,0))</f>
        <v>kilogram</v>
      </c>
      <c r="E87" s="12"/>
      <c r="F87" s="12" t="s">
        <v>91</v>
      </c>
      <c r="G87" s="21" t="s">
        <v>152</v>
      </c>
      <c r="H87" s="12" t="str">
        <f>INDEX('ei names mapping'!$B$71:$R$100,MATCH(B48,'ei names mapping'!$A$4:$A$33,0),MATCH(G87,'ei names mapping'!$B$3:$R$3,0))</f>
        <v>used Li-ion battery</v>
      </c>
    </row>
    <row r="88" spans="1:8" x14ac:dyDescent="0.3">
      <c r="A88" s="22" t="s">
        <v>468</v>
      </c>
      <c r="B88" s="21">
        <f>(B61/1000)*B73</f>
        <v>99.81</v>
      </c>
      <c r="C88" s="21" t="s">
        <v>94</v>
      </c>
      <c r="D88" s="21" t="s">
        <v>243</v>
      </c>
      <c r="F88" s="21" t="s">
        <v>91</v>
      </c>
      <c r="H88" s="22" t="s">
        <v>469</v>
      </c>
    </row>
    <row r="89" spans="1:8" x14ac:dyDescent="0.3">
      <c r="A89" s="22" t="s">
        <v>467</v>
      </c>
      <c r="B89" s="2">
        <f>(B61/1000)*B72</f>
        <v>1586.979</v>
      </c>
      <c r="C89" s="21" t="s">
        <v>98</v>
      </c>
      <c r="D89" s="21" t="s">
        <v>243</v>
      </c>
      <c r="F89" s="21" t="s">
        <v>91</v>
      </c>
      <c r="H89" s="22" t="s">
        <v>467</v>
      </c>
    </row>
    <row r="90" spans="1:8" x14ac:dyDescent="0.3">
      <c r="B90" s="12"/>
    </row>
    <row r="91" spans="1:8" ht="15.6" x14ac:dyDescent="0.3">
      <c r="A91" s="11" t="s">
        <v>72</v>
      </c>
      <c r="B91" s="9" t="str">
        <f>B93&amp;", "&amp;B95</f>
        <v>Scooter, electric, &lt;4kW, 2040</v>
      </c>
    </row>
    <row r="92" spans="1:8" x14ac:dyDescent="0.3">
      <c r="A92" s="21" t="s">
        <v>73</v>
      </c>
      <c r="B92" s="21" t="s">
        <v>37</v>
      </c>
    </row>
    <row r="93" spans="1:8" x14ac:dyDescent="0.3">
      <c r="A93" s="21" t="s">
        <v>87</v>
      </c>
      <c r="B93" s="21" t="s">
        <v>674</v>
      </c>
    </row>
    <row r="94" spans="1:8" x14ac:dyDescent="0.3">
      <c r="A94" s="21" t="s">
        <v>88</v>
      </c>
      <c r="B94" s="12"/>
    </row>
    <row r="95" spans="1:8" x14ac:dyDescent="0.3">
      <c r="A95" s="21" t="s">
        <v>89</v>
      </c>
      <c r="B95" s="12">
        <v>2040</v>
      </c>
    </row>
    <row r="96" spans="1:8" x14ac:dyDescent="0.3">
      <c r="A96" s="21" t="s">
        <v>131</v>
      </c>
      <c r="B96" s="12" t="str">
        <f>B93&amp;" - "&amp;B95&amp;" - "&amp;B92</f>
        <v>Scooter, electric, &lt;4kW - 2040 - CH</v>
      </c>
    </row>
    <row r="97" spans="1:2" x14ac:dyDescent="0.3">
      <c r="A97" s="21" t="s">
        <v>74</v>
      </c>
      <c r="B97" s="21" t="str">
        <f>B93</f>
        <v>Scooter, electric, &lt;4kW</v>
      </c>
    </row>
    <row r="98" spans="1:2" x14ac:dyDescent="0.3">
      <c r="A98" s="21" t="s">
        <v>75</v>
      </c>
      <c r="B98" s="21" t="s">
        <v>76</v>
      </c>
    </row>
    <row r="99" spans="1:2" x14ac:dyDescent="0.3">
      <c r="A99" s="21" t="s">
        <v>77</v>
      </c>
      <c r="B99" s="21" t="s">
        <v>77</v>
      </c>
    </row>
    <row r="100" spans="1:2" x14ac:dyDescent="0.3">
      <c r="A100" s="21" t="s">
        <v>79</v>
      </c>
      <c r="B100" s="21" t="s">
        <v>90</v>
      </c>
    </row>
    <row r="101" spans="1:2" x14ac:dyDescent="0.3">
      <c r="A101" s="21" t="s">
        <v>132</v>
      </c>
      <c r="B101" s="21">
        <f>INDEX('vehicles specifications'!$B$3:$CK$86,MATCH(B96,'vehicles specifications'!$A$3:$A$86,0),MATCH("Lifetime [km]",'vehicles specifications'!$B$2:$CK$2,0))</f>
        <v>33400</v>
      </c>
    </row>
    <row r="102" spans="1:2" x14ac:dyDescent="0.3">
      <c r="A102" s="21" t="s">
        <v>133</v>
      </c>
      <c r="B102" s="21">
        <f>INDEX('vehicles specifications'!$B$3:$CK$86,MATCH(B96,'vehicles specifications'!$A$3:$A$86,0),MATCH("Passengers [unit]",'vehicles specifications'!$B$2:$CK$2,0))</f>
        <v>1</v>
      </c>
    </row>
    <row r="103" spans="1:2" x14ac:dyDescent="0.3">
      <c r="A103" s="21" t="s">
        <v>134</v>
      </c>
      <c r="B103" s="21">
        <f>INDEX('vehicles specifications'!$B$3:$CK$86,MATCH(B96,'vehicles specifications'!$A$3:$A$86,0),MATCH("Servicing [unit]",'vehicles specifications'!$B$2:$CK$2,0))</f>
        <v>1</v>
      </c>
    </row>
    <row r="104" spans="1:2" x14ac:dyDescent="0.3">
      <c r="A104" s="21" t="s">
        <v>135</v>
      </c>
      <c r="B104" s="21">
        <f>INDEX('vehicles specifications'!$B$3:$CK$86,MATCH(B96,'vehicles specifications'!$A$3:$A$86,0),MATCH("Energy battery replacement [unit]",'vehicles specifications'!$B$2:$CK$2,0))</f>
        <v>0.25</v>
      </c>
    </row>
    <row r="105" spans="1:2" x14ac:dyDescent="0.3">
      <c r="A105" s="21" t="s">
        <v>136</v>
      </c>
      <c r="B105" s="21">
        <f>INDEX('vehicles specifications'!$B$3:$CK$86,MATCH(B96,'vehicles specifications'!$A$3:$A$86,0),MATCH("Annual kilometers [km]",'vehicles specifications'!$B$2:$CK$2,0))</f>
        <v>2553</v>
      </c>
    </row>
    <row r="106" spans="1:2" x14ac:dyDescent="0.3">
      <c r="A106" s="21" t="s">
        <v>137</v>
      </c>
      <c r="B106" s="2">
        <f>INDEX('vehicles specifications'!$B$3:$CK$86,MATCH(B96,'vehicles specifications'!$A$3:$A$86,0),MATCH("Curb mass [kg]",'vehicles specifications'!$B$2:$CK$2,0))</f>
        <v>99.75</v>
      </c>
    </row>
    <row r="107" spans="1:2" x14ac:dyDescent="0.3">
      <c r="A107" s="21" t="s">
        <v>138</v>
      </c>
      <c r="B107" s="21">
        <f>INDEX('vehicles specifications'!$B$3:$CK$86,MATCH(B96,'vehicles specifications'!$A$3:$A$86,0),MATCH("Power [kW]",'vehicles specifications'!$B$2:$CK$2,0))</f>
        <v>2.6</v>
      </c>
    </row>
    <row r="108" spans="1:2" x14ac:dyDescent="0.3">
      <c r="A108" s="21" t="s">
        <v>139</v>
      </c>
      <c r="B108" s="21">
        <f>INDEX('vehicles specifications'!$B$3:$CK$86,MATCH(B96,'vehicles specifications'!$A$3:$A$86,0),MATCH("Energy battery mass [kg]",'vehicles specifications'!$B$2:$CK$2,0))</f>
        <v>17.399999999999999</v>
      </c>
    </row>
    <row r="109" spans="1:2" x14ac:dyDescent="0.3">
      <c r="A109" s="21" t="s">
        <v>140</v>
      </c>
      <c r="B109" s="21">
        <f>INDEX('vehicles specifications'!$B$3:$CK$86,MATCH(B96,'vehicles specifications'!$A$3:$A$86,0),MATCH("Electric energy stored [kWh]",'vehicles specifications'!$B$2:$CK$2,0))</f>
        <v>5.8</v>
      </c>
    </row>
    <row r="110" spans="1:2" x14ac:dyDescent="0.3">
      <c r="A110" s="21" t="s">
        <v>654</v>
      </c>
      <c r="B110" s="21">
        <f>INDEX('vehicles specifications'!$B$3:$CK$86,MATCH(B96,'vehicles specifications'!$A$3:$A$86,0),MATCH("Electric energy available [kWh]",'vehicles specifications'!$B$2:$CK$2,0))</f>
        <v>4.6399999999999997</v>
      </c>
    </row>
    <row r="111" spans="1:2" x14ac:dyDescent="0.3">
      <c r="A111" s="21" t="s">
        <v>143</v>
      </c>
      <c r="B111" s="2">
        <f>INDEX('vehicles specifications'!$B$3:$CK$86,MATCH(B96,'vehicles specifications'!$A$3:$A$86,0),MATCH("Oxydation energy stored [kWh]",'vehicles specifications'!$B$2:$CK$2,0))</f>
        <v>0</v>
      </c>
    </row>
    <row r="112" spans="1:2" x14ac:dyDescent="0.3">
      <c r="A112" s="21" t="s">
        <v>145</v>
      </c>
      <c r="B112" s="21">
        <f>INDEX('vehicles specifications'!$B$3:$CK$86,MATCH(B96,'vehicles specifications'!$A$3:$A$86,0),MATCH("Fuel mass [kg]",'vehicles specifications'!$B$2:$CK$2,0))</f>
        <v>0</v>
      </c>
    </row>
    <row r="113" spans="1:8" x14ac:dyDescent="0.3">
      <c r="A113" s="21" t="s">
        <v>141</v>
      </c>
      <c r="B113" s="2">
        <f>INDEX('vehicles specifications'!$B$3:$CK$86,MATCH(B96,'vehicles specifications'!$A$3:$A$86,0),MATCH("Range [km]",'vehicles specifications'!$B$2:$CK$2,0))</f>
        <v>125.18350813743217</v>
      </c>
    </row>
    <row r="114" spans="1:8" x14ac:dyDescent="0.3">
      <c r="A114" s="21" t="s">
        <v>142</v>
      </c>
      <c r="B114" s="21" t="str">
        <f>INDEX('vehicles specifications'!$B$3:$CK$86,MATCH(B96,'vehicles specifications'!$A$3:$A$86,0),MATCH("Emission standard",'vehicles specifications'!$B$2:$CK$2,0))</f>
        <v>None</v>
      </c>
    </row>
    <row r="115" spans="1:8" x14ac:dyDescent="0.3">
      <c r="A115" s="21" t="s">
        <v>144</v>
      </c>
      <c r="B115" s="6">
        <f>INDEX('vehicles specifications'!$B$3:$CK$86,MATCH(B96,'vehicles specifications'!$A$3:$A$86,0),MATCH("Lightweighting rate [%]",'vehicles specifications'!$B$2:$CK$2,0))</f>
        <v>0.05</v>
      </c>
    </row>
    <row r="116" spans="1:8" x14ac:dyDescent="0.3">
      <c r="A116" s="21" t="s">
        <v>513</v>
      </c>
      <c r="B116" s="6" t="s">
        <v>514</v>
      </c>
    </row>
    <row r="117" spans="1:8" x14ac:dyDescent="0.3">
      <c r="A117" s="21" t="s">
        <v>515</v>
      </c>
      <c r="B117" s="2">
        <v>15900</v>
      </c>
    </row>
    <row r="118" spans="1:8" x14ac:dyDescent="0.3">
      <c r="A118" s="21" t="s">
        <v>516</v>
      </c>
      <c r="B118" s="2">
        <v>1000</v>
      </c>
    </row>
    <row r="119" spans="1:8" x14ac:dyDescent="0.3">
      <c r="A119" s="21"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scooter'!B100</f>
        <v>Power: 2.6 kW. Lifetime: 33400 km. Annual kilometers: 2553 km. Number of passengers: 1. Curb mass: 99.8 kg. Lightweighting of glider: 5%. Emission standard: None. Service visits throughout lifetime: 1. Range: 125 km. Battery capacity: 5.8 kWh. Available battery capacity: 4.64 kWh. Battery mass: 17.4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1</v>
      </c>
    </row>
    <row r="120" spans="1:8" ht="15.6" x14ac:dyDescent="0.3">
      <c r="A120" s="11" t="s">
        <v>80</v>
      </c>
    </row>
    <row r="121" spans="1:8" x14ac:dyDescent="0.3">
      <c r="A121" s="21" t="s">
        <v>81</v>
      </c>
      <c r="B121" s="21" t="s">
        <v>82</v>
      </c>
      <c r="C121" s="21" t="s">
        <v>73</v>
      </c>
      <c r="D121" s="21" t="s">
        <v>77</v>
      </c>
      <c r="E121" s="21" t="s">
        <v>83</v>
      </c>
      <c r="F121" s="21" t="s">
        <v>75</v>
      </c>
      <c r="G121" s="21" t="s">
        <v>84</v>
      </c>
      <c r="H121" s="21" t="s">
        <v>74</v>
      </c>
    </row>
    <row r="122" spans="1:8" x14ac:dyDescent="0.3">
      <c r="A122" s="12" t="str">
        <f>B91</f>
        <v>Scooter, electric, &lt;4kW, 2040</v>
      </c>
      <c r="B122" s="12">
        <v>1</v>
      </c>
      <c r="C122" s="12" t="str">
        <f>B92</f>
        <v>CH</v>
      </c>
      <c r="D122" s="12" t="str">
        <f>B99</f>
        <v>unit</v>
      </c>
      <c r="E122" s="12"/>
      <c r="F122" s="12" t="s">
        <v>85</v>
      </c>
      <c r="G122" s="12" t="s">
        <v>86</v>
      </c>
      <c r="H122" s="12" t="str">
        <f>B93</f>
        <v>Scooter, electric, &lt;4kW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73</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3.6500000000000004</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5</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s="21"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8</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s="21"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18.124999999999996</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s="21"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3.625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s="21"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s="21"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market for manual dismantling of electric scooter</v>
      </c>
      <c r="B130" s="16">
        <f>INDEX('vehicles specifications'!$B$3:$CK$86,MATCH(B96,'vehicles specifications'!$A$3:$A$86,0),MATCH(G130,'vehicles specifications'!$B$2:$CK$2,0))*INDEX('ei names mapping'!$B$137:$BK$220,MATCH(B96,'ei names mapping'!$A$137:$A$220,0),MATCH(G130,'ei names mapping'!$B$136:$BK$136,0))</f>
        <v>69.349999999999994</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s="21"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market for manual dismantling of electric scooter</v>
      </c>
      <c r="B131" s="16">
        <f>INDEX('vehicles specifications'!$B$3:$CK$86,MATCH(B96,'vehicles specifications'!$A$3:$A$86,0),MATCH(G131,'vehicles specifications'!$B$2:$CK$2,0))*INDEX('ei names mapping'!$B$137:$BK$220,MATCH(B96,'ei names mapping'!$A$137:$A$220,0),MATCH(G131,'ei names mapping'!$B$136:$BK$136,0))</f>
        <v>13</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s="2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-21.75</v>
      </c>
      <c r="C132" s="12" t="str">
        <f>INDEX('ei names mapping'!$B$38:$R$67,MATCH(B93,'ei names mapping'!$A$4:$A$33,0),MATCH(G132,'ei names mapping'!$B$3:$R$3,0))</f>
        <v>GLO</v>
      </c>
      <c r="D132" s="12" t="str">
        <f>INDEX('ei names mapping'!$B$104:$R$133,MATCH(B93,'ei names mapping'!$A$104:$A$133,0),MATCH(G132,'ei names mapping'!$B$3:$R$3,0))</f>
        <v>kilogram</v>
      </c>
      <c r="E132" s="12"/>
      <c r="F132" s="12" t="s">
        <v>91</v>
      </c>
      <c r="G132" s="21" t="s">
        <v>152</v>
      </c>
      <c r="H132" s="12" t="str">
        <f>INDEX('ei names mapping'!$B$71:$R$100,MATCH(B93,'ei names mapping'!$A$4:$A$33,0),MATCH(G132,'ei names mapping'!$B$3:$R$3,0))</f>
        <v>used Li-ion battery</v>
      </c>
    </row>
    <row r="133" spans="1:8" x14ac:dyDescent="0.3">
      <c r="A133" s="22" t="s">
        <v>468</v>
      </c>
      <c r="B133" s="21">
        <f>(B106/1000)*B118</f>
        <v>99.75</v>
      </c>
      <c r="C133" s="21" t="s">
        <v>94</v>
      </c>
      <c r="D133" s="21" t="s">
        <v>243</v>
      </c>
      <c r="F133" s="21" t="s">
        <v>91</v>
      </c>
      <c r="H133" s="22" t="s">
        <v>469</v>
      </c>
    </row>
    <row r="134" spans="1:8" x14ac:dyDescent="0.3">
      <c r="A134" s="22" t="s">
        <v>467</v>
      </c>
      <c r="B134" s="2">
        <f>(B106/1000)*B117</f>
        <v>1586.0250000000001</v>
      </c>
      <c r="C134" s="21" t="s">
        <v>98</v>
      </c>
      <c r="D134" s="21" t="s">
        <v>243</v>
      </c>
      <c r="F134" s="21" t="s">
        <v>91</v>
      </c>
      <c r="H134" s="22" t="s">
        <v>467</v>
      </c>
    </row>
    <row r="136" spans="1:8" ht="15.6" x14ac:dyDescent="0.3">
      <c r="A136" s="11" t="s">
        <v>72</v>
      </c>
      <c r="B136" s="9" t="str">
        <f>B138&amp;", "&amp;B140</f>
        <v>Scooter, electric, &lt;4kW, 2050</v>
      </c>
    </row>
    <row r="137" spans="1:8" x14ac:dyDescent="0.3">
      <c r="A137" s="21" t="s">
        <v>73</v>
      </c>
      <c r="B137" s="21" t="s">
        <v>37</v>
      </c>
    </row>
    <row r="138" spans="1:8" x14ac:dyDescent="0.3">
      <c r="A138" s="21" t="s">
        <v>87</v>
      </c>
      <c r="B138" s="21" t="s">
        <v>674</v>
      </c>
    </row>
    <row r="139" spans="1:8" x14ac:dyDescent="0.3">
      <c r="A139" s="21" t="s">
        <v>88</v>
      </c>
      <c r="B139" s="12"/>
    </row>
    <row r="140" spans="1:8" x14ac:dyDescent="0.3">
      <c r="A140" s="21" t="s">
        <v>89</v>
      </c>
      <c r="B140" s="12">
        <v>2050</v>
      </c>
    </row>
    <row r="141" spans="1:8" x14ac:dyDescent="0.3">
      <c r="A141" s="21" t="s">
        <v>131</v>
      </c>
      <c r="B141" s="12" t="str">
        <f>B138&amp;" - "&amp;B140&amp;" - "&amp;B137</f>
        <v>Scooter, electric, &lt;4kW - 2050 - CH</v>
      </c>
    </row>
    <row r="142" spans="1:8" x14ac:dyDescent="0.3">
      <c r="A142" s="21" t="s">
        <v>74</v>
      </c>
      <c r="B142" s="21" t="str">
        <f>B138</f>
        <v>Scooter, electric, &lt;4kW</v>
      </c>
    </row>
    <row r="143" spans="1:8" x14ac:dyDescent="0.3">
      <c r="A143" s="21" t="s">
        <v>75</v>
      </c>
      <c r="B143" s="21" t="s">
        <v>76</v>
      </c>
    </row>
    <row r="144" spans="1:8" x14ac:dyDescent="0.3">
      <c r="A144" s="21" t="s">
        <v>77</v>
      </c>
      <c r="B144" s="21" t="s">
        <v>77</v>
      </c>
    </row>
    <row r="145" spans="1:2" x14ac:dyDescent="0.3">
      <c r="A145" s="21" t="s">
        <v>79</v>
      </c>
      <c r="B145" s="21" t="s">
        <v>90</v>
      </c>
    </row>
    <row r="146" spans="1:2" x14ac:dyDescent="0.3">
      <c r="A146" s="21" t="s">
        <v>132</v>
      </c>
      <c r="B146" s="21">
        <f>INDEX('vehicles specifications'!$B$3:$CK$86,MATCH(B141,'vehicles specifications'!$A$3:$A$86,0),MATCH("Lifetime [km]",'vehicles specifications'!$B$2:$CK$2,0))</f>
        <v>33400</v>
      </c>
    </row>
    <row r="147" spans="1:2" x14ac:dyDescent="0.3">
      <c r="A147" s="21" t="s">
        <v>133</v>
      </c>
      <c r="B147" s="21">
        <f>INDEX('vehicles specifications'!$B$3:$CK$86,MATCH(B141,'vehicles specifications'!$A$3:$A$86,0),MATCH("Passengers [unit]",'vehicles specifications'!$B$2:$CK$2,0))</f>
        <v>1</v>
      </c>
    </row>
    <row r="148" spans="1:2" x14ac:dyDescent="0.3">
      <c r="A148" s="21" t="s">
        <v>134</v>
      </c>
      <c r="B148" s="21">
        <f>INDEX('vehicles specifications'!$B$3:$CK$86,MATCH(B141,'vehicles specifications'!$A$3:$A$86,0),MATCH("Servicing [unit]",'vehicles specifications'!$B$2:$CK$2,0))</f>
        <v>1</v>
      </c>
    </row>
    <row r="149" spans="1:2" x14ac:dyDescent="0.3">
      <c r="A149" s="21" t="s">
        <v>135</v>
      </c>
      <c r="B149" s="21">
        <f>INDEX('vehicles specifications'!$B$3:$CK$86,MATCH(B141,'vehicles specifications'!$A$3:$A$86,0),MATCH("Energy battery replacement [unit]",'vehicles specifications'!$B$2:$CK$2,0))</f>
        <v>0</v>
      </c>
    </row>
    <row r="150" spans="1:2" x14ac:dyDescent="0.3">
      <c r="A150" s="21" t="s">
        <v>136</v>
      </c>
      <c r="B150" s="21">
        <f>INDEX('vehicles specifications'!$B$3:$CK$86,MATCH(B141,'vehicles specifications'!$A$3:$A$86,0),MATCH("Annual kilometers [km]",'vehicles specifications'!$B$2:$CK$2,0))</f>
        <v>2553</v>
      </c>
    </row>
    <row r="151" spans="1:2" x14ac:dyDescent="0.3">
      <c r="A151" s="21" t="s">
        <v>137</v>
      </c>
      <c r="B151" s="2">
        <f>INDEX('vehicles specifications'!$B$3:$CK$86,MATCH(B141,'vehicles specifications'!$A$3:$A$86,0),MATCH("Curb mass [kg]",'vehicles specifications'!$B$2:$CK$2,0))</f>
        <v>100.09</v>
      </c>
    </row>
    <row r="152" spans="1:2" x14ac:dyDescent="0.3">
      <c r="A152" s="21" t="s">
        <v>138</v>
      </c>
      <c r="B152" s="21">
        <f>INDEX('vehicles specifications'!$B$3:$CK$86,MATCH(B141,'vehicles specifications'!$A$3:$A$86,0),MATCH("Power [kW]",'vehicles specifications'!$B$2:$CK$2,0))</f>
        <v>2.6</v>
      </c>
    </row>
    <row r="153" spans="1:2" x14ac:dyDescent="0.3">
      <c r="A153" s="21" t="s">
        <v>139</v>
      </c>
      <c r="B153" s="21">
        <f>INDEX('vehicles specifications'!$B$3:$CK$86,MATCH(B141,'vehicles specifications'!$A$3:$A$86,0),MATCH("Energy battery mass [kg]",'vehicles specifications'!$B$2:$CK$2,0))</f>
        <v>19.2</v>
      </c>
    </row>
    <row r="154" spans="1:2" x14ac:dyDescent="0.3">
      <c r="A154" s="21" t="s">
        <v>140</v>
      </c>
      <c r="B154" s="21">
        <f>INDEX('vehicles specifications'!$B$3:$CK$86,MATCH(B141,'vehicles specifications'!$A$3:$A$86,0),MATCH("Electric energy stored [kWh]",'vehicles specifications'!$B$2:$CK$2,0))</f>
        <v>8</v>
      </c>
    </row>
    <row r="155" spans="1:2" x14ac:dyDescent="0.3">
      <c r="A155" s="21" t="s">
        <v>654</v>
      </c>
      <c r="B155" s="21">
        <f>INDEX('vehicles specifications'!$B$3:$CK$86,MATCH(B141,'vehicles specifications'!$A$3:$A$86,0),MATCH("Electric energy available [kWh]",'vehicles specifications'!$B$2:$CK$2,0))</f>
        <v>6.4</v>
      </c>
    </row>
    <row r="156" spans="1:2" x14ac:dyDescent="0.3">
      <c r="A156" s="21" t="s">
        <v>143</v>
      </c>
      <c r="B156" s="2">
        <f>INDEX('vehicles specifications'!$B$3:$CK$86,MATCH(B141,'vehicles specifications'!$A$3:$A$86,0),MATCH("Oxydation energy stored [kWh]",'vehicles specifications'!$B$2:$CK$2,0))</f>
        <v>0</v>
      </c>
    </row>
    <row r="157" spans="1:2" x14ac:dyDescent="0.3">
      <c r="A157" s="21" t="s">
        <v>145</v>
      </c>
      <c r="B157" s="21">
        <f>INDEX('vehicles specifications'!$B$3:$CK$86,MATCH(B141,'vehicles specifications'!$A$3:$A$86,0),MATCH("Fuel mass [kg]",'vehicles specifications'!$B$2:$CK$2,0))</f>
        <v>0</v>
      </c>
    </row>
    <row r="158" spans="1:2" x14ac:dyDescent="0.3">
      <c r="A158" s="21" t="s">
        <v>141</v>
      </c>
      <c r="B158" s="2">
        <f>INDEX('vehicles specifications'!$B$3:$CK$86,MATCH(B141,'vehicles specifications'!$A$3:$A$86,0),MATCH("Range [km]",'vehicles specifications'!$B$2:$CK$2,0))</f>
        <v>172.66690777576852</v>
      </c>
    </row>
    <row r="159" spans="1:2" x14ac:dyDescent="0.3">
      <c r="A159" s="21" t="s">
        <v>142</v>
      </c>
      <c r="B159" s="21" t="str">
        <f>INDEX('vehicles specifications'!$B$3:$CK$86,MATCH(B141,'vehicles specifications'!$A$3:$A$86,0),MATCH("Emission standard",'vehicles specifications'!$B$2:$CK$2,0))</f>
        <v>None</v>
      </c>
    </row>
    <row r="160" spans="1:2" x14ac:dyDescent="0.3">
      <c r="A160" s="21" t="s">
        <v>144</v>
      </c>
      <c r="B160" s="6">
        <f>INDEX('vehicles specifications'!$B$3:$CK$86,MATCH(B141,'vehicles specifications'!$A$3:$A$86,0),MATCH("Lightweighting rate [%]",'vehicles specifications'!$B$2:$CK$2,0))</f>
        <v>7.0000000000000007E-2</v>
      </c>
    </row>
    <row r="161" spans="1:8" x14ac:dyDescent="0.3">
      <c r="A161" s="21" t="s">
        <v>513</v>
      </c>
      <c r="B161" s="6" t="s">
        <v>514</v>
      </c>
    </row>
    <row r="162" spans="1:8" x14ac:dyDescent="0.3">
      <c r="A162" s="21" t="s">
        <v>515</v>
      </c>
      <c r="B162" s="2">
        <v>15900</v>
      </c>
    </row>
    <row r="163" spans="1:8" x14ac:dyDescent="0.3">
      <c r="A163" s="21" t="s">
        <v>516</v>
      </c>
      <c r="B163" s="2">
        <v>1000</v>
      </c>
    </row>
    <row r="164" spans="1:8" x14ac:dyDescent="0.3">
      <c r="A164" s="21"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scooter'!B145</f>
        <v>Power: 2.6 kW. Lifetime: 33400 km. Annual kilometers: 2553 km. Number of passengers: 1. Curb mass: 100.1 kg. Lightweighting of glider: 7%. Emission standard: None. Service visits throughout lifetime: 1. Range: 173 km. Battery capacity: 8 kWh. Available battery capacity: 6.4 kWh. Battery mass: 19.2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v>
      </c>
    </row>
    <row r="165" spans="1:8" ht="15.6" x14ac:dyDescent="0.3">
      <c r="A165" s="11" t="s">
        <v>80</v>
      </c>
    </row>
    <row r="166" spans="1:8" x14ac:dyDescent="0.3">
      <c r="A166" s="21" t="s">
        <v>81</v>
      </c>
      <c r="B166" s="21" t="s">
        <v>82</v>
      </c>
      <c r="C166" s="21" t="s">
        <v>73</v>
      </c>
      <c r="D166" s="21" t="s">
        <v>77</v>
      </c>
      <c r="E166" s="21" t="s">
        <v>83</v>
      </c>
      <c r="F166" s="21" t="s">
        <v>75</v>
      </c>
      <c r="G166" s="21" t="s">
        <v>84</v>
      </c>
      <c r="H166" s="21" t="s">
        <v>74</v>
      </c>
    </row>
    <row r="167" spans="1:8" x14ac:dyDescent="0.3">
      <c r="A167" s="12" t="str">
        <f>B136</f>
        <v>Scooter, electric, &lt;4kW, 2050</v>
      </c>
      <c r="B167" s="12">
        <v>1</v>
      </c>
      <c r="C167" s="12" t="str">
        <f>B137</f>
        <v>CH</v>
      </c>
      <c r="D167" s="12" t="str">
        <f>B144</f>
        <v>unit</v>
      </c>
      <c r="E167" s="12"/>
      <c r="F167" s="12" t="s">
        <v>85</v>
      </c>
      <c r="G167" s="12" t="s">
        <v>86</v>
      </c>
      <c r="H167" s="12" t="str">
        <f>B138</f>
        <v>Scooter, electric, &lt;4kW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73</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5.1100000000000003</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5</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s="21"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8</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s="2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16</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s="21"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3.2</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s="21"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s="21"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market for manual dismantling of electric scooter</v>
      </c>
      <c r="B175" s="16">
        <f>INDEX('vehicles specifications'!$B$3:$CK$86,MATCH(B141,'vehicles specifications'!$A$3:$A$86,0),MATCH(G175,'vehicles specifications'!$B$2:$CK$2,0))*INDEX('ei names mapping'!$B$137:$BK$220,MATCH(B141,'ei names mapping'!$A$137:$A$220,0),MATCH(G175,'ei names mapping'!$B$136:$BK$136,0))</f>
        <v>67.89</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s="21"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market for manual dismantling of electric scooter</v>
      </c>
      <c r="B176" s="16">
        <f>INDEX('vehicles specifications'!$B$3:$CK$86,MATCH(B141,'vehicles specifications'!$A$3:$A$86,0),MATCH(G176,'vehicles specifications'!$B$2:$CK$2,0))*INDEX('ei names mapping'!$B$137:$BK$220,MATCH(B141,'ei names mapping'!$A$137:$A$220,0),MATCH(G176,'ei names mapping'!$B$136:$BK$136,0))</f>
        <v>13</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s="21"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-19.2</v>
      </c>
      <c r="C177" s="12" t="str">
        <f>INDEX('ei names mapping'!$B$38:$R$67,MATCH(B138,'ei names mapping'!$A$4:$A$33,0),MATCH(G177,'ei names mapping'!$B$3:$R$3,0))</f>
        <v>GLO</v>
      </c>
      <c r="D177" s="12" t="str">
        <f>INDEX('ei names mapping'!$B$104:$R$133,MATCH(B138,'ei names mapping'!$A$104:$A$133,0),MATCH(G177,'ei names mapping'!$B$3:$R$3,0))</f>
        <v>kilogram</v>
      </c>
      <c r="E177" s="12"/>
      <c r="F177" s="12" t="s">
        <v>91</v>
      </c>
      <c r="G177" s="21" t="s">
        <v>152</v>
      </c>
      <c r="H177" s="12" t="str">
        <f>INDEX('ei names mapping'!$B$71:$R$100,MATCH(B138,'ei names mapping'!$A$4:$A$33,0),MATCH(G177,'ei names mapping'!$B$3:$R$3,0))</f>
        <v>used Li-ion battery</v>
      </c>
    </row>
    <row r="178" spans="1:8" x14ac:dyDescent="0.3">
      <c r="A178" s="22" t="s">
        <v>468</v>
      </c>
      <c r="B178" s="21">
        <f>(B151/1000)*B163</f>
        <v>100.09</v>
      </c>
      <c r="C178" s="21" t="s">
        <v>94</v>
      </c>
      <c r="D178" s="21" t="s">
        <v>243</v>
      </c>
      <c r="F178" s="21" t="s">
        <v>91</v>
      </c>
      <c r="H178" s="22" t="s">
        <v>469</v>
      </c>
    </row>
    <row r="179" spans="1:8" x14ac:dyDescent="0.3">
      <c r="A179" s="22" t="s">
        <v>467</v>
      </c>
      <c r="B179" s="2">
        <f>(B151/1000)*B162</f>
        <v>1591.431</v>
      </c>
      <c r="C179" s="21" t="s">
        <v>98</v>
      </c>
      <c r="D179" s="21" t="s">
        <v>243</v>
      </c>
      <c r="F179" s="21" t="s">
        <v>91</v>
      </c>
      <c r="H179" s="22" t="s">
        <v>467</v>
      </c>
    </row>
    <row r="180" spans="1:8" x14ac:dyDescent="0.3">
      <c r="B180" s="2"/>
    </row>
    <row r="181" spans="1:8" ht="15.6" x14ac:dyDescent="0.3">
      <c r="A181" s="11" t="s">
        <v>72</v>
      </c>
      <c r="B181" s="9" t="str">
        <f>"transport, "&amp;B183&amp;", "&amp;B185</f>
        <v>transport, Scooter, electric, &lt;4kW, 2020</v>
      </c>
    </row>
    <row r="182" spans="1:8" x14ac:dyDescent="0.3">
      <c r="A182" s="21" t="s">
        <v>73</v>
      </c>
      <c r="B182" s="21" t="s">
        <v>37</v>
      </c>
    </row>
    <row r="183" spans="1:8" x14ac:dyDescent="0.3">
      <c r="A183" s="21" t="s">
        <v>87</v>
      </c>
      <c r="B183" s="21" t="s">
        <v>674</v>
      </c>
    </row>
    <row r="184" spans="1:8" x14ac:dyDescent="0.3">
      <c r="A184" s="21" t="s">
        <v>88</v>
      </c>
      <c r="B184" s="12"/>
    </row>
    <row r="185" spans="1:8" x14ac:dyDescent="0.3">
      <c r="A185" s="21" t="s">
        <v>89</v>
      </c>
      <c r="B185" s="12">
        <v>2020</v>
      </c>
    </row>
    <row r="186" spans="1:8" x14ac:dyDescent="0.3">
      <c r="A186" s="21" t="s">
        <v>131</v>
      </c>
      <c r="B186" s="12" t="str">
        <f>B183&amp;" - "&amp;B185&amp;" - "&amp;B182</f>
        <v>Scooter, electric, &lt;4kW - 2020 - CH</v>
      </c>
    </row>
    <row r="187" spans="1:8" x14ac:dyDescent="0.3">
      <c r="A187" s="21" t="s">
        <v>74</v>
      </c>
      <c r="B187" s="12" t="str">
        <f>"transport, "&amp;B183</f>
        <v>transport, Scooter, electric, &lt;4kW</v>
      </c>
    </row>
    <row r="188" spans="1:8" x14ac:dyDescent="0.3">
      <c r="A188" s="21" t="s">
        <v>75</v>
      </c>
      <c r="B188" s="21" t="s">
        <v>76</v>
      </c>
    </row>
    <row r="189" spans="1:8" x14ac:dyDescent="0.3">
      <c r="A189" s="21" t="s">
        <v>77</v>
      </c>
      <c r="B189" s="21" t="s">
        <v>172</v>
      </c>
    </row>
    <row r="190" spans="1:8" x14ac:dyDescent="0.3">
      <c r="A190" s="21" t="s">
        <v>79</v>
      </c>
      <c r="B190" s="21" t="s">
        <v>90</v>
      </c>
    </row>
    <row r="191" spans="1:8" x14ac:dyDescent="0.3">
      <c r="A191" s="21" t="s">
        <v>132</v>
      </c>
      <c r="B191" s="21">
        <f>INDEX('vehicles specifications'!$B$3:$CK$86,MATCH(B186,'vehicles specifications'!$A$3:$A$86,0),MATCH("Lifetime [km]",'vehicles specifications'!$B$2:$CK$2,0))</f>
        <v>33400</v>
      </c>
    </row>
    <row r="192" spans="1:8" x14ac:dyDescent="0.3">
      <c r="A192" s="21" t="s">
        <v>133</v>
      </c>
      <c r="B192" s="21">
        <f>INDEX('vehicles specifications'!$B$3:$CK$86,MATCH(B186,'vehicles specifications'!$A$3:$A$86,0),MATCH("Passengers [unit]",'vehicles specifications'!$B$2:$CK$2,0))</f>
        <v>1</v>
      </c>
    </row>
    <row r="193" spans="1:8" x14ac:dyDescent="0.3">
      <c r="A193" s="21" t="s">
        <v>134</v>
      </c>
      <c r="B193" s="21">
        <f>INDEX('vehicles specifications'!$B$3:$CK$86,MATCH(B186,'vehicles specifications'!$A$3:$A$86,0),MATCH("Servicing [unit]",'vehicles specifications'!$B$2:$CK$2,0))</f>
        <v>1</v>
      </c>
    </row>
    <row r="194" spans="1:8" x14ac:dyDescent="0.3">
      <c r="A194" s="21" t="s">
        <v>135</v>
      </c>
      <c r="B194" s="21">
        <f>INDEX('vehicles specifications'!$B$3:$CK$86,MATCH(B186,'vehicles specifications'!$A$3:$A$86,0),MATCH("Energy battery replacement [unit]",'vehicles specifications'!$B$2:$CK$2,0))</f>
        <v>1</v>
      </c>
    </row>
    <row r="195" spans="1:8" x14ac:dyDescent="0.3">
      <c r="A195" s="21" t="s">
        <v>136</v>
      </c>
      <c r="B195" s="21">
        <f>INDEX('vehicles specifications'!$B$3:$CK$86,MATCH(B186,'vehicles specifications'!$A$3:$A$86,0),MATCH("Annual kilometers [km]",'vehicles specifications'!$B$2:$CK$2,0))</f>
        <v>2553</v>
      </c>
    </row>
    <row r="196" spans="1:8" x14ac:dyDescent="0.3">
      <c r="A196" s="21" t="s">
        <v>137</v>
      </c>
      <c r="B196" s="2">
        <f>INDEX('vehicles specifications'!$B$3:$CK$86,MATCH(B186,'vehicles specifications'!$A$3:$A$86,0),MATCH("Curb mass [kg]",'vehicles specifications'!$B$2:$CK$2,0))</f>
        <v>99.8</v>
      </c>
    </row>
    <row r="197" spans="1:8" x14ac:dyDescent="0.3">
      <c r="A197" s="21" t="s">
        <v>138</v>
      </c>
      <c r="B197" s="21">
        <f>INDEX('vehicles specifications'!$B$3:$CK$86,MATCH(B186,'vehicles specifications'!$A$3:$A$86,0),MATCH("Power [kW]",'vehicles specifications'!$B$2:$CK$2,0))</f>
        <v>2.6</v>
      </c>
    </row>
    <row r="198" spans="1:8" x14ac:dyDescent="0.3">
      <c r="A198" s="21" t="s">
        <v>139</v>
      </c>
      <c r="B198" s="21">
        <f>INDEX('vehicles specifications'!$B$3:$CK$86,MATCH(B186,'vehicles specifications'!$A$3:$A$86,0),MATCH("Energy battery mass [kg]",'vehicles specifications'!$B$2:$CK$2,0))</f>
        <v>13.799999999999997</v>
      </c>
    </row>
    <row r="199" spans="1:8" x14ac:dyDescent="0.3">
      <c r="A199" s="21" t="s">
        <v>140</v>
      </c>
      <c r="B199" s="21">
        <f>INDEX('vehicles specifications'!$B$3:$CK$86,MATCH(B186,'vehicles specifications'!$A$3:$A$86,0),MATCH("Electric energy stored [kWh]",'vehicles specifications'!$B$2:$CK$2,0))</f>
        <v>2.2999999999999998</v>
      </c>
    </row>
    <row r="200" spans="1:8" x14ac:dyDescent="0.3">
      <c r="A200" s="21" t="s">
        <v>654</v>
      </c>
      <c r="B200" s="21">
        <f>INDEX('vehicles specifications'!$B$3:$CK$86,MATCH(B186,'vehicles specifications'!$A$3:$A$86,0),MATCH("Electric energy available [kWh]",'vehicles specifications'!$B$2:$CK$2,0))</f>
        <v>1.8399999999999999</v>
      </c>
    </row>
    <row r="201" spans="1:8" x14ac:dyDescent="0.3">
      <c r="A201" s="21" t="s">
        <v>143</v>
      </c>
      <c r="B201" s="2">
        <f>INDEX('vehicles specifications'!$B$3:$CK$86,MATCH(B186,'vehicles specifications'!$A$3:$A$86,0),MATCH("Oxydation energy stored [kWh]",'vehicles specifications'!$B$2:$CK$2,0))</f>
        <v>0</v>
      </c>
    </row>
    <row r="202" spans="1:8" x14ac:dyDescent="0.3">
      <c r="A202" s="21" t="s">
        <v>145</v>
      </c>
      <c r="B202" s="21">
        <f>INDEX('vehicles specifications'!$B$3:$CK$86,MATCH(B186,'vehicles specifications'!$A$3:$A$86,0),MATCH("Fuel mass [kg]",'vehicles specifications'!$B$2:$CK$2,0))</f>
        <v>0</v>
      </c>
    </row>
    <row r="203" spans="1:8" x14ac:dyDescent="0.3">
      <c r="A203" s="21" t="s">
        <v>141</v>
      </c>
      <c r="B203" s="2">
        <f>INDEX('vehicles specifications'!$B$3:$CK$86,MATCH(B186,'vehicles specifications'!$A$3:$A$86,0),MATCH("Range [km]",'vehicles specifications'!$B$2:$CK$2,0))</f>
        <v>49.641735985533444</v>
      </c>
    </row>
    <row r="204" spans="1:8" x14ac:dyDescent="0.3">
      <c r="A204" s="21" t="s">
        <v>142</v>
      </c>
      <c r="B204" s="21" t="str">
        <f>INDEX('vehicles specifications'!$B$3:$CK$86,MATCH(B186,'vehicles specifications'!$A$3:$A$86,0),MATCH("Emission standard",'vehicles specifications'!$B$2:$CK$2,0))</f>
        <v>None</v>
      </c>
    </row>
    <row r="205" spans="1:8" x14ac:dyDescent="0.3">
      <c r="A205" s="21" t="s">
        <v>144</v>
      </c>
      <c r="B205" s="6">
        <f>INDEX('vehicles specifications'!$B$3:$CK$86,MATCH(B186,'vehicles specifications'!$A$3:$A$86,0),MATCH("Lightweighting rate [%]",'vehicles specifications'!$B$2:$CK$2,0))</f>
        <v>0</v>
      </c>
    </row>
    <row r="206" spans="1:8" x14ac:dyDescent="0.3">
      <c r="A206" s="21"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"&amp;B190</f>
        <v>Power: 2.6 kW. Lifetime: 33400 km. Annual kilometers: 2553 km. Number of passengers: 1. Curb mass: 99.8 kg. Lightweighting of glider: 0%. Emission standard: None. Service visits throughout lifetime: 1. Range: 50 km. Battery capacity: 2.3 kWh. Available battery capacity: 1.84 kWh. Battery mass: 13.8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7" spans="1:8" ht="15.6" x14ac:dyDescent="0.3">
      <c r="A207" s="11" t="s">
        <v>80</v>
      </c>
    </row>
    <row r="208" spans="1:8" x14ac:dyDescent="0.3">
      <c r="A208" s="21" t="s">
        <v>81</v>
      </c>
      <c r="B208" s="21" t="s">
        <v>82</v>
      </c>
      <c r="C208" s="21" t="s">
        <v>73</v>
      </c>
      <c r="D208" s="21" t="s">
        <v>77</v>
      </c>
      <c r="E208" s="21" t="s">
        <v>83</v>
      </c>
      <c r="F208" s="21" t="s">
        <v>75</v>
      </c>
      <c r="G208" s="21" t="s">
        <v>84</v>
      </c>
      <c r="H208" s="21" t="s">
        <v>74</v>
      </c>
    </row>
    <row r="209" spans="1:8" x14ac:dyDescent="0.3">
      <c r="A209" s="12" t="str">
        <f>B181</f>
        <v>transport, Scooter, electric, &lt;4kW, 2020</v>
      </c>
      <c r="B209" s="12">
        <v>1</v>
      </c>
      <c r="C209" s="12" t="str">
        <f>B182</f>
        <v>CH</v>
      </c>
      <c r="D209" s="12" t="s">
        <v>172</v>
      </c>
      <c r="E209" s="12"/>
      <c r="F209" s="12" t="s">
        <v>85</v>
      </c>
      <c r="G209" s="12" t="s">
        <v>86</v>
      </c>
      <c r="H209" s="12" t="str">
        <f>B187</f>
        <v>transport, Scooter, electric, &lt;4kW</v>
      </c>
    </row>
    <row r="210" spans="1:8" x14ac:dyDescent="0.3">
      <c r="A210" s="12" t="str">
        <f>RIGHT(A209,LEN(A209)-11)</f>
        <v>Scooter, electric, &lt;4kW, 2020</v>
      </c>
      <c r="B210" s="15">
        <f>1/B191</f>
        <v>2.9940119760479042E-5</v>
      </c>
      <c r="C210" s="12" t="str">
        <f>B182</f>
        <v>CH</v>
      </c>
      <c r="D210" s="12" t="s">
        <v>77</v>
      </c>
      <c r="E210" s="12"/>
      <c r="F210" s="12" t="s">
        <v>91</v>
      </c>
      <c r="G210" s="12"/>
      <c r="H210" s="12" t="str">
        <f>RIGHT(H209,LEN(H209)-11)</f>
        <v>Scooter, electric, &lt;4kW</v>
      </c>
    </row>
    <row r="211" spans="1:8" x14ac:dyDescent="0.3">
      <c r="A211" s="12" t="str">
        <f>INDEX('ei names mapping'!$B$4:$R$33,MATCH(B183,'ei names mapping'!$A$4:$A$33,0),MATCH(G211,'ei names mapping'!$B$3:$R$3,0))</f>
        <v>road construction</v>
      </c>
      <c r="B211" s="16">
        <f>INDEX('vehicles specifications'!$B$3:$CK$86,MATCH(B186,'vehicles specifications'!$A$3:$A$86,0),MATCH(G211,'vehicles specifications'!$B$2:$CK$2,0))*INDEX('ei names mapping'!$B$137:$BK$220,MATCH(B186,'ei names mapping'!$A$137:$A$220,0),MATCH(G211,'ei names mapping'!$B$136:$BK$136,0))</f>
        <v>9.3330600000000004E-5</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s="21" t="s">
        <v>108</v>
      </c>
      <c r="H211" s="12" t="str">
        <f>INDEX('ei names mapping'!$B$71:$BK$100,MATCH(B183,'ei names mapping'!$A$4:$A$33,0),MATCH(G211,'ei names mapping'!$B$3:$BK$3,0))</f>
        <v>road</v>
      </c>
    </row>
    <row r="212" spans="1:8" x14ac:dyDescent="0.3">
      <c r="A212" s="12" t="str">
        <f>INDEX('ei names mapping'!$B$4:$R$33,MATCH(B183,'ei names mapping'!$A$4:$A$33,0),MATCH(G212,'ei names mapping'!$B$3:$R$3,0))</f>
        <v>road maintenance</v>
      </c>
      <c r="B212" s="16">
        <f>INDEX('vehicles specifications'!$B$3:$CK$86,MATCH(B186,'vehicles specifications'!$A$3:$A$86,0),MATCH(G212,'vehicles specifications'!$B$2:$CK$2,0))*INDEX('ei names mapping'!$B$137:$BK$220,MATCH(B186,'ei names mapping'!$A$137:$A$220,0),MATCH(G212,'ei names mapping'!$B$136:$BK$136,0))</f>
        <v>1.2899999999999999E-3</v>
      </c>
      <c r="C212" s="12" t="str">
        <f>INDEX('ei names mapping'!$B$38:$R$67,MATCH(B183,'ei names mapping'!$A$4:$A$33,0),MATCH(G212,'ei names mapping'!$B$3:$R$3,0))</f>
        <v>CH</v>
      </c>
      <c r="D212" s="12" t="str">
        <f>INDEX('ei names mapping'!$B$104:$BK$133,MATCH(B183,'ei names mapping'!$A$4:$A$33,0),MATCH(G212,'ei names mapping'!$B$3:$BK$3,0))</f>
        <v>meter-year</v>
      </c>
      <c r="E212" s="12"/>
      <c r="F212" s="12" t="s">
        <v>91</v>
      </c>
      <c r="G212" s="21" t="s">
        <v>117</v>
      </c>
      <c r="H212" s="12" t="str">
        <f>INDEX('ei names mapping'!$B$71:$BK$100,MATCH(B183,'ei names mapping'!$A$4:$A$33,0),MATCH(G212,'ei names mapping'!$B$3:$BK$3,0))</f>
        <v>road maintenance</v>
      </c>
    </row>
    <row r="213" spans="1:8" x14ac:dyDescent="0.3">
      <c r="A213" s="12" t="str">
        <f>INDEX('ei names mapping'!$B$4:$R$33,MATCH(B183,'ei names mapping'!$A$4:$A$33,0),MATCH(G213,'ei names mapping'!$B$3:$R$3,0))</f>
        <v>market for electricity, low voltage</v>
      </c>
      <c r="B213" s="14">
        <f>INDEX('vehicles specifications'!$B$3:$CK$86,MATCH(B186,'vehicles specifications'!$A$3:$A$86,0),MATCH(G213,'vehicles specifications'!$B$2:$CK$2,0))*INDEX('ei names mapping'!$B$137:$BK$220,MATCH(B186,'ei names mapping'!$A$137:$A$220,0),MATCH(G213,'ei names mapping'!$B$136:$BK$136,0))</f>
        <v>4.0772143838600498E-2</v>
      </c>
      <c r="C213" s="12" t="str">
        <f>INDEX('ei names mapping'!$B$38:$R$67,MATCH($B$3,'ei names mapping'!$A$4:$A$33,0),MATCH(G213,'ei names mapping'!$B$3:$R$3,0))</f>
        <v>CH</v>
      </c>
      <c r="D213" s="12" t="str">
        <f>INDEX('ei names mapping'!$B$104:$R$133,MATCH($B$3,'ei names mapping'!$A$4:$A$33,0),MATCH(G213,'ei names mapping'!$B$3:$R$3,0))</f>
        <v>kilowatt hour</v>
      </c>
      <c r="E213" s="12"/>
      <c r="F213" s="12" t="s">
        <v>91</v>
      </c>
      <c r="G213" s="21" t="s">
        <v>28</v>
      </c>
      <c r="H213" s="12" t="str">
        <f>INDEX('ei names mapping'!$B$71:$R$100,MATCH(B183,'ei names mapping'!$A$4:$A$33,0),MATCH(G213,'ei names mapping'!$B$3:$R$3,0))</f>
        <v>electricity, low voltage</v>
      </c>
    </row>
    <row r="214" spans="1:8" x14ac:dyDescent="0.3">
      <c r="A214" s="12" t="str">
        <f>INDEX('ei names mapping'!$B$4:$R$33,MATCH(B183,'ei names mapping'!$A$4:$A$33,0),MATCH(G214,'ei names mapping'!$B$3:$R$3,0))</f>
        <v>market for maintenance, electric scooter, without battery</v>
      </c>
      <c r="B214" s="16">
        <f>INDEX('vehicles specifications'!$B$3:$CK$86,MATCH(B186,'vehicles specifications'!$A$3:$A$86,0),MATCH(G214,'vehicles specifications'!$B$2:$CK$2,0))*INDEX('ei names mapping'!$B$137:$BK$220,MATCH(B186,'ei names mapping'!$A$137:$A$220,0),MATCH(G214,'ei names mapping'!$B$136:$BK$136,0))</f>
        <v>2.9940119760479042E-5</v>
      </c>
      <c r="C214" s="12" t="str">
        <f>INDEX('ei names mapping'!$B$38:$BK$67,MATCH(B183,'ei names mapping'!$A$4:$A$33,0),MATCH(G214,'ei names mapping'!$B$3:$BK$3,0))</f>
        <v>GLO</v>
      </c>
      <c r="D214" s="12" t="str">
        <f>INDEX('ei names mapping'!$B$104:$BK$133,MATCH(B183,'ei names mapping'!$A$4:$A$33,0),MATCH(G214,'ei names mapping'!$B$3:$BK$3,0))</f>
        <v>unit</v>
      </c>
      <c r="F214" s="12" t="s">
        <v>91</v>
      </c>
      <c r="G214" s="12" t="s">
        <v>123</v>
      </c>
      <c r="H214" s="12" t="str">
        <f>INDEX('ei names mapping'!$B$71:$BK$100,MATCH(B183,'ei names mapping'!$A$4:$A$33,0),MATCH(G214,'ei names mapping'!$B$3:$BK$3,0))</f>
        <v>maintenance, electric scooter, without battery</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s="21"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-6.3939999999999993E-6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s="21"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-3.0894999999999998E-6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s="21"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Scooter, electric, &lt;4kW, 2030</v>
      </c>
    </row>
    <row r="220" spans="1:8" x14ac:dyDescent="0.3">
      <c r="A220" s="21" t="s">
        <v>73</v>
      </c>
      <c r="B220" s="21" t="s">
        <v>37</v>
      </c>
    </row>
    <row r="221" spans="1:8" x14ac:dyDescent="0.3">
      <c r="A221" s="21" t="s">
        <v>87</v>
      </c>
      <c r="B221" s="21" t="s">
        <v>674</v>
      </c>
    </row>
    <row r="222" spans="1:8" x14ac:dyDescent="0.3">
      <c r="A222" s="21" t="s">
        <v>88</v>
      </c>
      <c r="B222" s="12"/>
    </row>
    <row r="223" spans="1:8" x14ac:dyDescent="0.3">
      <c r="A223" s="21" t="s">
        <v>89</v>
      </c>
      <c r="B223" s="12">
        <v>2030</v>
      </c>
    </row>
    <row r="224" spans="1:8" x14ac:dyDescent="0.3">
      <c r="A224" s="21" t="s">
        <v>131</v>
      </c>
      <c r="B224" s="12" t="str">
        <f>B221&amp;" - "&amp;B223&amp;" - "&amp;B220</f>
        <v>Scooter, electric, &lt;4kW - 2030 - CH</v>
      </c>
    </row>
    <row r="225" spans="1:2" x14ac:dyDescent="0.3">
      <c r="A225" s="21" t="s">
        <v>74</v>
      </c>
      <c r="B225" s="12" t="str">
        <f>"transport, "&amp;B221</f>
        <v>transport, Scooter, electric, &lt;4kW</v>
      </c>
    </row>
    <row r="226" spans="1:2" x14ac:dyDescent="0.3">
      <c r="A226" s="21" t="s">
        <v>75</v>
      </c>
      <c r="B226" s="21" t="s">
        <v>76</v>
      </c>
    </row>
    <row r="227" spans="1:2" x14ac:dyDescent="0.3">
      <c r="A227" s="21" t="s">
        <v>77</v>
      </c>
      <c r="B227" s="21" t="s">
        <v>172</v>
      </c>
    </row>
    <row r="228" spans="1:2" x14ac:dyDescent="0.3">
      <c r="A228" s="21" t="s">
        <v>79</v>
      </c>
      <c r="B228" s="21" t="s">
        <v>90</v>
      </c>
    </row>
    <row r="229" spans="1:2" x14ac:dyDescent="0.3">
      <c r="A229" s="21" t="s">
        <v>132</v>
      </c>
      <c r="B229" s="21">
        <f>INDEX('vehicles specifications'!$B$3:$CK$86,MATCH(B224,'vehicles specifications'!$A$3:$A$86,0),MATCH("Lifetime [km]",'vehicles specifications'!$B$2:$CK$2,0))</f>
        <v>33400</v>
      </c>
    </row>
    <row r="230" spans="1:2" x14ac:dyDescent="0.3">
      <c r="A230" s="21" t="s">
        <v>133</v>
      </c>
      <c r="B230" s="21">
        <f>INDEX('vehicles specifications'!$B$3:$CK$86,MATCH(B224,'vehicles specifications'!$A$3:$A$86,0),MATCH("Passengers [unit]",'vehicles specifications'!$B$2:$CK$2,0))</f>
        <v>1</v>
      </c>
    </row>
    <row r="231" spans="1:2" x14ac:dyDescent="0.3">
      <c r="A231" s="21" t="s">
        <v>134</v>
      </c>
      <c r="B231" s="21">
        <f>INDEX('vehicles specifications'!$B$3:$CK$86,MATCH(B224,'vehicles specifications'!$A$3:$A$86,0),MATCH("Servicing [unit]",'vehicles specifications'!$B$2:$CK$2,0))</f>
        <v>1</v>
      </c>
    </row>
    <row r="232" spans="1:2" x14ac:dyDescent="0.3">
      <c r="A232" s="21" t="s">
        <v>135</v>
      </c>
      <c r="B232" s="21">
        <f>INDEX('vehicles specifications'!$B$3:$CK$86,MATCH(B224,'vehicles specifications'!$A$3:$A$86,0),MATCH("Energy battery replacement [unit]",'vehicles specifications'!$B$2:$CK$2,0))</f>
        <v>0.5</v>
      </c>
    </row>
    <row r="233" spans="1:2" x14ac:dyDescent="0.3">
      <c r="A233" s="21" t="s">
        <v>136</v>
      </c>
      <c r="B233" s="21">
        <f>INDEX('vehicles specifications'!$B$3:$CK$86,MATCH(B224,'vehicles specifications'!$A$3:$A$86,0),MATCH("Annual kilometers [km]",'vehicles specifications'!$B$2:$CK$2,0))</f>
        <v>2553</v>
      </c>
    </row>
    <row r="234" spans="1:2" x14ac:dyDescent="0.3">
      <c r="A234" s="21" t="s">
        <v>137</v>
      </c>
      <c r="B234" s="2">
        <f>INDEX('vehicles specifications'!$B$3:$CK$86,MATCH(B224,'vehicles specifications'!$A$3:$A$86,0),MATCH("Curb mass [kg]",'vehicles specifications'!$B$2:$CK$2,0))</f>
        <v>99.81</v>
      </c>
    </row>
    <row r="235" spans="1:2" x14ac:dyDescent="0.3">
      <c r="A235" s="21" t="s">
        <v>138</v>
      </c>
      <c r="B235" s="21">
        <f>INDEX('vehicles specifications'!$B$3:$CK$86,MATCH(B224,'vehicles specifications'!$A$3:$A$86,0),MATCH("Power [kW]",'vehicles specifications'!$B$2:$CK$2,0))</f>
        <v>2.6</v>
      </c>
    </row>
    <row r="236" spans="1:2" x14ac:dyDescent="0.3">
      <c r="A236" s="21" t="s">
        <v>139</v>
      </c>
      <c r="B236" s="21">
        <f>INDEX('vehicles specifications'!$B$3:$CK$86,MATCH(B224,'vehicles specifications'!$A$3:$A$86,0),MATCH("Energy battery mass [kg]",'vehicles specifications'!$B$2:$CK$2,0))</f>
        <v>16</v>
      </c>
    </row>
    <row r="237" spans="1:2" x14ac:dyDescent="0.3">
      <c r="A237" s="21" t="s">
        <v>140</v>
      </c>
      <c r="B237" s="21">
        <f>INDEX('vehicles specifications'!$B$3:$CK$86,MATCH(B224,'vehicles specifications'!$A$3:$A$86,0),MATCH("Electric energy stored [kWh]",'vehicles specifications'!$B$2:$CK$2,0))</f>
        <v>4</v>
      </c>
    </row>
    <row r="238" spans="1:2" x14ac:dyDescent="0.3">
      <c r="A238" s="21" t="s">
        <v>654</v>
      </c>
      <c r="B238" s="21">
        <f>INDEX('vehicles specifications'!$B$3:$CK$86,MATCH(B224,'vehicles specifications'!$A$3:$A$86,0),MATCH("Electric energy available [kWh]",'vehicles specifications'!$B$2:$CK$2,0))</f>
        <v>3.2</v>
      </c>
    </row>
    <row r="239" spans="1:2" x14ac:dyDescent="0.3">
      <c r="A239" s="21" t="s">
        <v>143</v>
      </c>
      <c r="B239" s="2">
        <f>INDEX('vehicles specifications'!$B$3:$CK$86,MATCH(B224,'vehicles specifications'!$A$3:$A$86,0),MATCH("Oxydation energy stored [kWh]",'vehicles specifications'!$B$2:$CK$2,0))</f>
        <v>0</v>
      </c>
    </row>
    <row r="240" spans="1:2" x14ac:dyDescent="0.3">
      <c r="A240" s="21" t="s">
        <v>145</v>
      </c>
      <c r="B240" s="21">
        <f>INDEX('vehicles specifications'!$B$3:$CK$86,MATCH(B224,'vehicles specifications'!$A$3:$A$86,0),MATCH("Fuel mass [kg]",'vehicles specifications'!$B$2:$CK$2,0))</f>
        <v>0</v>
      </c>
    </row>
    <row r="241" spans="1:8" x14ac:dyDescent="0.3">
      <c r="A241" s="21" t="s">
        <v>141</v>
      </c>
      <c r="B241" s="2">
        <f>INDEX('vehicles specifications'!$B$3:$CK$86,MATCH(B224,'vehicles specifications'!$A$3:$A$86,0),MATCH("Range [km]",'vehicles specifications'!$B$2:$CK$2,0))</f>
        <v>86.333453887884261</v>
      </c>
    </row>
    <row r="242" spans="1:8" x14ac:dyDescent="0.3">
      <c r="A242" s="21" t="s">
        <v>142</v>
      </c>
      <c r="B242" s="21" t="str">
        <f>INDEX('vehicles specifications'!$B$3:$CK$86,MATCH(B224,'vehicles specifications'!$A$3:$A$86,0),MATCH("Emission standard",'vehicles specifications'!$B$2:$CK$2,0))</f>
        <v>None</v>
      </c>
    </row>
    <row r="243" spans="1:8" x14ac:dyDescent="0.3">
      <c r="A243" s="21" t="s">
        <v>144</v>
      </c>
      <c r="B243" s="6">
        <f>INDEX('vehicles specifications'!$B$3:$CK$86,MATCH(B224,'vehicles specifications'!$A$3:$A$86,0),MATCH("Lightweighting rate [%]",'vehicles specifications'!$B$2:$CK$2,0))</f>
        <v>0.03</v>
      </c>
    </row>
    <row r="244" spans="1:8" x14ac:dyDescent="0.3">
      <c r="A244" s="21"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"&amp;B228</f>
        <v>Power: 2.6 kW. Lifetime: 33400 km. Annual kilometers: 2553 km. Number of passengers: 1. Curb mass: 99.8 kg. Lightweighting of glider: 3%. Emission standard: None. Service visits throughout lifetime: 1. Range: 86 km. Battery capacity: 4 kWh. Available battery capacity: 3.2 kWh. Battery mass: 16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5" spans="1:8" ht="15.6" x14ac:dyDescent="0.3">
      <c r="A245" s="11" t="s">
        <v>80</v>
      </c>
    </row>
    <row r="246" spans="1:8" x14ac:dyDescent="0.3">
      <c r="A246" s="21" t="s">
        <v>81</v>
      </c>
      <c r="B246" s="21" t="s">
        <v>82</v>
      </c>
      <c r="C246" s="21" t="s">
        <v>73</v>
      </c>
      <c r="D246" s="21" t="s">
        <v>77</v>
      </c>
      <c r="E246" s="21" t="s">
        <v>83</v>
      </c>
      <c r="F246" s="21" t="s">
        <v>75</v>
      </c>
      <c r="G246" s="21" t="s">
        <v>84</v>
      </c>
      <c r="H246" s="21" t="s">
        <v>74</v>
      </c>
    </row>
    <row r="247" spans="1:8" x14ac:dyDescent="0.3">
      <c r="A247" s="12" t="str">
        <f>B219</f>
        <v>transport, Scooter, electric, &lt;4kW, 2030</v>
      </c>
      <c r="B247" s="12">
        <v>1</v>
      </c>
      <c r="C247" s="12" t="str">
        <f>B220</f>
        <v>CH</v>
      </c>
      <c r="D247" s="12" t="s">
        <v>172</v>
      </c>
      <c r="E247" s="12"/>
      <c r="F247" s="12" t="s">
        <v>85</v>
      </c>
      <c r="G247" s="12" t="s">
        <v>86</v>
      </c>
      <c r="H247" s="12" t="str">
        <f>B225</f>
        <v>transport, Scooter, electric, &lt;4kW</v>
      </c>
    </row>
    <row r="248" spans="1:8" x14ac:dyDescent="0.3">
      <c r="A248" s="12" t="str">
        <f>RIGHT(A247,LEN(A247)-11)</f>
        <v>Scooter, electric, &lt;4kW, 2030</v>
      </c>
      <c r="B248" s="12">
        <f>1/B229</f>
        <v>2.9940119760479042E-5</v>
      </c>
      <c r="C248" s="12" t="str">
        <f>B220</f>
        <v>CH</v>
      </c>
      <c r="D248" s="12" t="s">
        <v>77</v>
      </c>
      <c r="E248" s="12"/>
      <c r="F248" s="12" t="s">
        <v>91</v>
      </c>
      <c r="G248" s="12"/>
      <c r="H248" s="12" t="str">
        <f>RIGHT(H247,LEN(H247)-11)</f>
        <v>Scooter, electric, &lt;4kW</v>
      </c>
    </row>
    <row r="249" spans="1:8" x14ac:dyDescent="0.3">
      <c r="A249" s="12" t="str">
        <f>INDEX('ei names mapping'!$B$4:$R$33,MATCH(B221,'ei names mapping'!$A$4:$A$33,0),MATCH(G249,'ei names mapping'!$B$3:$R$3,0))</f>
        <v>road construction</v>
      </c>
      <c r="B249" s="16">
        <f>INDEX('vehicles specifications'!$B$3:$CK$86,MATCH(B224,'vehicles specifications'!$A$3:$A$86,0),MATCH(G249,'vehicles specifications'!$B$2:$CK$2,0))*INDEX('ei names mapping'!$B$137:$BK$220,MATCH(B224,'ei names mapping'!$A$137:$A$220,0),MATCH(G249,'ei names mapping'!$B$136:$BK$136,0))</f>
        <v>9.333597E-5</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s="21" t="s">
        <v>108</v>
      </c>
      <c r="H249" s="12" t="str">
        <f>INDEX('ei names mapping'!$B$71:$BK$100,MATCH(B221,'ei names mapping'!$A$4:$A$33,0),MATCH(G249,'ei names mapping'!$B$3:$BK$3,0))</f>
        <v>road</v>
      </c>
    </row>
    <row r="250" spans="1:8" x14ac:dyDescent="0.3">
      <c r="A250" s="12" t="str">
        <f>INDEX('ei names mapping'!$B$4:$R$33,MATCH(B221,'ei names mapping'!$A$4:$A$33,0),MATCH(G250,'ei names mapping'!$B$3:$R$3,0))</f>
        <v>road maintenance</v>
      </c>
      <c r="B250" s="16">
        <f>INDEX('vehicles specifications'!$B$3:$CK$86,MATCH(B224,'vehicles specifications'!$A$3:$A$86,0),MATCH(G250,'vehicles specifications'!$B$2:$CK$2,0))*INDEX('ei names mapping'!$B$137:$BK$220,MATCH(B224,'ei names mapping'!$A$137:$A$220,0),MATCH(G250,'ei names mapping'!$B$136:$BK$136,0))</f>
        <v>1.2899999999999999E-3</v>
      </c>
      <c r="C250" s="12" t="str">
        <f>INDEX('ei names mapping'!$B$38:$R$67,MATCH(B221,'ei names mapping'!$A$4:$A$33,0),MATCH(G250,'ei names mapping'!$B$3:$R$3,0))</f>
        <v>CH</v>
      </c>
      <c r="D250" s="12" t="str">
        <f>INDEX('ei names mapping'!$B$104:$BK$133,MATCH(B221,'ei names mapping'!$A$4:$A$33,0),MATCH(G250,'ei names mapping'!$B$3:$BK$3,0))</f>
        <v>meter-year</v>
      </c>
      <c r="E250" s="12"/>
      <c r="F250" s="12" t="s">
        <v>91</v>
      </c>
      <c r="G250" s="21" t="s">
        <v>117</v>
      </c>
      <c r="H250" s="12" t="str">
        <f>INDEX('ei names mapping'!$B$71:$BK$100,MATCH(B221,'ei names mapping'!$A$4:$A$33,0),MATCH(G250,'ei names mapping'!$B$3:$BK$3,0))</f>
        <v>road maintenance</v>
      </c>
    </row>
    <row r="251" spans="1:8" x14ac:dyDescent="0.3">
      <c r="A251" s="12" t="str">
        <f>INDEX('ei names mapping'!$B$4:$R$33,MATCH(B221,'ei names mapping'!$A$4:$A$33,0),MATCH(G251,'ei names mapping'!$B$3:$R$3,0))</f>
        <v>market for electricity, low voltage</v>
      </c>
      <c r="B251" s="14">
        <f>INDEX('vehicles specifications'!$B$3:$CK$86,MATCH(B224,'vehicles specifications'!$A$3:$A$86,0),MATCH(G251,'vehicles specifications'!$B$2:$CK$2,0))*INDEX('ei names mapping'!$B$137:$BK$220,MATCH(B224,'ei names mapping'!$A$137:$A$220,0),MATCH(G251,'ei names mapping'!$B$136:$BK$136,0))</f>
        <v>4.0772143838600498E-2</v>
      </c>
      <c r="C251" s="12" t="str">
        <f>INDEX('ei names mapping'!$B$38:$R$67,MATCH($B$3,'ei names mapping'!$A$4:$A$33,0),MATCH(G251,'ei names mapping'!$B$3:$R$3,0))</f>
        <v>CH</v>
      </c>
      <c r="D251" s="12" t="str">
        <f>INDEX('ei names mapping'!$B$104:$R$133,MATCH($B$3,'ei names mapping'!$A$4:$A$33,0),MATCH(G251,'ei names mapping'!$B$3:$R$3,0))</f>
        <v>kilowatt hour</v>
      </c>
      <c r="E251" s="12"/>
      <c r="F251" s="12" t="s">
        <v>91</v>
      </c>
      <c r="G251" s="21" t="s">
        <v>28</v>
      </c>
      <c r="H251" s="12" t="str">
        <f>INDEX('ei names mapping'!$B$71:$R$100,MATCH(B221,'ei names mapping'!$A$4:$A$33,0),MATCH(G251,'ei names mapping'!$B$3:$R$3,0))</f>
        <v>electricity, low voltage</v>
      </c>
    </row>
    <row r="252" spans="1:8" x14ac:dyDescent="0.3">
      <c r="A252" s="12" t="str">
        <f>INDEX('ei names mapping'!$B$4:$R$33,MATCH(B221,'ei names mapping'!$A$4:$A$33,0),MATCH(G252,'ei names mapping'!$B$3:$R$3,0))</f>
        <v>market for maintenance, electric scooter, without battery</v>
      </c>
      <c r="B252" s="16">
        <f>INDEX('vehicles specifications'!$B$3:$CK$86,MATCH(B224,'vehicles specifications'!$A$3:$A$86,0),MATCH(G252,'vehicles specifications'!$B$2:$CK$2,0))*INDEX('ei names mapping'!$B$137:$BK$220,MATCH(B224,'ei names mapping'!$A$137:$A$220,0),MATCH(G252,'ei names mapping'!$B$136:$BK$136,0))</f>
        <v>2.9940119760479042E-5</v>
      </c>
      <c r="C252" s="12" t="str">
        <f>INDEX('ei names mapping'!$B$38:$BK$67,MATCH(B221,'ei names mapping'!$A$4:$A$33,0),MATCH(G252,'ei names mapping'!$B$3:$BK$3,0))</f>
        <v>GLO</v>
      </c>
      <c r="D252" s="12" t="str">
        <f>INDEX('ei names mapping'!$B$104:$BK$133,MATCH(B221,'ei names mapping'!$A$4:$A$33,0),MATCH(G252,'ei names mapping'!$B$3:$BK$3,0))</f>
        <v>unit</v>
      </c>
      <c r="F252" s="12" t="s">
        <v>91</v>
      </c>
      <c r="G252" s="12" t="s">
        <v>123</v>
      </c>
      <c r="H252" s="12" t="str">
        <f>INDEX('ei names mapping'!$B$71:$BK$100,MATCH(B221,'ei names mapping'!$A$4:$A$33,0),MATCH(G252,'ei names mapping'!$B$3:$BK$3,0))</f>
        <v>maintenance, electric scooter, without battery</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s="21"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-6.3939999999999993E-6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s="21"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-3.0894999999999998E-6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s="21"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Scooter, electric, &lt;4kW, 2040</v>
      </c>
    </row>
    <row r="258" spans="1:2" x14ac:dyDescent="0.3">
      <c r="A258" s="21" t="s">
        <v>73</v>
      </c>
      <c r="B258" s="21" t="s">
        <v>37</v>
      </c>
    </row>
    <row r="259" spans="1:2" x14ac:dyDescent="0.3">
      <c r="A259" s="21" t="s">
        <v>87</v>
      </c>
      <c r="B259" s="21" t="s">
        <v>674</v>
      </c>
    </row>
    <row r="260" spans="1:2" x14ac:dyDescent="0.3">
      <c r="A260" s="21" t="s">
        <v>88</v>
      </c>
      <c r="B260" s="12"/>
    </row>
    <row r="261" spans="1:2" x14ac:dyDescent="0.3">
      <c r="A261" s="21" t="s">
        <v>89</v>
      </c>
      <c r="B261" s="12">
        <v>2040</v>
      </c>
    </row>
    <row r="262" spans="1:2" x14ac:dyDescent="0.3">
      <c r="A262" s="21" t="s">
        <v>131</v>
      </c>
      <c r="B262" s="12" t="str">
        <f>B259&amp;" - "&amp;B261&amp;" - "&amp;B258</f>
        <v>Scooter, electric, &lt;4kW - 2040 - CH</v>
      </c>
    </row>
    <row r="263" spans="1:2" x14ac:dyDescent="0.3">
      <c r="A263" s="21" t="s">
        <v>74</v>
      </c>
      <c r="B263" s="12" t="str">
        <f>"transport, "&amp;B259</f>
        <v>transport, Scooter, electric, &lt;4kW</v>
      </c>
    </row>
    <row r="264" spans="1:2" x14ac:dyDescent="0.3">
      <c r="A264" s="21" t="s">
        <v>75</v>
      </c>
      <c r="B264" s="21" t="s">
        <v>76</v>
      </c>
    </row>
    <row r="265" spans="1:2" x14ac:dyDescent="0.3">
      <c r="A265" s="21" t="s">
        <v>77</v>
      </c>
      <c r="B265" s="21" t="s">
        <v>172</v>
      </c>
    </row>
    <row r="266" spans="1:2" x14ac:dyDescent="0.3">
      <c r="A266" s="21" t="s">
        <v>79</v>
      </c>
      <c r="B266" s="21" t="s">
        <v>90</v>
      </c>
    </row>
    <row r="267" spans="1:2" x14ac:dyDescent="0.3">
      <c r="A267" s="21" t="s">
        <v>132</v>
      </c>
      <c r="B267" s="21">
        <f>INDEX('vehicles specifications'!$B$3:$CK$86,MATCH(B262,'vehicles specifications'!$A$3:$A$86,0),MATCH("Lifetime [km]",'vehicles specifications'!$B$2:$CK$2,0))</f>
        <v>33400</v>
      </c>
    </row>
    <row r="268" spans="1:2" x14ac:dyDescent="0.3">
      <c r="A268" s="21" t="s">
        <v>133</v>
      </c>
      <c r="B268" s="21">
        <f>INDEX('vehicles specifications'!$B$3:$CK$86,MATCH(B262,'vehicles specifications'!$A$3:$A$86,0),MATCH("Passengers [unit]",'vehicles specifications'!$B$2:$CK$2,0))</f>
        <v>1</v>
      </c>
    </row>
    <row r="269" spans="1:2" x14ac:dyDescent="0.3">
      <c r="A269" s="21" t="s">
        <v>134</v>
      </c>
      <c r="B269" s="21">
        <f>INDEX('vehicles specifications'!$B$3:$CK$86,MATCH(B262,'vehicles specifications'!$A$3:$A$86,0),MATCH("Servicing [unit]",'vehicles specifications'!$B$2:$CK$2,0))</f>
        <v>1</v>
      </c>
    </row>
    <row r="270" spans="1:2" x14ac:dyDescent="0.3">
      <c r="A270" s="21" t="s">
        <v>135</v>
      </c>
      <c r="B270" s="21">
        <f>INDEX('vehicles specifications'!$B$3:$CK$86,MATCH(B262,'vehicles specifications'!$A$3:$A$86,0),MATCH("Energy battery replacement [unit]",'vehicles specifications'!$B$2:$CK$2,0))</f>
        <v>0.25</v>
      </c>
    </row>
    <row r="271" spans="1:2" x14ac:dyDescent="0.3">
      <c r="A271" s="21" t="s">
        <v>136</v>
      </c>
      <c r="B271" s="21">
        <f>INDEX('vehicles specifications'!$B$3:$CK$86,MATCH(B262,'vehicles specifications'!$A$3:$A$86,0),MATCH("Annual kilometers [km]",'vehicles specifications'!$B$2:$CK$2,0))</f>
        <v>2553</v>
      </c>
    </row>
    <row r="272" spans="1:2" x14ac:dyDescent="0.3">
      <c r="A272" s="21" t="s">
        <v>137</v>
      </c>
      <c r="B272" s="2">
        <f>INDEX('vehicles specifications'!$B$3:$CK$86,MATCH(B262,'vehicles specifications'!$A$3:$A$86,0),MATCH("Curb mass [kg]",'vehicles specifications'!$B$2:$CK$2,0))</f>
        <v>99.75</v>
      </c>
    </row>
    <row r="273" spans="1:8" x14ac:dyDescent="0.3">
      <c r="A273" s="21" t="s">
        <v>138</v>
      </c>
      <c r="B273" s="21">
        <f>INDEX('vehicles specifications'!$B$3:$CK$86,MATCH(B262,'vehicles specifications'!$A$3:$A$86,0),MATCH("Power [kW]",'vehicles specifications'!$B$2:$CK$2,0))</f>
        <v>2.6</v>
      </c>
    </row>
    <row r="274" spans="1:8" x14ac:dyDescent="0.3">
      <c r="A274" s="21" t="s">
        <v>139</v>
      </c>
      <c r="B274" s="21">
        <f>INDEX('vehicles specifications'!$B$3:$CK$86,MATCH(B262,'vehicles specifications'!$A$3:$A$86,0),MATCH("Energy battery mass [kg]",'vehicles specifications'!$B$2:$CK$2,0))</f>
        <v>17.399999999999999</v>
      </c>
    </row>
    <row r="275" spans="1:8" x14ac:dyDescent="0.3">
      <c r="A275" s="21" t="s">
        <v>140</v>
      </c>
      <c r="B275" s="21">
        <f>INDEX('vehicles specifications'!$B$3:$CK$86,MATCH(B262,'vehicles specifications'!$A$3:$A$86,0),MATCH("Electric energy stored [kWh]",'vehicles specifications'!$B$2:$CK$2,0))</f>
        <v>5.8</v>
      </c>
    </row>
    <row r="276" spans="1:8" x14ac:dyDescent="0.3">
      <c r="A276" s="21" t="s">
        <v>654</v>
      </c>
      <c r="B276" s="21">
        <f>INDEX('vehicles specifications'!$B$3:$CK$86,MATCH(B262,'vehicles specifications'!$A$3:$A$86,0),MATCH("Electric energy available [kWh]",'vehicles specifications'!$B$2:$CK$2,0))</f>
        <v>4.6399999999999997</v>
      </c>
    </row>
    <row r="277" spans="1:8" x14ac:dyDescent="0.3">
      <c r="A277" s="21" t="s">
        <v>143</v>
      </c>
      <c r="B277" s="2">
        <f>INDEX('vehicles specifications'!$B$3:$CK$86,MATCH(B262,'vehicles specifications'!$A$3:$A$86,0),MATCH("Oxydation energy stored [kWh]",'vehicles specifications'!$B$2:$CK$2,0))</f>
        <v>0</v>
      </c>
    </row>
    <row r="278" spans="1:8" x14ac:dyDescent="0.3">
      <c r="A278" s="21" t="s">
        <v>145</v>
      </c>
      <c r="B278" s="21">
        <f>INDEX('vehicles specifications'!$B$3:$CK$86,MATCH(B262,'vehicles specifications'!$A$3:$A$86,0),MATCH("Fuel mass [kg]",'vehicles specifications'!$B$2:$CK$2,0))</f>
        <v>0</v>
      </c>
    </row>
    <row r="279" spans="1:8" x14ac:dyDescent="0.3">
      <c r="A279" s="21" t="s">
        <v>141</v>
      </c>
      <c r="B279" s="2">
        <f>INDEX('vehicles specifications'!$B$3:$CK$86,MATCH(B262,'vehicles specifications'!$A$3:$A$86,0),MATCH("Range [km]",'vehicles specifications'!$B$2:$CK$2,0))</f>
        <v>125.18350813743217</v>
      </c>
    </row>
    <row r="280" spans="1:8" x14ac:dyDescent="0.3">
      <c r="A280" s="21" t="s">
        <v>142</v>
      </c>
      <c r="B280" s="21" t="str">
        <f>INDEX('vehicles specifications'!$B$3:$CK$86,MATCH(B262,'vehicles specifications'!$A$3:$A$86,0),MATCH("Emission standard",'vehicles specifications'!$B$2:$CK$2,0))</f>
        <v>None</v>
      </c>
    </row>
    <row r="281" spans="1:8" x14ac:dyDescent="0.3">
      <c r="A281" s="21" t="s">
        <v>144</v>
      </c>
      <c r="B281" s="6">
        <f>INDEX('vehicles specifications'!$B$3:$CK$86,MATCH(B262,'vehicles specifications'!$A$3:$A$86,0),MATCH("Lightweighting rate [%]",'vehicles specifications'!$B$2:$CK$2,0))</f>
        <v>0.05</v>
      </c>
    </row>
    <row r="282" spans="1:8" x14ac:dyDescent="0.3">
      <c r="A282" s="21"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"&amp;B266</f>
        <v>Power: 2.6 kW. Lifetime: 33400 km. Annual kilometers: 2553 km. Number of passengers: 1. Curb mass: 99.8 kg. Lightweighting of glider: 5%. Emission standard: None. Service visits throughout lifetime: 1. Range: 125 km. Battery capacity: 5.8 kWh. Available battery capacity: 4.64 kWh. Battery mass: 17.4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83" spans="1:8" ht="15.6" x14ac:dyDescent="0.3">
      <c r="A283" s="11" t="s">
        <v>80</v>
      </c>
    </row>
    <row r="284" spans="1:8" x14ac:dyDescent="0.3">
      <c r="A284" s="21" t="s">
        <v>81</v>
      </c>
      <c r="B284" s="21" t="s">
        <v>82</v>
      </c>
      <c r="C284" s="21" t="s">
        <v>73</v>
      </c>
      <c r="D284" s="21" t="s">
        <v>77</v>
      </c>
      <c r="E284" s="21" t="s">
        <v>83</v>
      </c>
      <c r="F284" s="21" t="s">
        <v>75</v>
      </c>
      <c r="G284" s="21" t="s">
        <v>84</v>
      </c>
      <c r="H284" s="21" t="s">
        <v>74</v>
      </c>
    </row>
    <row r="285" spans="1:8" x14ac:dyDescent="0.3">
      <c r="A285" s="12" t="str">
        <f>B257</f>
        <v>transport, Scooter, electric, &lt;4kW, 2040</v>
      </c>
      <c r="B285" s="12">
        <v>1</v>
      </c>
      <c r="C285" s="12" t="str">
        <f>B258</f>
        <v>CH</v>
      </c>
      <c r="D285" s="12" t="s">
        <v>172</v>
      </c>
      <c r="E285" s="12"/>
      <c r="F285" s="12" t="s">
        <v>85</v>
      </c>
      <c r="G285" s="12" t="s">
        <v>86</v>
      </c>
      <c r="H285" s="12" t="str">
        <f>B263</f>
        <v>transport, Scooter, electric, &lt;4kW</v>
      </c>
    </row>
    <row r="286" spans="1:8" x14ac:dyDescent="0.3">
      <c r="A286" s="12" t="str">
        <f>RIGHT(A285,LEN(A285)-11)</f>
        <v>Scooter, electric, &lt;4kW, 2040</v>
      </c>
      <c r="B286" s="12">
        <f>1/B267</f>
        <v>2.9940119760479042E-5</v>
      </c>
      <c r="C286" s="12" t="str">
        <f>B258</f>
        <v>CH</v>
      </c>
      <c r="D286" s="12" t="s">
        <v>77</v>
      </c>
      <c r="E286" s="12"/>
      <c r="F286" s="12" t="s">
        <v>91</v>
      </c>
      <c r="G286" s="12"/>
      <c r="H286" s="12" t="str">
        <f>RIGHT(H285,LEN(H285)-11)</f>
        <v>Scooter, electric, &lt;4kW</v>
      </c>
    </row>
    <row r="287" spans="1:8" x14ac:dyDescent="0.3">
      <c r="A287" s="12" t="str">
        <f>INDEX('ei names mapping'!$B$4:$R$33,MATCH(B259,'ei names mapping'!$A$4:$A$33,0),MATCH(G287,'ei names mapping'!$B$3:$R$3,0))</f>
        <v>road construction</v>
      </c>
      <c r="B287" s="16">
        <f>INDEX('vehicles specifications'!$B$3:$CK$86,MATCH(B262,'vehicles specifications'!$A$3:$A$86,0),MATCH(G287,'vehicles specifications'!$B$2:$CK$2,0))*INDEX('ei names mapping'!$B$137:$BK$220,MATCH(B262,'ei names mapping'!$A$137:$A$220,0),MATCH(G287,'ei names mapping'!$B$136:$BK$136,0))</f>
        <v>9.3303749999999996E-5</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s="21" t="s">
        <v>108</v>
      </c>
      <c r="H287" s="12" t="str">
        <f>INDEX('ei names mapping'!$B$71:$BK$100,MATCH(B259,'ei names mapping'!$A$4:$A$33,0),MATCH(G287,'ei names mapping'!$B$3:$BK$3,0))</f>
        <v>road</v>
      </c>
    </row>
    <row r="288" spans="1:8" x14ac:dyDescent="0.3">
      <c r="A288" s="12" t="str">
        <f>INDEX('ei names mapping'!$B$4:$R$33,MATCH(B259,'ei names mapping'!$A$4:$A$33,0),MATCH(G288,'ei names mapping'!$B$3:$R$3,0))</f>
        <v>road maintenance</v>
      </c>
      <c r="B288" s="16">
        <f>INDEX('vehicles specifications'!$B$3:$CK$86,MATCH(B262,'vehicles specifications'!$A$3:$A$86,0),MATCH(G288,'vehicles specifications'!$B$2:$CK$2,0))*INDEX('ei names mapping'!$B$137:$BK$220,MATCH(B262,'ei names mapping'!$A$137:$A$220,0),MATCH(G288,'ei names mapping'!$B$136:$BK$136,0))</f>
        <v>1.2899999999999999E-3</v>
      </c>
      <c r="C288" s="12" t="str">
        <f>INDEX('ei names mapping'!$B$38:$R$67,MATCH(B259,'ei names mapping'!$A$4:$A$33,0),MATCH(G288,'ei names mapping'!$B$3:$R$3,0))</f>
        <v>CH</v>
      </c>
      <c r="D288" s="12" t="str">
        <f>INDEX('ei names mapping'!$B$104:$BK$133,MATCH(B259,'ei names mapping'!$A$4:$A$33,0),MATCH(G288,'ei names mapping'!$B$3:$BK$3,0))</f>
        <v>meter-year</v>
      </c>
      <c r="E288" s="12"/>
      <c r="F288" s="12" t="s">
        <v>91</v>
      </c>
      <c r="G288" s="21" t="s">
        <v>117</v>
      </c>
      <c r="H288" s="12" t="str">
        <f>INDEX('ei names mapping'!$B$71:$BK$100,MATCH(B259,'ei names mapping'!$A$4:$A$33,0),MATCH(G288,'ei names mapping'!$B$3:$BK$3,0))</f>
        <v>road maintenance</v>
      </c>
    </row>
    <row r="289" spans="1:8" x14ac:dyDescent="0.3">
      <c r="A289" s="12" t="str">
        <f>INDEX('ei names mapping'!$B$4:$R$33,MATCH(B259,'ei names mapping'!$A$4:$A$33,0),MATCH(G289,'ei names mapping'!$B$3:$R$3,0))</f>
        <v>market for electricity, low voltage</v>
      </c>
      <c r="B289" s="14">
        <f>INDEX('vehicles specifications'!$B$3:$CK$86,MATCH(B262,'vehicles specifications'!$A$3:$A$86,0),MATCH(G289,'vehicles specifications'!$B$2:$CK$2,0))*INDEX('ei names mapping'!$B$137:$BK$220,MATCH(B262,'ei names mapping'!$A$137:$A$220,0),MATCH(G289,'ei names mapping'!$B$136:$BK$136,0))</f>
        <v>4.0772143838600498E-2</v>
      </c>
      <c r="C289" s="12" t="str">
        <f>INDEX('ei names mapping'!$B$38:$R$67,MATCH($B$3,'ei names mapping'!$A$4:$A$33,0),MATCH(G289,'ei names mapping'!$B$3:$R$3,0))</f>
        <v>CH</v>
      </c>
      <c r="D289" s="12" t="str">
        <f>INDEX('ei names mapping'!$B$104:$R$133,MATCH($B$3,'ei names mapping'!$A$4:$A$33,0),MATCH(G289,'ei names mapping'!$B$3:$R$3,0))</f>
        <v>kilowatt hour</v>
      </c>
      <c r="E289" s="12"/>
      <c r="F289" s="12" t="s">
        <v>91</v>
      </c>
      <c r="G289" s="21" t="s">
        <v>28</v>
      </c>
      <c r="H289" s="12" t="str">
        <f>INDEX('ei names mapping'!$B$71:$R$100,MATCH(B259,'ei names mapping'!$A$4:$A$33,0),MATCH(G289,'ei names mapping'!$B$3:$R$3,0))</f>
        <v>electricity, low voltage</v>
      </c>
    </row>
    <row r="290" spans="1:8" x14ac:dyDescent="0.3">
      <c r="A290" s="12" t="str">
        <f>INDEX('ei names mapping'!$B$4:$R$33,MATCH(B259,'ei names mapping'!$A$4:$A$33,0),MATCH(G290,'ei names mapping'!$B$3:$R$3,0))</f>
        <v>market for maintenance, electric scooter, without battery</v>
      </c>
      <c r="B290" s="16">
        <f>INDEX('vehicles specifications'!$B$3:$CK$86,MATCH(B262,'vehicles specifications'!$A$3:$A$86,0),MATCH(G290,'vehicles specifications'!$B$2:$CK$2,0))*INDEX('ei names mapping'!$B$137:$BK$220,MATCH(B262,'ei names mapping'!$A$137:$A$220,0),MATCH(G290,'ei names mapping'!$B$136:$BK$136,0))</f>
        <v>2.9940119760479042E-5</v>
      </c>
      <c r="C290" s="12" t="str">
        <f>INDEX('ei names mapping'!$B$38:$BK$67,MATCH(B259,'ei names mapping'!$A$4:$A$33,0),MATCH(G290,'ei names mapping'!$B$3:$BK$3,0))</f>
        <v>GLO</v>
      </c>
      <c r="D290" s="12" t="str">
        <f>INDEX('ei names mapping'!$B$104:$BK$133,MATCH(B259,'ei names mapping'!$A$4:$A$33,0),MATCH(G290,'ei names mapping'!$B$3:$BK$3,0))</f>
        <v>unit</v>
      </c>
      <c r="F290" s="12" t="s">
        <v>91</v>
      </c>
      <c r="G290" s="12" t="s">
        <v>123</v>
      </c>
      <c r="H290" s="12" t="str">
        <f>INDEX('ei names mapping'!$B$71:$BK$100,MATCH(B259,'ei names mapping'!$A$4:$A$33,0),MATCH(G290,'ei names mapping'!$B$3:$BK$3,0))</f>
        <v>maintenance, electric scooter, without battery</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s="2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-6.3939999999999993E-6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s="21"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-3.0894999999999998E-6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s="21"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Scooter, electric, &lt;4kW, 2050</v>
      </c>
    </row>
    <row r="296" spans="1:8" x14ac:dyDescent="0.3">
      <c r="A296" s="21" t="s">
        <v>73</v>
      </c>
      <c r="B296" s="21" t="s">
        <v>37</v>
      </c>
    </row>
    <row r="297" spans="1:8" x14ac:dyDescent="0.3">
      <c r="A297" s="21" t="s">
        <v>87</v>
      </c>
      <c r="B297" s="21" t="s">
        <v>674</v>
      </c>
    </row>
    <row r="298" spans="1:8" x14ac:dyDescent="0.3">
      <c r="A298" s="21" t="s">
        <v>88</v>
      </c>
      <c r="B298" s="12"/>
    </row>
    <row r="299" spans="1:8" x14ac:dyDescent="0.3">
      <c r="A299" s="21" t="s">
        <v>89</v>
      </c>
      <c r="B299" s="12">
        <v>2050</v>
      </c>
    </row>
    <row r="300" spans="1:8" x14ac:dyDescent="0.3">
      <c r="A300" s="21" t="s">
        <v>131</v>
      </c>
      <c r="B300" s="12" t="str">
        <f>B297&amp;" - "&amp;B299&amp;" - "&amp;B296</f>
        <v>Scooter, electric, &lt;4kW - 2050 - CH</v>
      </c>
    </row>
    <row r="301" spans="1:8" x14ac:dyDescent="0.3">
      <c r="A301" s="21" t="s">
        <v>74</v>
      </c>
      <c r="B301" s="12" t="str">
        <f>"transport, "&amp;B297</f>
        <v>transport, Scooter, electric, &lt;4kW</v>
      </c>
    </row>
    <row r="302" spans="1:8" x14ac:dyDescent="0.3">
      <c r="A302" s="21" t="s">
        <v>75</v>
      </c>
      <c r="B302" s="21" t="s">
        <v>76</v>
      </c>
    </row>
    <row r="303" spans="1:8" x14ac:dyDescent="0.3">
      <c r="A303" s="21" t="s">
        <v>77</v>
      </c>
      <c r="B303" s="21" t="s">
        <v>172</v>
      </c>
    </row>
    <row r="304" spans="1:8" x14ac:dyDescent="0.3">
      <c r="A304" s="21" t="s">
        <v>79</v>
      </c>
      <c r="B304" s="21" t="s">
        <v>90</v>
      </c>
    </row>
    <row r="305" spans="1:2" x14ac:dyDescent="0.3">
      <c r="A305" s="21" t="s">
        <v>132</v>
      </c>
      <c r="B305" s="21">
        <f>INDEX('vehicles specifications'!$B$3:$CK$86,MATCH(B300,'vehicles specifications'!$A$3:$A$86,0),MATCH("Lifetime [km]",'vehicles specifications'!$B$2:$CK$2,0))</f>
        <v>33400</v>
      </c>
    </row>
    <row r="306" spans="1:2" x14ac:dyDescent="0.3">
      <c r="A306" s="21" t="s">
        <v>133</v>
      </c>
      <c r="B306" s="21">
        <f>INDEX('vehicles specifications'!$B$3:$CK$86,MATCH(B300,'vehicles specifications'!$A$3:$A$86,0),MATCH("Passengers [unit]",'vehicles specifications'!$B$2:$CK$2,0))</f>
        <v>1</v>
      </c>
    </row>
    <row r="307" spans="1:2" x14ac:dyDescent="0.3">
      <c r="A307" s="21" t="s">
        <v>134</v>
      </c>
      <c r="B307" s="21">
        <f>INDEX('vehicles specifications'!$B$3:$CK$86,MATCH(B300,'vehicles specifications'!$A$3:$A$86,0),MATCH("Servicing [unit]",'vehicles specifications'!$B$2:$CK$2,0))</f>
        <v>1</v>
      </c>
    </row>
    <row r="308" spans="1:2" x14ac:dyDescent="0.3">
      <c r="A308" s="21" t="s">
        <v>135</v>
      </c>
      <c r="B308" s="21">
        <f>INDEX('vehicles specifications'!$B$3:$CK$86,MATCH(B300,'vehicles specifications'!$A$3:$A$86,0),MATCH("Energy battery replacement [unit]",'vehicles specifications'!$B$2:$CK$2,0))</f>
        <v>0</v>
      </c>
    </row>
    <row r="309" spans="1:2" x14ac:dyDescent="0.3">
      <c r="A309" s="21" t="s">
        <v>136</v>
      </c>
      <c r="B309" s="21">
        <f>INDEX('vehicles specifications'!$B$3:$CK$86,MATCH(B300,'vehicles specifications'!$A$3:$A$86,0),MATCH("Annual kilometers [km]",'vehicles specifications'!$B$2:$CK$2,0))</f>
        <v>2553</v>
      </c>
    </row>
    <row r="310" spans="1:2" x14ac:dyDescent="0.3">
      <c r="A310" s="21" t="s">
        <v>137</v>
      </c>
      <c r="B310" s="2">
        <f>INDEX('vehicles specifications'!$B$3:$CK$86,MATCH(B300,'vehicles specifications'!$A$3:$A$86,0),MATCH("Curb mass [kg]",'vehicles specifications'!$B$2:$CK$2,0))</f>
        <v>100.09</v>
      </c>
    </row>
    <row r="311" spans="1:2" x14ac:dyDescent="0.3">
      <c r="A311" s="21" t="s">
        <v>138</v>
      </c>
      <c r="B311" s="21">
        <f>INDEX('vehicles specifications'!$B$3:$CK$86,MATCH(B300,'vehicles specifications'!$A$3:$A$86,0),MATCH("Power [kW]",'vehicles specifications'!$B$2:$CK$2,0))</f>
        <v>2.6</v>
      </c>
    </row>
    <row r="312" spans="1:2" x14ac:dyDescent="0.3">
      <c r="A312" s="21" t="s">
        <v>139</v>
      </c>
      <c r="B312" s="21">
        <f>INDEX('vehicles specifications'!$B$3:$CK$86,MATCH(B300,'vehicles specifications'!$A$3:$A$86,0),MATCH("Energy battery mass [kg]",'vehicles specifications'!$B$2:$CK$2,0))</f>
        <v>19.2</v>
      </c>
    </row>
    <row r="313" spans="1:2" x14ac:dyDescent="0.3">
      <c r="A313" s="21" t="s">
        <v>140</v>
      </c>
      <c r="B313" s="21">
        <f>INDEX('vehicles specifications'!$B$3:$CK$86,MATCH(B300,'vehicles specifications'!$A$3:$A$86,0),MATCH("Electric energy stored [kWh]",'vehicles specifications'!$B$2:$CK$2,0))</f>
        <v>8</v>
      </c>
    </row>
    <row r="314" spans="1:2" x14ac:dyDescent="0.3">
      <c r="A314" s="21" t="s">
        <v>654</v>
      </c>
      <c r="B314" s="21">
        <f>INDEX('vehicles specifications'!$B$3:$CK$86,MATCH(B300,'vehicles specifications'!$A$3:$A$86,0),MATCH("Electric energy available [kWh]",'vehicles specifications'!$B$2:$CK$2,0))</f>
        <v>6.4</v>
      </c>
    </row>
    <row r="315" spans="1:2" x14ac:dyDescent="0.3">
      <c r="A315" s="21" t="s">
        <v>143</v>
      </c>
      <c r="B315" s="2">
        <f>INDEX('vehicles specifications'!$B$3:$CK$86,MATCH(B300,'vehicles specifications'!$A$3:$A$86,0),MATCH("Oxydation energy stored [kWh]",'vehicles specifications'!$B$2:$CK$2,0))</f>
        <v>0</v>
      </c>
    </row>
    <row r="316" spans="1:2" x14ac:dyDescent="0.3">
      <c r="A316" s="21" t="s">
        <v>145</v>
      </c>
      <c r="B316" s="21">
        <f>INDEX('vehicles specifications'!$B$3:$CK$86,MATCH(B300,'vehicles specifications'!$A$3:$A$86,0),MATCH("Fuel mass [kg]",'vehicles specifications'!$B$2:$CK$2,0))</f>
        <v>0</v>
      </c>
    </row>
    <row r="317" spans="1:2" x14ac:dyDescent="0.3">
      <c r="A317" s="21" t="s">
        <v>141</v>
      </c>
      <c r="B317" s="2">
        <f>INDEX('vehicles specifications'!$B$3:$CK$86,MATCH(B300,'vehicles specifications'!$A$3:$A$86,0),MATCH("Range [km]",'vehicles specifications'!$B$2:$CK$2,0))</f>
        <v>172.66690777576852</v>
      </c>
    </row>
    <row r="318" spans="1:2" x14ac:dyDescent="0.3">
      <c r="A318" s="21" t="s">
        <v>142</v>
      </c>
      <c r="B318" s="21" t="str">
        <f>INDEX('vehicles specifications'!$B$3:$CK$86,MATCH(B300,'vehicles specifications'!$A$3:$A$86,0),MATCH("Emission standard",'vehicles specifications'!$B$2:$CK$2,0))</f>
        <v>None</v>
      </c>
    </row>
    <row r="319" spans="1:2" x14ac:dyDescent="0.3">
      <c r="A319" s="21" t="s">
        <v>144</v>
      </c>
      <c r="B319" s="6">
        <f>INDEX('vehicles specifications'!$B$3:$CK$86,MATCH(B300,'vehicles specifications'!$A$3:$A$86,0),MATCH("Lightweighting rate [%]",'vehicles specifications'!$B$2:$CK$2,0))</f>
        <v>7.0000000000000007E-2</v>
      </c>
    </row>
    <row r="320" spans="1:2" x14ac:dyDescent="0.3">
      <c r="A320" s="21"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"&amp;B304</f>
        <v>Power: 2.6 kW. Lifetime: 33400 km. Annual kilometers: 2553 km. Number of passengers: 1. Curb mass: 100.1 kg. Lightweighting of glider: 7%. Emission standard: None. Service visits throughout lifetime: 1. Range: 173 km. Battery capacity: 8 kWh. Available battery capacity: 6.4 kWh. Battery mass: 19.2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1" spans="1:8" ht="15.6" x14ac:dyDescent="0.3">
      <c r="A321" s="11" t="s">
        <v>80</v>
      </c>
    </row>
    <row r="322" spans="1:8" x14ac:dyDescent="0.3">
      <c r="A322" s="21" t="s">
        <v>81</v>
      </c>
      <c r="B322" s="21" t="s">
        <v>82</v>
      </c>
      <c r="C322" s="21" t="s">
        <v>73</v>
      </c>
      <c r="D322" s="21" t="s">
        <v>77</v>
      </c>
      <c r="E322" s="21" t="s">
        <v>83</v>
      </c>
      <c r="F322" s="21" t="s">
        <v>75</v>
      </c>
      <c r="G322" s="21" t="s">
        <v>84</v>
      </c>
      <c r="H322" s="21" t="s">
        <v>74</v>
      </c>
    </row>
    <row r="323" spans="1:8" x14ac:dyDescent="0.3">
      <c r="A323" s="12" t="str">
        <f>B295</f>
        <v>transport, Scooter, electric, &lt;4kW, 2050</v>
      </c>
      <c r="B323" s="12">
        <v>1</v>
      </c>
      <c r="C323" s="12" t="str">
        <f>B296</f>
        <v>CH</v>
      </c>
      <c r="D323" s="12" t="s">
        <v>172</v>
      </c>
      <c r="E323" s="12"/>
      <c r="F323" s="12" t="s">
        <v>85</v>
      </c>
      <c r="G323" s="12" t="s">
        <v>86</v>
      </c>
      <c r="H323" s="12" t="str">
        <f>B301</f>
        <v>transport, Scooter, electric, &lt;4kW</v>
      </c>
    </row>
    <row r="324" spans="1:8" x14ac:dyDescent="0.3">
      <c r="A324" s="12" t="str">
        <f>RIGHT(A323,LEN(A323)-11)</f>
        <v>Scooter, electric, &lt;4kW, 2050</v>
      </c>
      <c r="B324" s="12">
        <f>1/B305</f>
        <v>2.9940119760479042E-5</v>
      </c>
      <c r="C324" s="12" t="str">
        <f>B296</f>
        <v>CH</v>
      </c>
      <c r="D324" s="12" t="s">
        <v>77</v>
      </c>
      <c r="E324" s="12"/>
      <c r="F324" s="12" t="s">
        <v>91</v>
      </c>
      <c r="G324" s="12"/>
      <c r="H324" s="12" t="str">
        <f>RIGHT(H323,LEN(H323)-11)</f>
        <v>Scooter, electric, &lt;4kW</v>
      </c>
    </row>
    <row r="325" spans="1:8" x14ac:dyDescent="0.3">
      <c r="A325" s="12" t="str">
        <f>INDEX('ei names mapping'!$B$4:$R$33,MATCH(B297,'ei names mapping'!$A$4:$A$33,0),MATCH(G325,'ei names mapping'!$B$3:$R$3,0))</f>
        <v>road construction</v>
      </c>
      <c r="B325" s="16">
        <f>INDEX('vehicles specifications'!$B$3:$CK$86,MATCH(B300,'vehicles specifications'!$A$3:$A$86,0),MATCH(G325,'vehicles specifications'!$B$2:$CK$2,0))*INDEX('ei names mapping'!$B$137:$BK$220,MATCH(B300,'ei names mapping'!$A$137:$A$220,0),MATCH(G325,'ei names mapping'!$B$136:$BK$136,0))</f>
        <v>9.3486330000000002E-5</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s="21" t="s">
        <v>108</v>
      </c>
      <c r="H325" s="12" t="str">
        <f>INDEX('ei names mapping'!$B$71:$BK$100,MATCH(B297,'ei names mapping'!$A$4:$A$33,0),MATCH(G325,'ei names mapping'!$B$3:$BK$3,0))</f>
        <v>road</v>
      </c>
    </row>
    <row r="326" spans="1:8" x14ac:dyDescent="0.3">
      <c r="A326" s="12" t="str">
        <f>INDEX('ei names mapping'!$B$4:$R$33,MATCH(B297,'ei names mapping'!$A$4:$A$33,0),MATCH(G326,'ei names mapping'!$B$3:$R$3,0))</f>
        <v>road maintenance</v>
      </c>
      <c r="B326" s="16">
        <f>INDEX('vehicles specifications'!$B$3:$CK$86,MATCH(B300,'vehicles specifications'!$A$3:$A$86,0),MATCH(G326,'vehicles specifications'!$B$2:$CK$2,0))*INDEX('ei names mapping'!$B$137:$BK$220,MATCH(B300,'ei names mapping'!$A$137:$A$220,0),MATCH(G326,'ei names mapping'!$B$136:$BK$136,0))</f>
        <v>1.2899999999999999E-3</v>
      </c>
      <c r="C326" s="12" t="str">
        <f>INDEX('ei names mapping'!$B$38:$R$67,MATCH(B297,'ei names mapping'!$A$4:$A$33,0),MATCH(G326,'ei names mapping'!$B$3:$R$3,0))</f>
        <v>CH</v>
      </c>
      <c r="D326" s="12" t="str">
        <f>INDEX('ei names mapping'!$B$104:$BK$133,MATCH(B297,'ei names mapping'!$A$4:$A$33,0),MATCH(G326,'ei names mapping'!$B$3:$BK$3,0))</f>
        <v>meter-year</v>
      </c>
      <c r="E326" s="12"/>
      <c r="F326" s="12" t="s">
        <v>91</v>
      </c>
      <c r="G326" s="21" t="s">
        <v>117</v>
      </c>
      <c r="H326" s="12" t="str">
        <f>INDEX('ei names mapping'!$B$71:$BK$100,MATCH(B297,'ei names mapping'!$A$4:$A$33,0),MATCH(G326,'ei names mapping'!$B$3:$BK$3,0))</f>
        <v>road maintenance</v>
      </c>
    </row>
    <row r="327" spans="1:8" x14ac:dyDescent="0.3">
      <c r="A327" s="12" t="str">
        <f>INDEX('ei names mapping'!$B$4:$R$33,MATCH(B297,'ei names mapping'!$A$4:$A$33,0),MATCH(G327,'ei names mapping'!$B$3:$R$3,0))</f>
        <v>market for electricity, low voltage</v>
      </c>
      <c r="B327" s="14">
        <f>INDEX('vehicles specifications'!$B$3:$CK$86,MATCH(B300,'vehicles specifications'!$A$3:$A$86,0),MATCH(G327,'vehicles specifications'!$B$2:$CK$2,0))*INDEX('ei names mapping'!$B$137:$BK$220,MATCH(B300,'ei names mapping'!$A$137:$A$220,0),MATCH(G327,'ei names mapping'!$B$136:$BK$136,0))</f>
        <v>4.0772143838600498E-2</v>
      </c>
      <c r="C327" s="12" t="str">
        <f>INDEX('ei names mapping'!$B$38:$R$67,MATCH($B$3,'ei names mapping'!$A$4:$A$33,0),MATCH(G327,'ei names mapping'!$B$3:$R$3,0))</f>
        <v>CH</v>
      </c>
      <c r="D327" s="12" t="str">
        <f>INDEX('ei names mapping'!$B$104:$R$133,MATCH($B$3,'ei names mapping'!$A$4:$A$33,0),MATCH(G327,'ei names mapping'!$B$3:$R$3,0))</f>
        <v>kilowatt hour</v>
      </c>
      <c r="E327" s="12"/>
      <c r="F327" s="12" t="s">
        <v>91</v>
      </c>
      <c r="G327" s="21" t="s">
        <v>28</v>
      </c>
      <c r="H327" s="12" t="str">
        <f>INDEX('ei names mapping'!$B$71:$R$100,MATCH(B297,'ei names mapping'!$A$4:$A$33,0),MATCH(G327,'ei names mapping'!$B$3:$R$3,0))</f>
        <v>electricity, low voltage</v>
      </c>
    </row>
    <row r="328" spans="1:8" x14ac:dyDescent="0.3">
      <c r="A328" s="12" t="str">
        <f>INDEX('ei names mapping'!$B$4:$R$33,MATCH(B297,'ei names mapping'!$A$4:$A$33,0),MATCH(G328,'ei names mapping'!$B$3:$R$3,0))</f>
        <v>market for maintenance, electric scooter, without battery</v>
      </c>
      <c r="B328" s="16">
        <f>INDEX('vehicles specifications'!$B$3:$CK$86,MATCH(B300,'vehicles specifications'!$A$3:$A$86,0),MATCH(G328,'vehicles specifications'!$B$2:$CK$2,0))*INDEX('ei names mapping'!$B$137:$BK$220,MATCH(B300,'ei names mapping'!$A$137:$A$220,0),MATCH(G328,'ei names mapping'!$B$136:$BK$136,0))</f>
        <v>2.9940119760479042E-5</v>
      </c>
      <c r="C328" s="12" t="str">
        <f>INDEX('ei names mapping'!$B$38:$BK$67,MATCH(B297,'ei names mapping'!$A$4:$A$33,0),MATCH(G328,'ei names mapping'!$B$3:$BK$3,0))</f>
        <v>GLO</v>
      </c>
      <c r="D328" s="12" t="str">
        <f>INDEX('ei names mapping'!$B$104:$BK$133,MATCH(B297,'ei names mapping'!$A$4:$A$33,0),MATCH(G328,'ei names mapping'!$B$3:$BK$3,0))</f>
        <v>unit</v>
      </c>
      <c r="F328" s="12" t="s">
        <v>91</v>
      </c>
      <c r="G328" s="12" t="s">
        <v>123</v>
      </c>
      <c r="H328" s="12" t="str">
        <f>INDEX('ei names mapping'!$B$71:$BK$100,MATCH(B297,'ei names mapping'!$A$4:$A$33,0),MATCH(G328,'ei names mapping'!$B$3:$BK$3,0))</f>
        <v>maintenance, electric scooter, without battery</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s="21"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-6.3939999999999993E-6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s="21"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-3.0894999999999998E-6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s="21" t="s">
        <v>31</v>
      </c>
      <c r="H331" s="12" t="str">
        <f>INDEX('ei names mapping'!$B$71:$BK$100,MATCH(B297,'ei names mapping'!$A$4:$A$33,0),MATCH(G331,'ei names mapping'!$B$3:$BK$3,0))</f>
        <v>brake wear emissions, passenger car</v>
      </c>
    </row>
    <row r="333" spans="1:8" ht="15.6" x14ac:dyDescent="0.3">
      <c r="A333" s="11" t="s">
        <v>72</v>
      </c>
      <c r="B333" s="9" t="str">
        <f>"transport, "&amp;B335&amp;", "&amp;B337&amp;", label-certified electricity"</f>
        <v>transport, Scooter, electric, &lt;4kW, 2020, label-certified electricity</v>
      </c>
    </row>
    <row r="334" spans="1:8" x14ac:dyDescent="0.3">
      <c r="A334" s="21" t="s">
        <v>73</v>
      </c>
      <c r="B334" s="21" t="s">
        <v>37</v>
      </c>
    </row>
    <row r="335" spans="1:8" x14ac:dyDescent="0.3">
      <c r="A335" s="21" t="s">
        <v>87</v>
      </c>
      <c r="B335" s="21" t="s">
        <v>674</v>
      </c>
    </row>
    <row r="336" spans="1:8" x14ac:dyDescent="0.3">
      <c r="A336" s="21" t="s">
        <v>88</v>
      </c>
      <c r="B336" s="12"/>
    </row>
    <row r="337" spans="1:2" x14ac:dyDescent="0.3">
      <c r="A337" s="21" t="s">
        <v>89</v>
      </c>
      <c r="B337" s="12">
        <v>2020</v>
      </c>
    </row>
    <row r="338" spans="1:2" x14ac:dyDescent="0.3">
      <c r="A338" s="21" t="s">
        <v>131</v>
      </c>
      <c r="B338" s="12" t="str">
        <f>B335&amp;" - "&amp;B337&amp;" - "&amp;B334</f>
        <v>Scooter, electric, &lt;4kW - 2020 - CH</v>
      </c>
    </row>
    <row r="339" spans="1:2" x14ac:dyDescent="0.3">
      <c r="A339" s="21" t="s">
        <v>74</v>
      </c>
      <c r="B339" s="12" t="str">
        <f>"transport, "&amp;B335</f>
        <v>transport, Scooter, electric, &lt;4kW</v>
      </c>
    </row>
    <row r="340" spans="1:2" x14ac:dyDescent="0.3">
      <c r="A340" s="21" t="s">
        <v>75</v>
      </c>
      <c r="B340" s="21" t="s">
        <v>76</v>
      </c>
    </row>
    <row r="341" spans="1:2" x14ac:dyDescent="0.3">
      <c r="A341" s="21" t="s">
        <v>77</v>
      </c>
      <c r="B341" s="21" t="s">
        <v>172</v>
      </c>
    </row>
    <row r="342" spans="1:2" x14ac:dyDescent="0.3">
      <c r="A342" s="21" t="s">
        <v>79</v>
      </c>
      <c r="B342" s="21" t="s">
        <v>90</v>
      </c>
    </row>
    <row r="343" spans="1:2" x14ac:dyDescent="0.3">
      <c r="A343" s="21" t="s">
        <v>132</v>
      </c>
      <c r="B343" s="21">
        <f>INDEX('vehicles specifications'!$B$3:$CK$86,MATCH(B338,'vehicles specifications'!$A$3:$A$86,0),MATCH("Lifetime [km]",'vehicles specifications'!$B$2:$CK$2,0))</f>
        <v>33400</v>
      </c>
    </row>
    <row r="344" spans="1:2" x14ac:dyDescent="0.3">
      <c r="A344" s="21" t="s">
        <v>133</v>
      </c>
      <c r="B344" s="21">
        <f>INDEX('vehicles specifications'!$B$3:$CK$86,MATCH(B338,'vehicles specifications'!$A$3:$A$86,0),MATCH("Passengers [unit]",'vehicles specifications'!$B$2:$CK$2,0))</f>
        <v>1</v>
      </c>
    </row>
    <row r="345" spans="1:2" x14ac:dyDescent="0.3">
      <c r="A345" s="21" t="s">
        <v>134</v>
      </c>
      <c r="B345" s="21">
        <f>INDEX('vehicles specifications'!$B$3:$CK$86,MATCH(B338,'vehicles specifications'!$A$3:$A$86,0),MATCH("Servicing [unit]",'vehicles specifications'!$B$2:$CK$2,0))</f>
        <v>1</v>
      </c>
    </row>
    <row r="346" spans="1:2" x14ac:dyDescent="0.3">
      <c r="A346" s="21" t="s">
        <v>135</v>
      </c>
      <c r="B346" s="21">
        <f>INDEX('vehicles specifications'!$B$3:$CK$86,MATCH(B338,'vehicles specifications'!$A$3:$A$86,0),MATCH("Energy battery replacement [unit]",'vehicles specifications'!$B$2:$CK$2,0))</f>
        <v>1</v>
      </c>
    </row>
    <row r="347" spans="1:2" x14ac:dyDescent="0.3">
      <c r="A347" s="21" t="s">
        <v>136</v>
      </c>
      <c r="B347" s="21">
        <f>INDEX('vehicles specifications'!$B$3:$CK$86,MATCH(B338,'vehicles specifications'!$A$3:$A$86,0),MATCH("Annual kilometers [km]",'vehicles specifications'!$B$2:$CK$2,0))</f>
        <v>2553</v>
      </c>
    </row>
    <row r="348" spans="1:2" x14ac:dyDescent="0.3">
      <c r="A348" s="21" t="s">
        <v>137</v>
      </c>
      <c r="B348" s="2">
        <f>INDEX('vehicles specifications'!$B$3:$CK$86,MATCH(B338,'vehicles specifications'!$A$3:$A$86,0),MATCH("Curb mass [kg]",'vehicles specifications'!$B$2:$CK$2,0))</f>
        <v>99.8</v>
      </c>
    </row>
    <row r="349" spans="1:2" x14ac:dyDescent="0.3">
      <c r="A349" s="21" t="s">
        <v>138</v>
      </c>
      <c r="B349" s="21">
        <f>INDEX('vehicles specifications'!$B$3:$CK$86,MATCH(B338,'vehicles specifications'!$A$3:$A$86,0),MATCH("Power [kW]",'vehicles specifications'!$B$2:$CK$2,0))</f>
        <v>2.6</v>
      </c>
    </row>
    <row r="350" spans="1:2" x14ac:dyDescent="0.3">
      <c r="A350" s="21" t="s">
        <v>139</v>
      </c>
      <c r="B350" s="21">
        <f>INDEX('vehicles specifications'!$B$3:$CK$86,MATCH(B338,'vehicles specifications'!$A$3:$A$86,0),MATCH("Energy battery mass [kg]",'vehicles specifications'!$B$2:$CK$2,0))</f>
        <v>13.799999999999997</v>
      </c>
    </row>
    <row r="351" spans="1:2" x14ac:dyDescent="0.3">
      <c r="A351" s="21" t="s">
        <v>140</v>
      </c>
      <c r="B351" s="21">
        <f>INDEX('vehicles specifications'!$B$3:$CK$86,MATCH(B338,'vehicles specifications'!$A$3:$A$86,0),MATCH("Electric energy stored [kWh]",'vehicles specifications'!$B$2:$CK$2,0))</f>
        <v>2.2999999999999998</v>
      </c>
    </row>
    <row r="352" spans="1:2" x14ac:dyDescent="0.3">
      <c r="A352" s="21" t="s">
        <v>654</v>
      </c>
      <c r="B352" s="21">
        <f>INDEX('vehicles specifications'!$B$3:$CK$86,MATCH(B338,'vehicles specifications'!$A$3:$A$86,0),MATCH("Electric energy available [kWh]",'vehicles specifications'!$B$2:$CK$2,0))</f>
        <v>1.8399999999999999</v>
      </c>
    </row>
    <row r="353" spans="1:8" x14ac:dyDescent="0.3">
      <c r="A353" s="21" t="s">
        <v>143</v>
      </c>
      <c r="B353" s="2">
        <f>INDEX('vehicles specifications'!$B$3:$CK$86,MATCH(B338,'vehicles specifications'!$A$3:$A$86,0),MATCH("Oxydation energy stored [kWh]",'vehicles specifications'!$B$2:$CK$2,0))</f>
        <v>0</v>
      </c>
    </row>
    <row r="354" spans="1:8" x14ac:dyDescent="0.3">
      <c r="A354" s="21" t="s">
        <v>145</v>
      </c>
      <c r="B354" s="21">
        <f>INDEX('vehicles specifications'!$B$3:$CK$86,MATCH(B338,'vehicles specifications'!$A$3:$A$86,0),MATCH("Fuel mass [kg]",'vehicles specifications'!$B$2:$CK$2,0))</f>
        <v>0</v>
      </c>
    </row>
    <row r="355" spans="1:8" x14ac:dyDescent="0.3">
      <c r="A355" s="21" t="s">
        <v>141</v>
      </c>
      <c r="B355" s="2">
        <f>INDEX('vehicles specifications'!$B$3:$CK$86,MATCH(B338,'vehicles specifications'!$A$3:$A$86,0),MATCH("Range [km]",'vehicles specifications'!$B$2:$CK$2,0))</f>
        <v>49.641735985533444</v>
      </c>
    </row>
    <row r="356" spans="1:8" x14ac:dyDescent="0.3">
      <c r="A356" s="21" t="s">
        <v>142</v>
      </c>
      <c r="B356" s="21" t="str">
        <f>INDEX('vehicles specifications'!$B$3:$CK$86,MATCH(B338,'vehicles specifications'!$A$3:$A$86,0),MATCH("Emission standard",'vehicles specifications'!$B$2:$CK$2,0))</f>
        <v>None</v>
      </c>
    </row>
    <row r="357" spans="1:8" x14ac:dyDescent="0.3">
      <c r="A357" s="21" t="s">
        <v>144</v>
      </c>
      <c r="B357" s="6">
        <f>INDEX('vehicles specifications'!$B$3:$CK$86,MATCH(B338,'vehicles specifications'!$A$3:$A$86,0),MATCH("Lightweighting rate [%]",'vehicles specifications'!$B$2:$CK$2,0))</f>
        <v>0</v>
      </c>
    </row>
    <row r="358" spans="1:8" x14ac:dyDescent="0.3">
      <c r="A358" s="21" t="s">
        <v>84</v>
      </c>
      <c r="B358" s="21" t="str">
        <f>"Power: "&amp;B349&amp;" kW. Lifetime: "&amp;B343&amp;" km. Annual kilometers: "&amp;B347&amp;" km. Number of passengers: "&amp;B344&amp;". Curb mass: "&amp;ROUND(B348,1)&amp;" kg. Lightweighting of glider: "&amp;ROUND(B357*100,0)&amp;"%. Emission standard: "&amp;B356&amp;". Service visits throughout lifetime: "&amp;ROUND(B345,1)&amp;". Range: "&amp;ROUND(B355,0)&amp;" km. Battery capacity: "&amp;ROUND(B351,1)&amp;" kWh. Available battery capacity: "&amp;B352&amp;" kWh. Battery mass: "&amp;ROUND(B350,1)&amp; " kg. Battery replacement throughout lifetime: "&amp;ROUND(B346,1)&amp;". Fuel tank capacity: "&amp;ROUND(B353,1)&amp;" kWh. Fuel mass: "&amp;ROUND(B354,1)&amp;" kg. Documentation: "&amp;Readmefirst!$B$2&amp;", "&amp;Readmefirst!$B$3&amp;". "&amp;B342</f>
        <v>Power: 2.6 kW. Lifetime: 33400 km. Annual kilometers: 2553 km. Number of passengers: 1. Curb mass: 99.8 kg. Lightweighting of glider: 0%. Emission standard: None. Service visits throughout lifetime: 1. Range: 50 km. Battery capacity: 2.3 kWh. Available battery capacity: 1.84 kWh. Battery mass: 13.8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9" spans="1:8" ht="15.6" x14ac:dyDescent="0.3">
      <c r="A359" s="11" t="s">
        <v>80</v>
      </c>
    </row>
    <row r="360" spans="1:8" x14ac:dyDescent="0.3">
      <c r="A360" s="21" t="s">
        <v>81</v>
      </c>
      <c r="B360" s="21" t="s">
        <v>82</v>
      </c>
      <c r="C360" s="21" t="s">
        <v>73</v>
      </c>
      <c r="D360" s="21" t="s">
        <v>77</v>
      </c>
      <c r="E360" s="21" t="s">
        <v>83</v>
      </c>
      <c r="F360" s="21" t="s">
        <v>75</v>
      </c>
      <c r="G360" s="21" t="s">
        <v>84</v>
      </c>
      <c r="H360" s="21" t="s">
        <v>74</v>
      </c>
    </row>
    <row r="361" spans="1:8" x14ac:dyDescent="0.3">
      <c r="A361" s="12" t="str">
        <f>B333</f>
        <v>transport, Scooter, electric, &lt;4kW, 2020, label-certified electricity</v>
      </c>
      <c r="B361" s="12">
        <v>1</v>
      </c>
      <c r="C361" s="12" t="str">
        <f>B334</f>
        <v>CH</v>
      </c>
      <c r="D361" s="12" t="s">
        <v>172</v>
      </c>
      <c r="E361" s="12"/>
      <c r="F361" s="12" t="s">
        <v>85</v>
      </c>
      <c r="G361" s="12" t="s">
        <v>86</v>
      </c>
      <c r="H361" s="12" t="str">
        <f>B339</f>
        <v>transport, Scooter, electric, &lt;4kW</v>
      </c>
    </row>
    <row r="362" spans="1:8" x14ac:dyDescent="0.3">
      <c r="A362" s="12" t="str">
        <f>B335&amp;", "&amp;B337</f>
        <v>Scooter, electric, &lt;4kW, 2020</v>
      </c>
      <c r="B362" s="15">
        <f>1/B343</f>
        <v>2.9940119760479042E-5</v>
      </c>
      <c r="C362" s="12" t="str">
        <f>B334</f>
        <v>CH</v>
      </c>
      <c r="D362" s="12" t="s">
        <v>77</v>
      </c>
      <c r="E362" s="12"/>
      <c r="F362" s="12" t="s">
        <v>91</v>
      </c>
      <c r="G362" s="12"/>
      <c r="H362" s="12" t="str">
        <f>RIGHT(H361,LEN(H361)-11)</f>
        <v>Scooter, electric, &lt;4kW</v>
      </c>
    </row>
    <row r="363" spans="1:8" x14ac:dyDescent="0.3">
      <c r="A363" s="12" t="str">
        <f>INDEX('ei names mapping'!$B$4:$R$33,MATCH(B335,'ei names mapping'!$A$4:$A$33,0),MATCH(G363,'ei names mapping'!$B$3:$R$3,0))</f>
        <v>road construction</v>
      </c>
      <c r="B363" s="16">
        <f>INDEX('vehicles specifications'!$B$3:$CK$86,MATCH(B338,'vehicles specifications'!$A$3:$A$86,0),MATCH(G363,'vehicles specifications'!$B$2:$CK$2,0))*INDEX('ei names mapping'!$B$137:$BK$220,MATCH(B338,'ei names mapping'!$A$137:$A$220,0),MATCH(G363,'ei names mapping'!$B$136:$BK$136,0))</f>
        <v>9.3330600000000004E-5</v>
      </c>
      <c r="C363" s="12" t="str">
        <f>INDEX('ei names mapping'!$B$38:$R$67,MATCH(B335,'ei names mapping'!$A$4:$A$33,0),MATCH(G363,'ei names mapping'!$B$3:$R$3,0))</f>
        <v>CH</v>
      </c>
      <c r="D363" s="12" t="str">
        <f>INDEX('ei names mapping'!$B$104:$BK$133,MATCH(B335,'ei names mapping'!$A$4:$A$33,0),MATCH(G363,'ei names mapping'!$B$3:$BK$3,0))</f>
        <v>meter-year</v>
      </c>
      <c r="E363" s="12"/>
      <c r="F363" s="12" t="s">
        <v>91</v>
      </c>
      <c r="G363" s="21" t="s">
        <v>108</v>
      </c>
      <c r="H363" s="12" t="str">
        <f>INDEX('ei names mapping'!$B$71:$BK$100,MATCH(B335,'ei names mapping'!$A$4:$A$33,0),MATCH(G363,'ei names mapping'!$B$3:$BK$3,0))</f>
        <v>road</v>
      </c>
    </row>
    <row r="364" spans="1:8" x14ac:dyDescent="0.3">
      <c r="A364" s="12" t="str">
        <f>INDEX('ei names mapping'!$B$4:$R$33,MATCH(B335,'ei names mapping'!$A$4:$A$33,0),MATCH(G364,'ei names mapping'!$B$3:$R$3,0))</f>
        <v>road maintenance</v>
      </c>
      <c r="B364" s="16">
        <f>INDEX('vehicles specifications'!$B$3:$CK$86,MATCH(B338,'vehicles specifications'!$A$3:$A$86,0),MATCH(G364,'vehicles specifications'!$B$2:$CK$2,0))*INDEX('ei names mapping'!$B$137:$BK$220,MATCH(B338,'ei names mapping'!$A$137:$A$220,0),MATCH(G364,'ei names mapping'!$B$136:$BK$136,0))</f>
        <v>1.2899999999999999E-3</v>
      </c>
      <c r="C364" s="12" t="str">
        <f>INDEX('ei names mapping'!$B$38:$R$67,MATCH(B335,'ei names mapping'!$A$4:$A$33,0),MATCH(G364,'ei names mapping'!$B$3:$R$3,0))</f>
        <v>CH</v>
      </c>
      <c r="D364" s="12" t="str">
        <f>INDEX('ei names mapping'!$B$104:$BK$133,MATCH(B335,'ei names mapping'!$A$4:$A$33,0),MATCH(G364,'ei names mapping'!$B$3:$BK$3,0))</f>
        <v>meter-year</v>
      </c>
      <c r="E364" s="12"/>
      <c r="F364" s="12" t="s">
        <v>91</v>
      </c>
      <c r="G364" s="21" t="s">
        <v>117</v>
      </c>
      <c r="H364" s="12" t="str">
        <f>INDEX('ei names mapping'!$B$71:$BK$100,MATCH(B335,'ei names mapping'!$A$4:$A$33,0),MATCH(G364,'ei names mapping'!$B$3:$BK$3,0))</f>
        <v>road maintenance</v>
      </c>
    </row>
    <row r="365" spans="1:8" x14ac:dyDescent="0.3">
      <c r="A365" s="12" t="s">
        <v>114</v>
      </c>
      <c r="B365" s="14">
        <f>INDEX('vehicles specifications'!$B$3:$CK$86,MATCH(B338,'vehicles specifications'!$A$3:$A$86,0),MATCH(G365,'vehicles specifications'!$B$2:$CK$2,0))*INDEX('ei names mapping'!$B$137:$BK$220,MATCH(B338,'ei names mapping'!$A$137:$A$220,0),MATCH(G365,'ei names mapping'!$B$136:$BK$136,0))</f>
        <v>4.0772143838600498E-2</v>
      </c>
      <c r="C365" s="12" t="str">
        <f>INDEX('ei names mapping'!$B$38:$R$67,MATCH($B$3,'ei names mapping'!$A$4:$A$33,0),MATCH(G365,'ei names mapping'!$B$3:$R$3,0))</f>
        <v>CH</v>
      </c>
      <c r="D365" s="12" t="str">
        <f>INDEX('ei names mapping'!$B$104:$R$133,MATCH($B$3,'ei names mapping'!$A$4:$A$33,0),MATCH(G365,'ei names mapping'!$B$3:$R$3,0))</f>
        <v>kilowatt hour</v>
      </c>
      <c r="E365" s="12"/>
      <c r="F365" s="12" t="s">
        <v>91</v>
      </c>
      <c r="G365" s="21" t="s">
        <v>28</v>
      </c>
      <c r="H365" s="12" t="s">
        <v>116</v>
      </c>
    </row>
    <row r="366" spans="1:8" x14ac:dyDescent="0.3">
      <c r="A366" s="12" t="str">
        <f>INDEX('ei names mapping'!$B$4:$R$33,MATCH(B335,'ei names mapping'!$A$4:$A$33,0),MATCH(G366,'ei names mapping'!$B$3:$R$3,0))</f>
        <v>market for maintenance, electric scooter, without battery</v>
      </c>
      <c r="B366" s="16">
        <f>INDEX('vehicles specifications'!$B$3:$CK$86,MATCH(B338,'vehicles specifications'!$A$3:$A$86,0),MATCH(G366,'vehicles specifications'!$B$2:$CK$2,0))*INDEX('ei names mapping'!$B$137:$BK$220,MATCH(B338,'ei names mapping'!$A$137:$A$220,0),MATCH(G366,'ei names mapping'!$B$136:$BK$136,0))</f>
        <v>2.9940119760479042E-5</v>
      </c>
      <c r="C366" s="12" t="str">
        <f>INDEX('ei names mapping'!$B$38:$BK$67,MATCH(B335,'ei names mapping'!$A$4:$A$33,0),MATCH(G366,'ei names mapping'!$B$3:$BK$3,0))</f>
        <v>GLO</v>
      </c>
      <c r="D366" s="12" t="str">
        <f>INDEX('ei names mapping'!$B$104:$BK$133,MATCH(B335,'ei names mapping'!$A$4:$A$33,0),MATCH(G366,'ei names mapping'!$B$3:$BK$3,0))</f>
        <v>unit</v>
      </c>
      <c r="F366" s="12" t="s">
        <v>91</v>
      </c>
      <c r="G366" s="12" t="s">
        <v>123</v>
      </c>
      <c r="H366" s="12" t="str">
        <f>INDEX('ei names mapping'!$B$71:$BK$100,MATCH(B335,'ei names mapping'!$A$4:$A$33,0),MATCH(G366,'ei names mapping'!$B$3:$BK$3,0))</f>
        <v>maintenance, electric scooter, without battery</v>
      </c>
    </row>
    <row r="367" spans="1:8" x14ac:dyDescent="0.3">
      <c r="A367" s="12" t="str">
        <f>INDEX('ei names mapping'!$B$4:$BK$33,MATCH(B335,'ei names mapping'!$A$4:$A$33,0),MATCH(G367,'ei names mapping'!$B$3:$BK$3,0))</f>
        <v>treatment of road wear emissions, passenger car</v>
      </c>
      <c r="B367" s="16">
        <f>INDEX('vehicles specifications'!$B$3:$CK$86,MATCH(B338,'vehicles specifications'!$A$3:$A$86,0),MATCH(G367,'vehicles specifications'!$B$2:$CK$2,0))*INDEX('ei names mapping'!$B$137:$BK$220,MATCH(B338,'ei names mapping'!$A$137:$A$220,0),MATCH(G367,'ei names mapping'!$B$136:$BK$136,0))</f>
        <v>-6.0000000000000002E-6</v>
      </c>
      <c r="C367" s="12" t="str">
        <f>INDEX('ei names mapping'!$B$38:$BK$67,MATCH(B335,'ei names mapping'!$A$4:$A$33,0),MATCH(G367,'ei names mapping'!$B$3:$BK$3,0))</f>
        <v>RER</v>
      </c>
      <c r="D367" s="12" t="str">
        <f>INDEX('ei names mapping'!$B$104:$BK$133,MATCH(B335,'ei names mapping'!$A$4:$A$33,0),MATCH(G367,'ei names mapping'!$B$3:$BK$3,0))</f>
        <v>kilogram</v>
      </c>
      <c r="E367" s="12"/>
      <c r="F367" s="12" t="s">
        <v>91</v>
      </c>
      <c r="G367" s="21" t="s">
        <v>29</v>
      </c>
      <c r="H367" s="12" t="str">
        <f>INDEX('ei names mapping'!$B$71:$BK$100,MATCH(B335,'ei names mapping'!$A$4:$A$33,0),MATCH(G367,'ei names mapping'!$B$3:$BK$3,0))</f>
        <v>road wear emissions, passenger car</v>
      </c>
    </row>
    <row r="368" spans="1:8" x14ac:dyDescent="0.3">
      <c r="A368" s="12" t="str">
        <f>INDEX('ei names mapping'!$B$4:$BK$33,MATCH(B335,'ei names mapping'!$A$4:$A$33,0),MATCH(G368,'ei names mapping'!$B$3:$BK$3,0))</f>
        <v>treatment of tyre wear emissions, passenger car</v>
      </c>
      <c r="B368" s="16">
        <f>INDEX('vehicles specifications'!$B$3:$CK$86,MATCH(B338,'vehicles specifications'!$A$3:$A$86,0),MATCH(G368,'vehicles specifications'!$B$2:$CK$2,0))*INDEX('ei names mapping'!$B$137:$BK$220,MATCH(B338,'ei names mapping'!$A$137:$A$220,0),MATCH(G368,'ei names mapping'!$B$136:$BK$136,0))</f>
        <v>-6.3939999999999993E-6</v>
      </c>
      <c r="C368" s="12" t="str">
        <f>INDEX('ei names mapping'!$B$38:$BK$67,MATCH(B335,'ei names mapping'!$A$4:$A$33,0),MATCH(G368,'ei names mapping'!$B$3:$BK$3,0))</f>
        <v>RER</v>
      </c>
      <c r="D368" s="12" t="str">
        <f>INDEX('ei names mapping'!$B$104:$BK$133,MATCH(B335,'ei names mapping'!$A$4:$A$33,0),MATCH(G368,'ei names mapping'!$B$3:$BK$3,0))</f>
        <v>kilogram</v>
      </c>
      <c r="E368" s="12"/>
      <c r="F368" s="12" t="s">
        <v>91</v>
      </c>
      <c r="G368" s="21" t="s">
        <v>30</v>
      </c>
      <c r="H368" s="12" t="str">
        <f>INDEX('ei names mapping'!$B$71:$BK$100,MATCH(B335,'ei names mapping'!$A$4:$A$33,0),MATCH(G368,'ei names mapping'!$B$3:$BK$3,0))</f>
        <v>tyre wear emissions, passenger car</v>
      </c>
    </row>
    <row r="369" spans="1:8" x14ac:dyDescent="0.3">
      <c r="A369" s="12" t="str">
        <f>INDEX('ei names mapping'!$B$4:$BK$33,MATCH(B335,'ei names mapping'!$A$4:$A$33,0),MATCH(G369,'ei names mapping'!$B$3:$BK$3,0))</f>
        <v>treatment of brake wear emissions, passenger car</v>
      </c>
      <c r="B369" s="16">
        <f>INDEX('vehicles specifications'!$B$3:$CK$86,MATCH(B338,'vehicles specifications'!$A$3:$A$86,0),MATCH(G369,'vehicles specifications'!$B$2:$CK$2,0))*INDEX('ei names mapping'!$B$137:$BK$220,MATCH(B338,'ei names mapping'!$A$137:$A$220,0),MATCH(G369,'ei names mapping'!$B$136:$BK$136,0))</f>
        <v>-3.0894999999999998E-6</v>
      </c>
      <c r="C369" s="12" t="str">
        <f>INDEX('ei names mapping'!$B$38:$BK$67,MATCH(B335,'ei names mapping'!$A$4:$A$33,0),MATCH(G369,'ei names mapping'!$B$3:$BK$3,0))</f>
        <v>RER</v>
      </c>
      <c r="D369" s="12" t="str">
        <f>INDEX('ei names mapping'!$B$104:$BK$133,MATCH(B335,'ei names mapping'!$A$4:$A$33,0),MATCH(G369,'ei names mapping'!$B$3:$BK$3,0))</f>
        <v>kilogram</v>
      </c>
      <c r="E369" s="12"/>
      <c r="F369" s="12" t="s">
        <v>91</v>
      </c>
      <c r="G369" s="21" t="s">
        <v>31</v>
      </c>
      <c r="H369" s="12" t="str">
        <f>INDEX('ei names mapping'!$B$71:$BK$100,MATCH(B335,'ei names mapping'!$A$4:$A$33,0),MATCH(G369,'ei names mapping'!$B$3:$BK$3,0))</f>
        <v>brake wear emissions, passenger car</v>
      </c>
    </row>
    <row r="370" spans="1:8" x14ac:dyDescent="0.3">
      <c r="B370" s="6"/>
    </row>
    <row r="371" spans="1:8" ht="15.6" x14ac:dyDescent="0.3">
      <c r="A371" s="11" t="s">
        <v>72</v>
      </c>
      <c r="B371" s="9" t="str">
        <f>"transport, "&amp;B373&amp;", "&amp;B375&amp;", label-certified electricity"</f>
        <v>transport, Scooter, electric, &lt;4kW, 2030, label-certified electricity</v>
      </c>
    </row>
    <row r="372" spans="1:8" x14ac:dyDescent="0.3">
      <c r="A372" s="21" t="s">
        <v>73</v>
      </c>
      <c r="B372" s="21" t="s">
        <v>37</v>
      </c>
    </row>
    <row r="373" spans="1:8" x14ac:dyDescent="0.3">
      <c r="A373" s="21" t="s">
        <v>87</v>
      </c>
      <c r="B373" s="21" t="s">
        <v>674</v>
      </c>
    </row>
    <row r="374" spans="1:8" x14ac:dyDescent="0.3">
      <c r="A374" s="21" t="s">
        <v>88</v>
      </c>
      <c r="B374" s="12"/>
    </row>
    <row r="375" spans="1:8" x14ac:dyDescent="0.3">
      <c r="A375" s="21" t="s">
        <v>89</v>
      </c>
      <c r="B375" s="12">
        <v>2030</v>
      </c>
    </row>
    <row r="376" spans="1:8" x14ac:dyDescent="0.3">
      <c r="A376" s="21" t="s">
        <v>131</v>
      </c>
      <c r="B376" s="12" t="str">
        <f>B373&amp;" - "&amp;B375&amp;" - "&amp;B372</f>
        <v>Scooter, electric, &lt;4kW - 2030 - CH</v>
      </c>
    </row>
    <row r="377" spans="1:8" x14ac:dyDescent="0.3">
      <c r="A377" s="21" t="s">
        <v>74</v>
      </c>
      <c r="B377" s="12" t="str">
        <f>"transport, "&amp;B373</f>
        <v>transport, Scooter, electric, &lt;4kW</v>
      </c>
    </row>
    <row r="378" spans="1:8" x14ac:dyDescent="0.3">
      <c r="A378" s="21" t="s">
        <v>75</v>
      </c>
      <c r="B378" s="21" t="s">
        <v>76</v>
      </c>
    </row>
    <row r="379" spans="1:8" x14ac:dyDescent="0.3">
      <c r="A379" s="21" t="s">
        <v>77</v>
      </c>
      <c r="B379" s="21" t="s">
        <v>172</v>
      </c>
    </row>
    <row r="380" spans="1:8" x14ac:dyDescent="0.3">
      <c r="A380" s="21" t="s">
        <v>79</v>
      </c>
      <c r="B380" s="21" t="s">
        <v>90</v>
      </c>
    </row>
    <row r="381" spans="1:8" x14ac:dyDescent="0.3">
      <c r="A381" s="21" t="s">
        <v>132</v>
      </c>
      <c r="B381" s="21">
        <f>INDEX('vehicles specifications'!$B$3:$CK$86,MATCH(B376,'vehicles specifications'!$A$3:$A$86,0),MATCH("Lifetime [km]",'vehicles specifications'!$B$2:$CK$2,0))</f>
        <v>33400</v>
      </c>
    </row>
    <row r="382" spans="1:8" x14ac:dyDescent="0.3">
      <c r="A382" s="21" t="s">
        <v>133</v>
      </c>
      <c r="B382" s="21">
        <f>INDEX('vehicles specifications'!$B$3:$CK$86,MATCH(B376,'vehicles specifications'!$A$3:$A$86,0),MATCH("Passengers [unit]",'vehicles specifications'!$B$2:$CK$2,0))</f>
        <v>1</v>
      </c>
    </row>
    <row r="383" spans="1:8" x14ac:dyDescent="0.3">
      <c r="A383" s="21" t="s">
        <v>134</v>
      </c>
      <c r="B383" s="21">
        <f>INDEX('vehicles specifications'!$B$3:$CK$86,MATCH(B376,'vehicles specifications'!$A$3:$A$86,0),MATCH("Servicing [unit]",'vehicles specifications'!$B$2:$CK$2,0))</f>
        <v>1</v>
      </c>
    </row>
    <row r="384" spans="1:8" x14ac:dyDescent="0.3">
      <c r="A384" s="21" t="s">
        <v>135</v>
      </c>
      <c r="B384" s="21">
        <f>INDEX('vehicles specifications'!$B$3:$CK$86,MATCH(B376,'vehicles specifications'!$A$3:$A$86,0),MATCH("Energy battery replacement [unit]",'vehicles specifications'!$B$2:$CK$2,0))</f>
        <v>0.5</v>
      </c>
    </row>
    <row r="385" spans="1:8" x14ac:dyDescent="0.3">
      <c r="A385" s="21" t="s">
        <v>136</v>
      </c>
      <c r="B385" s="21">
        <f>INDEX('vehicles specifications'!$B$3:$CK$86,MATCH(B376,'vehicles specifications'!$A$3:$A$86,0),MATCH("Annual kilometers [km]",'vehicles specifications'!$B$2:$CK$2,0))</f>
        <v>2553</v>
      </c>
    </row>
    <row r="386" spans="1:8" x14ac:dyDescent="0.3">
      <c r="A386" s="21" t="s">
        <v>137</v>
      </c>
      <c r="B386" s="2">
        <f>INDEX('vehicles specifications'!$B$3:$CK$86,MATCH(B376,'vehicles specifications'!$A$3:$A$86,0),MATCH("Curb mass [kg]",'vehicles specifications'!$B$2:$CK$2,0))</f>
        <v>99.81</v>
      </c>
    </row>
    <row r="387" spans="1:8" x14ac:dyDescent="0.3">
      <c r="A387" s="21" t="s">
        <v>138</v>
      </c>
      <c r="B387" s="21">
        <f>INDEX('vehicles specifications'!$B$3:$CK$86,MATCH(B376,'vehicles specifications'!$A$3:$A$86,0),MATCH("Power [kW]",'vehicles specifications'!$B$2:$CK$2,0))</f>
        <v>2.6</v>
      </c>
    </row>
    <row r="388" spans="1:8" x14ac:dyDescent="0.3">
      <c r="A388" s="21" t="s">
        <v>139</v>
      </c>
      <c r="B388" s="21">
        <f>INDEX('vehicles specifications'!$B$3:$CK$86,MATCH(B376,'vehicles specifications'!$A$3:$A$86,0),MATCH("Energy battery mass [kg]",'vehicles specifications'!$B$2:$CK$2,0))</f>
        <v>16</v>
      </c>
    </row>
    <row r="389" spans="1:8" x14ac:dyDescent="0.3">
      <c r="A389" s="21" t="s">
        <v>140</v>
      </c>
      <c r="B389" s="21">
        <f>INDEX('vehicles specifications'!$B$3:$CK$86,MATCH(B376,'vehicles specifications'!$A$3:$A$86,0),MATCH("Electric energy stored [kWh]",'vehicles specifications'!$B$2:$CK$2,0))</f>
        <v>4</v>
      </c>
    </row>
    <row r="390" spans="1:8" x14ac:dyDescent="0.3">
      <c r="A390" s="21" t="s">
        <v>654</v>
      </c>
      <c r="B390" s="21">
        <f>INDEX('vehicles specifications'!$B$3:$CK$86,MATCH(B376,'vehicles specifications'!$A$3:$A$86,0),MATCH("Electric energy available [kWh]",'vehicles specifications'!$B$2:$CK$2,0))</f>
        <v>3.2</v>
      </c>
    </row>
    <row r="391" spans="1:8" x14ac:dyDescent="0.3">
      <c r="A391" s="21" t="s">
        <v>143</v>
      </c>
      <c r="B391" s="2">
        <f>INDEX('vehicles specifications'!$B$3:$CK$86,MATCH(B376,'vehicles specifications'!$A$3:$A$86,0),MATCH("Oxydation energy stored [kWh]",'vehicles specifications'!$B$2:$CK$2,0))</f>
        <v>0</v>
      </c>
    </row>
    <row r="392" spans="1:8" x14ac:dyDescent="0.3">
      <c r="A392" s="21" t="s">
        <v>145</v>
      </c>
      <c r="B392" s="21">
        <f>INDEX('vehicles specifications'!$B$3:$CK$86,MATCH(B376,'vehicles specifications'!$A$3:$A$86,0),MATCH("Fuel mass [kg]",'vehicles specifications'!$B$2:$CK$2,0))</f>
        <v>0</v>
      </c>
    </row>
    <row r="393" spans="1:8" x14ac:dyDescent="0.3">
      <c r="A393" s="21" t="s">
        <v>141</v>
      </c>
      <c r="B393" s="2">
        <f>INDEX('vehicles specifications'!$B$3:$CK$86,MATCH(B376,'vehicles specifications'!$A$3:$A$86,0),MATCH("Range [km]",'vehicles specifications'!$B$2:$CK$2,0))</f>
        <v>86.333453887884261</v>
      </c>
    </row>
    <row r="394" spans="1:8" x14ac:dyDescent="0.3">
      <c r="A394" s="21" t="s">
        <v>142</v>
      </c>
      <c r="B394" s="21" t="str">
        <f>INDEX('vehicles specifications'!$B$3:$CK$86,MATCH(B376,'vehicles specifications'!$A$3:$A$86,0),MATCH("Emission standard",'vehicles specifications'!$B$2:$CK$2,0))</f>
        <v>None</v>
      </c>
    </row>
    <row r="395" spans="1:8" x14ac:dyDescent="0.3">
      <c r="A395" s="21" t="s">
        <v>144</v>
      </c>
      <c r="B395" s="6">
        <f>INDEX('vehicles specifications'!$B$3:$CK$86,MATCH(B376,'vehicles specifications'!$A$3:$A$86,0),MATCH("Lightweighting rate [%]",'vehicles specifications'!$B$2:$CK$2,0))</f>
        <v>0.03</v>
      </c>
    </row>
    <row r="396" spans="1:8" x14ac:dyDescent="0.3">
      <c r="A396" s="21" t="s">
        <v>84</v>
      </c>
      <c r="B396" s="21" t="str">
        <f>"Power: "&amp;B387&amp;" kW. Lifetime: "&amp;B381&amp;" km. Annual kilometers: "&amp;B385&amp;" km. Number of passengers: "&amp;B382&amp;". Curb mass: "&amp;ROUND(B386,1)&amp;" kg. Lightweighting of glider: "&amp;ROUND(B395*100,0)&amp;"%. Emission standard: "&amp;B394&amp;". Service visits throughout lifetime: "&amp;ROUND(B383,1)&amp;". Range: "&amp;ROUND(B393,0)&amp;" km. Battery capacity: "&amp;ROUND(B389,1)&amp;" kWh. Available battery capacity: "&amp;B390&amp;" kWh. Battery mass: "&amp;ROUND(B388,1)&amp; " kg. Battery replacement throughout lifetime: "&amp;ROUND(B384,1)&amp;". Fuel tank capacity: "&amp;ROUND(B391,1)&amp;" kWh. Fuel mass: "&amp;ROUND(B392,1)&amp;" kg. Documentation: "&amp;Readmefirst!$B$2&amp;", "&amp;Readmefirst!$B$3&amp;". "&amp;B380</f>
        <v>Power: 2.6 kW. Lifetime: 33400 km. Annual kilometers: 2553 km. Number of passengers: 1. Curb mass: 99.8 kg. Lightweighting of glider: 3%. Emission standard: None. Service visits throughout lifetime: 1. Range: 86 km. Battery capacity: 4 kWh. Available battery capacity: 3.2 kWh. Battery mass: 16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97" spans="1:8" ht="15.6" x14ac:dyDescent="0.3">
      <c r="A397" s="11" t="s">
        <v>80</v>
      </c>
    </row>
    <row r="398" spans="1:8" x14ac:dyDescent="0.3">
      <c r="A398" s="21" t="s">
        <v>81</v>
      </c>
      <c r="B398" s="21" t="s">
        <v>82</v>
      </c>
      <c r="C398" s="21" t="s">
        <v>73</v>
      </c>
      <c r="D398" s="21" t="s">
        <v>77</v>
      </c>
      <c r="E398" s="21" t="s">
        <v>83</v>
      </c>
      <c r="F398" s="21" t="s">
        <v>75</v>
      </c>
      <c r="G398" s="21" t="s">
        <v>84</v>
      </c>
      <c r="H398" s="21" t="s">
        <v>74</v>
      </c>
    </row>
    <row r="399" spans="1:8" x14ac:dyDescent="0.3">
      <c r="A399" s="12" t="str">
        <f>B371</f>
        <v>transport, Scooter, electric, &lt;4kW, 2030, label-certified electricity</v>
      </c>
      <c r="B399" s="12">
        <v>1</v>
      </c>
      <c r="C399" s="12" t="str">
        <f>B372</f>
        <v>CH</v>
      </c>
      <c r="D399" s="12" t="s">
        <v>172</v>
      </c>
      <c r="E399" s="12"/>
      <c r="F399" s="12" t="s">
        <v>85</v>
      </c>
      <c r="G399" s="12" t="s">
        <v>86</v>
      </c>
      <c r="H399" s="12" t="str">
        <f>B377</f>
        <v>transport, Scooter, electric, &lt;4kW</v>
      </c>
    </row>
    <row r="400" spans="1:8" x14ac:dyDescent="0.3">
      <c r="A400" s="12" t="str">
        <f>B373&amp;", "&amp;B375</f>
        <v>Scooter, electric, &lt;4kW, 2030</v>
      </c>
      <c r="B400" s="12">
        <f>1/B381</f>
        <v>2.9940119760479042E-5</v>
      </c>
      <c r="C400" s="12" t="str">
        <f>B372</f>
        <v>CH</v>
      </c>
      <c r="D400" s="12" t="s">
        <v>77</v>
      </c>
      <c r="E400" s="12"/>
      <c r="F400" s="12" t="s">
        <v>91</v>
      </c>
      <c r="G400" s="12"/>
      <c r="H400" s="12" t="str">
        <f>RIGHT(H399,LEN(H399)-11)</f>
        <v>Scooter, electric, &lt;4kW</v>
      </c>
    </row>
    <row r="401" spans="1:8" x14ac:dyDescent="0.3">
      <c r="A401" s="12" t="str">
        <f>INDEX('ei names mapping'!$B$4:$R$33,MATCH(B373,'ei names mapping'!$A$4:$A$33,0),MATCH(G401,'ei names mapping'!$B$3:$R$3,0))</f>
        <v>road construction</v>
      </c>
      <c r="B401" s="16">
        <f>INDEX('vehicles specifications'!$B$3:$CK$86,MATCH(B376,'vehicles specifications'!$A$3:$A$86,0),MATCH(G401,'vehicles specifications'!$B$2:$CK$2,0))*INDEX('ei names mapping'!$B$137:$BK$220,MATCH(B376,'ei names mapping'!$A$137:$A$220,0),MATCH(G401,'ei names mapping'!$B$136:$BK$136,0))</f>
        <v>9.333597E-5</v>
      </c>
      <c r="C401" s="12" t="str">
        <f>INDEX('ei names mapping'!$B$38:$R$67,MATCH(B373,'ei names mapping'!$A$4:$A$33,0),MATCH(G401,'ei names mapping'!$B$3:$R$3,0))</f>
        <v>CH</v>
      </c>
      <c r="D401" s="12" t="str">
        <f>INDEX('ei names mapping'!$B$104:$BK$133,MATCH(B373,'ei names mapping'!$A$4:$A$33,0),MATCH(G401,'ei names mapping'!$B$3:$BK$3,0))</f>
        <v>meter-year</v>
      </c>
      <c r="E401" s="12"/>
      <c r="F401" s="12" t="s">
        <v>91</v>
      </c>
      <c r="G401" s="21" t="s">
        <v>108</v>
      </c>
      <c r="H401" s="12" t="str">
        <f>INDEX('ei names mapping'!$B$71:$BK$100,MATCH(B373,'ei names mapping'!$A$4:$A$33,0),MATCH(G401,'ei names mapping'!$B$3:$BK$3,0))</f>
        <v>road</v>
      </c>
    </row>
    <row r="402" spans="1:8" x14ac:dyDescent="0.3">
      <c r="A402" s="12" t="str">
        <f>INDEX('ei names mapping'!$B$4:$R$33,MATCH(B373,'ei names mapping'!$A$4:$A$33,0),MATCH(G402,'ei names mapping'!$B$3:$R$3,0))</f>
        <v>road maintenance</v>
      </c>
      <c r="B402" s="16">
        <f>INDEX('vehicles specifications'!$B$3:$CK$86,MATCH(B376,'vehicles specifications'!$A$3:$A$86,0),MATCH(G402,'vehicles specifications'!$B$2:$CK$2,0))*INDEX('ei names mapping'!$B$137:$BK$220,MATCH(B376,'ei names mapping'!$A$137:$A$220,0),MATCH(G402,'ei names mapping'!$B$136:$BK$136,0))</f>
        <v>1.2899999999999999E-3</v>
      </c>
      <c r="C402" s="12" t="str">
        <f>INDEX('ei names mapping'!$B$38:$R$67,MATCH(B373,'ei names mapping'!$A$4:$A$33,0),MATCH(G402,'ei names mapping'!$B$3:$R$3,0))</f>
        <v>CH</v>
      </c>
      <c r="D402" s="12" t="str">
        <f>INDEX('ei names mapping'!$B$104:$BK$133,MATCH(B373,'ei names mapping'!$A$4:$A$33,0),MATCH(G402,'ei names mapping'!$B$3:$BK$3,0))</f>
        <v>meter-year</v>
      </c>
      <c r="E402" s="12"/>
      <c r="F402" s="12" t="s">
        <v>91</v>
      </c>
      <c r="G402" s="21" t="s">
        <v>117</v>
      </c>
      <c r="H402" s="12" t="str">
        <f>INDEX('ei names mapping'!$B$71:$BK$100,MATCH(B373,'ei names mapping'!$A$4:$A$33,0),MATCH(G402,'ei names mapping'!$B$3:$BK$3,0))</f>
        <v>road maintenance</v>
      </c>
    </row>
    <row r="403" spans="1:8" x14ac:dyDescent="0.3">
      <c r="A403" s="12" t="s">
        <v>114</v>
      </c>
      <c r="B403" s="14">
        <f>INDEX('vehicles specifications'!$B$3:$CK$86,MATCH(B376,'vehicles specifications'!$A$3:$A$86,0),MATCH(G403,'vehicles specifications'!$B$2:$CK$2,0))*INDEX('ei names mapping'!$B$137:$BK$220,MATCH(B376,'ei names mapping'!$A$137:$A$220,0),MATCH(G403,'ei names mapping'!$B$136:$BK$136,0))</f>
        <v>4.0772143838600498E-2</v>
      </c>
      <c r="C403" s="12" t="str">
        <f>INDEX('ei names mapping'!$B$38:$R$67,MATCH($B$3,'ei names mapping'!$A$4:$A$33,0),MATCH(G403,'ei names mapping'!$B$3:$R$3,0))</f>
        <v>CH</v>
      </c>
      <c r="D403" s="12" t="str">
        <f>INDEX('ei names mapping'!$B$104:$R$133,MATCH($B$3,'ei names mapping'!$A$4:$A$33,0),MATCH(G403,'ei names mapping'!$B$3:$R$3,0))</f>
        <v>kilowatt hour</v>
      </c>
      <c r="E403" s="12"/>
      <c r="F403" s="12" t="s">
        <v>91</v>
      </c>
      <c r="G403" s="21" t="s">
        <v>28</v>
      </c>
      <c r="H403" s="12" t="s">
        <v>116</v>
      </c>
    </row>
    <row r="404" spans="1:8" x14ac:dyDescent="0.3">
      <c r="A404" s="12" t="str">
        <f>INDEX('ei names mapping'!$B$4:$R$33,MATCH(B373,'ei names mapping'!$A$4:$A$33,0),MATCH(G404,'ei names mapping'!$B$3:$R$3,0))</f>
        <v>market for maintenance, electric scooter, without battery</v>
      </c>
      <c r="B404" s="16">
        <f>INDEX('vehicles specifications'!$B$3:$CK$86,MATCH(B376,'vehicles specifications'!$A$3:$A$86,0),MATCH(G404,'vehicles specifications'!$B$2:$CK$2,0))*INDEX('ei names mapping'!$B$137:$BK$220,MATCH(B376,'ei names mapping'!$A$137:$A$220,0),MATCH(G404,'ei names mapping'!$B$136:$BK$136,0))</f>
        <v>2.9940119760479042E-5</v>
      </c>
      <c r="C404" s="12" t="str">
        <f>INDEX('ei names mapping'!$B$38:$BK$67,MATCH(B373,'ei names mapping'!$A$4:$A$33,0),MATCH(G404,'ei names mapping'!$B$3:$BK$3,0))</f>
        <v>GLO</v>
      </c>
      <c r="D404" s="12" t="str">
        <f>INDEX('ei names mapping'!$B$104:$BK$133,MATCH(B373,'ei names mapping'!$A$4:$A$33,0),MATCH(G404,'ei names mapping'!$B$3:$BK$3,0))</f>
        <v>unit</v>
      </c>
      <c r="F404" s="12" t="s">
        <v>91</v>
      </c>
      <c r="G404" s="12" t="s">
        <v>123</v>
      </c>
      <c r="H404" s="12" t="str">
        <f>INDEX('ei names mapping'!$B$71:$BK$100,MATCH(B373,'ei names mapping'!$A$4:$A$33,0),MATCH(G404,'ei names mapping'!$B$3:$BK$3,0))</f>
        <v>maintenance, electric scooter, without battery</v>
      </c>
    </row>
    <row r="405" spans="1:8" x14ac:dyDescent="0.3">
      <c r="A405" s="12" t="str">
        <f>INDEX('ei names mapping'!$B$4:$BK$33,MATCH(B373,'ei names mapping'!$A$4:$A$33,0),MATCH(G405,'ei names mapping'!$B$3:$BK$3,0))</f>
        <v>treatment of road wear emissions, passenger car</v>
      </c>
      <c r="B405" s="16">
        <f>INDEX('vehicles specifications'!$B$3:$CK$86,MATCH(B376,'vehicles specifications'!$A$3:$A$86,0),MATCH(G405,'vehicles specifications'!$B$2:$CK$2,0))*INDEX('ei names mapping'!$B$137:$BK$220,MATCH(B376,'ei names mapping'!$A$137:$A$220,0),MATCH(G405,'ei names mapping'!$B$136:$BK$136,0))</f>
        <v>-6.0000000000000002E-6</v>
      </c>
      <c r="C405" s="12" t="str">
        <f>INDEX('ei names mapping'!$B$38:$BK$67,MATCH(B373,'ei names mapping'!$A$4:$A$33,0),MATCH(G405,'ei names mapping'!$B$3:$BK$3,0))</f>
        <v>RER</v>
      </c>
      <c r="D405" s="12" t="str">
        <f>INDEX('ei names mapping'!$B$104:$BK$133,MATCH(B373,'ei names mapping'!$A$4:$A$33,0),MATCH(G405,'ei names mapping'!$B$3:$BK$3,0))</f>
        <v>kilogram</v>
      </c>
      <c r="E405" s="12"/>
      <c r="F405" s="12" t="s">
        <v>91</v>
      </c>
      <c r="G405" s="21" t="s">
        <v>29</v>
      </c>
      <c r="H405" s="12" t="str">
        <f>INDEX('ei names mapping'!$B$71:$BK$100,MATCH(B373,'ei names mapping'!$A$4:$A$33,0),MATCH(G405,'ei names mapping'!$B$3:$BK$3,0))</f>
        <v>road wear emissions, passenger car</v>
      </c>
    </row>
    <row r="406" spans="1:8" x14ac:dyDescent="0.3">
      <c r="A406" s="12" t="str">
        <f>INDEX('ei names mapping'!$B$4:$BK$33,MATCH(B373,'ei names mapping'!$A$4:$A$33,0),MATCH(G406,'ei names mapping'!$B$3:$BK$3,0))</f>
        <v>treatment of tyre wear emissions, passenger car</v>
      </c>
      <c r="B406" s="16">
        <f>INDEX('vehicles specifications'!$B$3:$CK$86,MATCH(B376,'vehicles specifications'!$A$3:$A$86,0),MATCH(G406,'vehicles specifications'!$B$2:$CK$2,0))*INDEX('ei names mapping'!$B$137:$BK$220,MATCH(B376,'ei names mapping'!$A$137:$A$220,0),MATCH(G406,'ei names mapping'!$B$136:$BK$136,0))</f>
        <v>-6.3939999999999993E-6</v>
      </c>
      <c r="C406" s="12" t="str">
        <f>INDEX('ei names mapping'!$B$38:$BK$67,MATCH(B373,'ei names mapping'!$A$4:$A$33,0),MATCH(G406,'ei names mapping'!$B$3:$BK$3,0))</f>
        <v>RER</v>
      </c>
      <c r="D406" s="12" t="str">
        <f>INDEX('ei names mapping'!$B$104:$BK$133,MATCH(B373,'ei names mapping'!$A$4:$A$33,0),MATCH(G406,'ei names mapping'!$B$3:$BK$3,0))</f>
        <v>kilogram</v>
      </c>
      <c r="E406" s="12"/>
      <c r="F406" s="12" t="s">
        <v>91</v>
      </c>
      <c r="G406" s="21" t="s">
        <v>30</v>
      </c>
      <c r="H406" s="12" t="str">
        <f>INDEX('ei names mapping'!$B$71:$BK$100,MATCH(B373,'ei names mapping'!$A$4:$A$33,0),MATCH(G406,'ei names mapping'!$B$3:$BK$3,0))</f>
        <v>tyre wear emissions, passenger car</v>
      </c>
    </row>
    <row r="407" spans="1:8" x14ac:dyDescent="0.3">
      <c r="A407" s="12" t="str">
        <f>INDEX('ei names mapping'!$B$4:$BK$33,MATCH(B373,'ei names mapping'!$A$4:$A$33,0),MATCH(G407,'ei names mapping'!$B$3:$BK$3,0))</f>
        <v>treatment of brake wear emissions, passenger car</v>
      </c>
      <c r="B407" s="16">
        <f>INDEX('vehicles specifications'!$B$3:$CK$86,MATCH(B376,'vehicles specifications'!$A$3:$A$86,0),MATCH(G407,'vehicles specifications'!$B$2:$CK$2,0))*INDEX('ei names mapping'!$B$137:$BK$220,MATCH(B376,'ei names mapping'!$A$137:$A$220,0),MATCH(G407,'ei names mapping'!$B$136:$BK$136,0))</f>
        <v>-3.0894999999999998E-6</v>
      </c>
      <c r="C407" s="12" t="str">
        <f>INDEX('ei names mapping'!$B$38:$BK$67,MATCH(B373,'ei names mapping'!$A$4:$A$33,0),MATCH(G407,'ei names mapping'!$B$3:$BK$3,0))</f>
        <v>RER</v>
      </c>
      <c r="D407" s="12" t="str">
        <f>INDEX('ei names mapping'!$B$104:$BK$133,MATCH(B373,'ei names mapping'!$A$4:$A$33,0),MATCH(G407,'ei names mapping'!$B$3:$BK$3,0))</f>
        <v>kilogram</v>
      </c>
      <c r="E407" s="12"/>
      <c r="F407" s="12" t="s">
        <v>91</v>
      </c>
      <c r="G407" s="21" t="s">
        <v>31</v>
      </c>
      <c r="H407" s="12" t="str">
        <f>INDEX('ei names mapping'!$B$71:$BK$100,MATCH(B373,'ei names mapping'!$A$4:$A$33,0),MATCH(G407,'ei names mapping'!$B$3:$BK$3,0))</f>
        <v>brake wear emissions, passenger car</v>
      </c>
    </row>
    <row r="409" spans="1:8" ht="15.6" x14ac:dyDescent="0.3">
      <c r="A409" s="11" t="s">
        <v>72</v>
      </c>
      <c r="B409" s="9" t="str">
        <f>"transport, "&amp;B411&amp;", "&amp;B413&amp;", label-certified electricity"</f>
        <v>transport, Scooter, electric, &lt;4kW, 2040, label-certified electricity</v>
      </c>
    </row>
    <row r="410" spans="1:8" x14ac:dyDescent="0.3">
      <c r="A410" s="21" t="s">
        <v>73</v>
      </c>
      <c r="B410" s="21" t="s">
        <v>37</v>
      </c>
    </row>
    <row r="411" spans="1:8" x14ac:dyDescent="0.3">
      <c r="A411" s="21" t="s">
        <v>87</v>
      </c>
      <c r="B411" s="21" t="s">
        <v>674</v>
      </c>
    </row>
    <row r="412" spans="1:8" x14ac:dyDescent="0.3">
      <c r="A412" s="21" t="s">
        <v>88</v>
      </c>
      <c r="B412" s="12"/>
    </row>
    <row r="413" spans="1:8" x14ac:dyDescent="0.3">
      <c r="A413" s="21" t="s">
        <v>89</v>
      </c>
      <c r="B413" s="12">
        <v>2040</v>
      </c>
    </row>
    <row r="414" spans="1:8" x14ac:dyDescent="0.3">
      <c r="A414" s="21" t="s">
        <v>131</v>
      </c>
      <c r="B414" s="12" t="str">
        <f>B411&amp;" - "&amp;B413&amp;" - "&amp;B410</f>
        <v>Scooter, electric, &lt;4kW - 2040 - CH</v>
      </c>
    </row>
    <row r="415" spans="1:8" x14ac:dyDescent="0.3">
      <c r="A415" s="21" t="s">
        <v>74</v>
      </c>
      <c r="B415" s="12" t="str">
        <f>"transport, "&amp;B411</f>
        <v>transport, Scooter, electric, &lt;4kW</v>
      </c>
    </row>
    <row r="416" spans="1:8" x14ac:dyDescent="0.3">
      <c r="A416" s="21" t="s">
        <v>75</v>
      </c>
      <c r="B416" s="21" t="s">
        <v>76</v>
      </c>
    </row>
    <row r="417" spans="1:2" x14ac:dyDescent="0.3">
      <c r="A417" s="21" t="s">
        <v>77</v>
      </c>
      <c r="B417" s="21" t="s">
        <v>172</v>
      </c>
    </row>
    <row r="418" spans="1:2" x14ac:dyDescent="0.3">
      <c r="A418" s="21" t="s">
        <v>79</v>
      </c>
      <c r="B418" s="21" t="s">
        <v>90</v>
      </c>
    </row>
    <row r="419" spans="1:2" x14ac:dyDescent="0.3">
      <c r="A419" s="21" t="s">
        <v>132</v>
      </c>
      <c r="B419" s="21">
        <f>INDEX('vehicles specifications'!$B$3:$CK$86,MATCH(B414,'vehicles specifications'!$A$3:$A$86,0),MATCH("Lifetime [km]",'vehicles specifications'!$B$2:$CK$2,0))</f>
        <v>33400</v>
      </c>
    </row>
    <row r="420" spans="1:2" x14ac:dyDescent="0.3">
      <c r="A420" s="21" t="s">
        <v>133</v>
      </c>
      <c r="B420" s="21">
        <f>INDEX('vehicles specifications'!$B$3:$CK$86,MATCH(B414,'vehicles specifications'!$A$3:$A$86,0),MATCH("Passengers [unit]",'vehicles specifications'!$B$2:$CK$2,0))</f>
        <v>1</v>
      </c>
    </row>
    <row r="421" spans="1:2" x14ac:dyDescent="0.3">
      <c r="A421" s="21" t="s">
        <v>134</v>
      </c>
      <c r="B421" s="21">
        <f>INDEX('vehicles specifications'!$B$3:$CK$86,MATCH(B414,'vehicles specifications'!$A$3:$A$86,0),MATCH("Servicing [unit]",'vehicles specifications'!$B$2:$CK$2,0))</f>
        <v>1</v>
      </c>
    </row>
    <row r="422" spans="1:2" x14ac:dyDescent="0.3">
      <c r="A422" s="21" t="s">
        <v>135</v>
      </c>
      <c r="B422" s="21">
        <f>INDEX('vehicles specifications'!$B$3:$CK$86,MATCH(B414,'vehicles specifications'!$A$3:$A$86,0),MATCH("Energy battery replacement [unit]",'vehicles specifications'!$B$2:$CK$2,0))</f>
        <v>0.25</v>
      </c>
    </row>
    <row r="423" spans="1:2" x14ac:dyDescent="0.3">
      <c r="A423" s="21" t="s">
        <v>136</v>
      </c>
      <c r="B423" s="21">
        <f>INDEX('vehicles specifications'!$B$3:$CK$86,MATCH(B414,'vehicles specifications'!$A$3:$A$86,0),MATCH("Annual kilometers [km]",'vehicles specifications'!$B$2:$CK$2,0))</f>
        <v>2553</v>
      </c>
    </row>
    <row r="424" spans="1:2" x14ac:dyDescent="0.3">
      <c r="A424" s="21" t="s">
        <v>137</v>
      </c>
      <c r="B424" s="2">
        <f>INDEX('vehicles specifications'!$B$3:$CK$86,MATCH(B414,'vehicles specifications'!$A$3:$A$86,0),MATCH("Curb mass [kg]",'vehicles specifications'!$B$2:$CK$2,0))</f>
        <v>99.75</v>
      </c>
    </row>
    <row r="425" spans="1:2" x14ac:dyDescent="0.3">
      <c r="A425" s="21" t="s">
        <v>138</v>
      </c>
      <c r="B425" s="21">
        <f>INDEX('vehicles specifications'!$B$3:$CK$86,MATCH(B414,'vehicles specifications'!$A$3:$A$86,0),MATCH("Power [kW]",'vehicles specifications'!$B$2:$CK$2,0))</f>
        <v>2.6</v>
      </c>
    </row>
    <row r="426" spans="1:2" x14ac:dyDescent="0.3">
      <c r="A426" s="21" t="s">
        <v>139</v>
      </c>
      <c r="B426" s="21">
        <f>INDEX('vehicles specifications'!$B$3:$CK$86,MATCH(B414,'vehicles specifications'!$A$3:$A$86,0),MATCH("Energy battery mass [kg]",'vehicles specifications'!$B$2:$CK$2,0))</f>
        <v>17.399999999999999</v>
      </c>
    </row>
    <row r="427" spans="1:2" x14ac:dyDescent="0.3">
      <c r="A427" s="21" t="s">
        <v>140</v>
      </c>
      <c r="B427" s="21">
        <f>INDEX('vehicles specifications'!$B$3:$CK$86,MATCH(B414,'vehicles specifications'!$A$3:$A$86,0),MATCH("Electric energy stored [kWh]",'vehicles specifications'!$B$2:$CK$2,0))</f>
        <v>5.8</v>
      </c>
    </row>
    <row r="428" spans="1:2" x14ac:dyDescent="0.3">
      <c r="A428" s="21" t="s">
        <v>654</v>
      </c>
      <c r="B428" s="21">
        <f>INDEX('vehicles specifications'!$B$3:$CK$86,MATCH(B414,'vehicles specifications'!$A$3:$A$86,0),MATCH("Electric energy available [kWh]",'vehicles specifications'!$B$2:$CK$2,0))</f>
        <v>4.6399999999999997</v>
      </c>
    </row>
    <row r="429" spans="1:2" x14ac:dyDescent="0.3">
      <c r="A429" s="21" t="s">
        <v>143</v>
      </c>
      <c r="B429" s="2">
        <f>INDEX('vehicles specifications'!$B$3:$CK$86,MATCH(B414,'vehicles specifications'!$A$3:$A$86,0),MATCH("Oxydation energy stored [kWh]",'vehicles specifications'!$B$2:$CK$2,0))</f>
        <v>0</v>
      </c>
    </row>
    <row r="430" spans="1:2" x14ac:dyDescent="0.3">
      <c r="A430" s="21" t="s">
        <v>145</v>
      </c>
      <c r="B430" s="21">
        <f>INDEX('vehicles specifications'!$B$3:$CK$86,MATCH(B414,'vehicles specifications'!$A$3:$A$86,0),MATCH("Fuel mass [kg]",'vehicles specifications'!$B$2:$CK$2,0))</f>
        <v>0</v>
      </c>
    </row>
    <row r="431" spans="1:2" x14ac:dyDescent="0.3">
      <c r="A431" s="21" t="s">
        <v>141</v>
      </c>
      <c r="B431" s="2">
        <f>INDEX('vehicles specifications'!$B$3:$CK$86,MATCH(B414,'vehicles specifications'!$A$3:$A$86,0),MATCH("Range [km]",'vehicles specifications'!$B$2:$CK$2,0))</f>
        <v>125.18350813743217</v>
      </c>
    </row>
    <row r="432" spans="1:2" x14ac:dyDescent="0.3">
      <c r="A432" s="21" t="s">
        <v>142</v>
      </c>
      <c r="B432" s="21" t="str">
        <f>INDEX('vehicles specifications'!$B$3:$CK$86,MATCH(B414,'vehicles specifications'!$A$3:$A$86,0),MATCH("Emission standard",'vehicles specifications'!$B$2:$CK$2,0))</f>
        <v>None</v>
      </c>
    </row>
    <row r="433" spans="1:8" x14ac:dyDescent="0.3">
      <c r="A433" s="21" t="s">
        <v>144</v>
      </c>
      <c r="B433" s="6">
        <f>INDEX('vehicles specifications'!$B$3:$CK$86,MATCH(B414,'vehicles specifications'!$A$3:$A$86,0),MATCH("Lightweighting rate [%]",'vehicles specifications'!$B$2:$CK$2,0))</f>
        <v>0.05</v>
      </c>
    </row>
    <row r="434" spans="1:8" x14ac:dyDescent="0.3">
      <c r="A434" s="21" t="s">
        <v>84</v>
      </c>
      <c r="B434" s="21" t="str">
        <f>"Power: "&amp;B425&amp;" kW. Lifetime: "&amp;B419&amp;" km. Annual kilometers: "&amp;B423&amp;" km. Number of passengers: "&amp;B420&amp;". Curb mass: "&amp;ROUND(B424,1)&amp;" kg. Lightweighting of glider: "&amp;ROUND(B433*100,0)&amp;"%. Emission standard: "&amp;B432&amp;". Service visits throughout lifetime: "&amp;ROUND(B421,1)&amp;". Range: "&amp;ROUND(B431,0)&amp;" km. Battery capacity: "&amp;ROUND(B427,1)&amp;" kWh. Available battery capacity: "&amp;B428&amp;" kWh. Battery mass: "&amp;ROUND(B426,1)&amp; " kg. Battery replacement throughout lifetime: "&amp;ROUND(B422,1)&amp;". Fuel tank capacity: "&amp;ROUND(B429,1)&amp;" kWh. Fuel mass: "&amp;ROUND(B430,1)&amp;" kg. Documentation: "&amp;Readmefirst!$B$2&amp;", "&amp;Readmefirst!$B$3&amp;". "&amp;B418</f>
        <v>Power: 2.6 kW. Lifetime: 33400 km. Annual kilometers: 2553 km. Number of passengers: 1. Curb mass: 99.8 kg. Lightweighting of glider: 5%. Emission standard: None. Service visits throughout lifetime: 1. Range: 125 km. Battery capacity: 5.8 kWh. Available battery capacity: 4.64 kWh. Battery mass: 17.4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35" spans="1:8" ht="15.6" x14ac:dyDescent="0.3">
      <c r="A435" s="11" t="s">
        <v>80</v>
      </c>
    </row>
    <row r="436" spans="1:8" x14ac:dyDescent="0.3">
      <c r="A436" s="21" t="s">
        <v>81</v>
      </c>
      <c r="B436" s="21" t="s">
        <v>82</v>
      </c>
      <c r="C436" s="21" t="s">
        <v>73</v>
      </c>
      <c r="D436" s="21" t="s">
        <v>77</v>
      </c>
      <c r="E436" s="21" t="s">
        <v>83</v>
      </c>
      <c r="F436" s="21" t="s">
        <v>75</v>
      </c>
      <c r="G436" s="21" t="s">
        <v>84</v>
      </c>
      <c r="H436" s="21" t="s">
        <v>74</v>
      </c>
    </row>
    <row r="437" spans="1:8" x14ac:dyDescent="0.3">
      <c r="A437" s="12" t="str">
        <f>B409</f>
        <v>transport, Scooter, electric, &lt;4kW, 2040, label-certified electricity</v>
      </c>
      <c r="B437" s="12">
        <v>1</v>
      </c>
      <c r="C437" s="12" t="str">
        <f>B410</f>
        <v>CH</v>
      </c>
      <c r="D437" s="12" t="s">
        <v>172</v>
      </c>
      <c r="E437" s="12"/>
      <c r="F437" s="12" t="s">
        <v>85</v>
      </c>
      <c r="G437" s="12" t="s">
        <v>86</v>
      </c>
      <c r="H437" s="12" t="str">
        <f>B415</f>
        <v>transport, Scooter, electric, &lt;4kW</v>
      </c>
    </row>
    <row r="438" spans="1:8" x14ac:dyDescent="0.3">
      <c r="A438" s="12" t="str">
        <f>B411&amp;", "&amp;B413</f>
        <v>Scooter, electric, &lt;4kW, 2040</v>
      </c>
      <c r="B438" s="12">
        <f>1/B419</f>
        <v>2.9940119760479042E-5</v>
      </c>
      <c r="C438" s="12" t="str">
        <f>B410</f>
        <v>CH</v>
      </c>
      <c r="D438" s="12" t="s">
        <v>77</v>
      </c>
      <c r="E438" s="12"/>
      <c r="F438" s="12" t="s">
        <v>91</v>
      </c>
      <c r="G438" s="12"/>
      <c r="H438" s="12" t="str">
        <f>RIGHT(H437,LEN(H437)-11)</f>
        <v>Scooter, electric, &lt;4kW</v>
      </c>
    </row>
    <row r="439" spans="1:8" x14ac:dyDescent="0.3">
      <c r="A439" s="12" t="str">
        <f>INDEX('ei names mapping'!$B$4:$R$33,MATCH(B411,'ei names mapping'!$A$4:$A$33,0),MATCH(G439,'ei names mapping'!$B$3:$R$3,0))</f>
        <v>road construction</v>
      </c>
      <c r="B439" s="16">
        <f>INDEX('vehicles specifications'!$B$3:$CK$86,MATCH(B414,'vehicles specifications'!$A$3:$A$86,0),MATCH(G439,'vehicles specifications'!$B$2:$CK$2,0))*INDEX('ei names mapping'!$B$137:$BK$220,MATCH(B414,'ei names mapping'!$A$137:$A$220,0),MATCH(G439,'ei names mapping'!$B$136:$BK$136,0))</f>
        <v>9.3303749999999996E-5</v>
      </c>
      <c r="C439" s="12" t="str">
        <f>INDEX('ei names mapping'!$B$38:$R$67,MATCH(B411,'ei names mapping'!$A$4:$A$33,0),MATCH(G439,'ei names mapping'!$B$3:$R$3,0))</f>
        <v>CH</v>
      </c>
      <c r="D439" s="12" t="str">
        <f>INDEX('ei names mapping'!$B$104:$BK$133,MATCH(B411,'ei names mapping'!$A$4:$A$33,0),MATCH(G439,'ei names mapping'!$B$3:$BK$3,0))</f>
        <v>meter-year</v>
      </c>
      <c r="E439" s="12"/>
      <c r="F439" s="12" t="s">
        <v>91</v>
      </c>
      <c r="G439" s="21" t="s">
        <v>108</v>
      </c>
      <c r="H439" s="12" t="str">
        <f>INDEX('ei names mapping'!$B$71:$BK$100,MATCH(B411,'ei names mapping'!$A$4:$A$33,0),MATCH(G439,'ei names mapping'!$B$3:$BK$3,0))</f>
        <v>road</v>
      </c>
    </row>
    <row r="440" spans="1:8" x14ac:dyDescent="0.3">
      <c r="A440" s="12" t="str">
        <f>INDEX('ei names mapping'!$B$4:$R$33,MATCH(B411,'ei names mapping'!$A$4:$A$33,0),MATCH(G440,'ei names mapping'!$B$3:$R$3,0))</f>
        <v>road maintenance</v>
      </c>
      <c r="B440" s="16">
        <f>INDEX('vehicles specifications'!$B$3:$CK$86,MATCH(B414,'vehicles specifications'!$A$3:$A$86,0),MATCH(G440,'vehicles specifications'!$B$2:$CK$2,0))*INDEX('ei names mapping'!$B$137:$BK$220,MATCH(B414,'ei names mapping'!$A$137:$A$220,0),MATCH(G440,'ei names mapping'!$B$136:$BK$136,0))</f>
        <v>1.2899999999999999E-3</v>
      </c>
      <c r="C440" s="12" t="str">
        <f>INDEX('ei names mapping'!$B$38:$R$67,MATCH(B411,'ei names mapping'!$A$4:$A$33,0),MATCH(G440,'ei names mapping'!$B$3:$R$3,0))</f>
        <v>CH</v>
      </c>
      <c r="D440" s="12" t="str">
        <f>INDEX('ei names mapping'!$B$104:$BK$133,MATCH(B411,'ei names mapping'!$A$4:$A$33,0),MATCH(G440,'ei names mapping'!$B$3:$BK$3,0))</f>
        <v>meter-year</v>
      </c>
      <c r="E440" s="12"/>
      <c r="F440" s="12" t="s">
        <v>91</v>
      </c>
      <c r="G440" s="21" t="s">
        <v>117</v>
      </c>
      <c r="H440" s="12" t="str">
        <f>INDEX('ei names mapping'!$B$71:$BK$100,MATCH(B411,'ei names mapping'!$A$4:$A$33,0),MATCH(G440,'ei names mapping'!$B$3:$BK$3,0))</f>
        <v>road maintenance</v>
      </c>
    </row>
    <row r="441" spans="1:8" x14ac:dyDescent="0.3">
      <c r="A441" s="12" t="s">
        <v>114</v>
      </c>
      <c r="B441" s="14">
        <f>INDEX('vehicles specifications'!$B$3:$CK$86,MATCH(B414,'vehicles specifications'!$A$3:$A$86,0),MATCH(G441,'vehicles specifications'!$B$2:$CK$2,0))*INDEX('ei names mapping'!$B$137:$BK$220,MATCH(B414,'ei names mapping'!$A$137:$A$220,0),MATCH(G441,'ei names mapping'!$B$136:$BK$136,0))</f>
        <v>4.0772143838600498E-2</v>
      </c>
      <c r="C441" s="12" t="str">
        <f>INDEX('ei names mapping'!$B$38:$R$67,MATCH($B$3,'ei names mapping'!$A$4:$A$33,0),MATCH(G441,'ei names mapping'!$B$3:$R$3,0))</f>
        <v>CH</v>
      </c>
      <c r="D441" s="12" t="str">
        <f>INDEX('ei names mapping'!$B$104:$R$133,MATCH($B$3,'ei names mapping'!$A$4:$A$33,0),MATCH(G441,'ei names mapping'!$B$3:$R$3,0))</f>
        <v>kilowatt hour</v>
      </c>
      <c r="E441" s="12"/>
      <c r="F441" s="12" t="s">
        <v>91</v>
      </c>
      <c r="G441" s="21" t="s">
        <v>28</v>
      </c>
      <c r="H441" s="12" t="s">
        <v>116</v>
      </c>
    </row>
    <row r="442" spans="1:8" x14ac:dyDescent="0.3">
      <c r="A442" s="12" t="str">
        <f>INDEX('ei names mapping'!$B$4:$R$33,MATCH(B411,'ei names mapping'!$A$4:$A$33,0),MATCH(G442,'ei names mapping'!$B$3:$R$3,0))</f>
        <v>market for maintenance, electric scooter, without battery</v>
      </c>
      <c r="B442" s="16">
        <f>INDEX('vehicles specifications'!$B$3:$CK$86,MATCH(B414,'vehicles specifications'!$A$3:$A$86,0),MATCH(G442,'vehicles specifications'!$B$2:$CK$2,0))*INDEX('ei names mapping'!$B$137:$BK$220,MATCH(B414,'ei names mapping'!$A$137:$A$220,0),MATCH(G442,'ei names mapping'!$B$136:$BK$136,0))</f>
        <v>2.9940119760479042E-5</v>
      </c>
      <c r="C442" s="12" t="str">
        <f>INDEX('ei names mapping'!$B$38:$BK$67,MATCH(B411,'ei names mapping'!$A$4:$A$33,0),MATCH(G442,'ei names mapping'!$B$3:$BK$3,0))</f>
        <v>GLO</v>
      </c>
      <c r="D442" s="12" t="str">
        <f>INDEX('ei names mapping'!$B$104:$BK$133,MATCH(B411,'ei names mapping'!$A$4:$A$33,0),MATCH(G442,'ei names mapping'!$B$3:$BK$3,0))</f>
        <v>unit</v>
      </c>
      <c r="F442" s="12" t="s">
        <v>91</v>
      </c>
      <c r="G442" s="12" t="s">
        <v>123</v>
      </c>
      <c r="H442" s="12" t="str">
        <f>INDEX('ei names mapping'!$B$71:$BK$100,MATCH(B411,'ei names mapping'!$A$4:$A$33,0),MATCH(G442,'ei names mapping'!$B$3:$BK$3,0))</f>
        <v>maintenance, electric scooter, without battery</v>
      </c>
    </row>
    <row r="443" spans="1:8" x14ac:dyDescent="0.3">
      <c r="A443" s="12" t="str">
        <f>INDEX('ei names mapping'!$B$4:$BK$33,MATCH(B411,'ei names mapping'!$A$4:$A$33,0),MATCH(G443,'ei names mapping'!$B$3:$BK$3,0))</f>
        <v>treatment of road wear emissions, passenger car</v>
      </c>
      <c r="B443" s="16">
        <f>INDEX('vehicles specifications'!$B$3:$CK$86,MATCH(B414,'vehicles specifications'!$A$3:$A$86,0),MATCH(G443,'vehicles specifications'!$B$2:$CK$2,0))*INDEX('ei names mapping'!$B$137:$BK$220,MATCH(B414,'ei names mapping'!$A$137:$A$220,0),MATCH(G443,'ei names mapping'!$B$136:$BK$136,0))</f>
        <v>-6.0000000000000002E-6</v>
      </c>
      <c r="C443" s="12" t="str">
        <f>INDEX('ei names mapping'!$B$38:$BK$67,MATCH(B411,'ei names mapping'!$A$4:$A$33,0),MATCH(G443,'ei names mapping'!$B$3:$BK$3,0))</f>
        <v>RER</v>
      </c>
      <c r="D443" s="12" t="str">
        <f>INDEX('ei names mapping'!$B$104:$BK$133,MATCH(B411,'ei names mapping'!$A$4:$A$33,0),MATCH(G443,'ei names mapping'!$B$3:$BK$3,0))</f>
        <v>kilogram</v>
      </c>
      <c r="E443" s="12"/>
      <c r="F443" s="12" t="s">
        <v>91</v>
      </c>
      <c r="G443" s="21" t="s">
        <v>29</v>
      </c>
      <c r="H443" s="12" t="str">
        <f>INDEX('ei names mapping'!$B$71:$BK$100,MATCH(B411,'ei names mapping'!$A$4:$A$33,0),MATCH(G443,'ei names mapping'!$B$3:$BK$3,0))</f>
        <v>road wear emissions, passenger car</v>
      </c>
    </row>
    <row r="444" spans="1:8" x14ac:dyDescent="0.3">
      <c r="A444" s="12" t="str">
        <f>INDEX('ei names mapping'!$B$4:$BK$33,MATCH(B411,'ei names mapping'!$A$4:$A$33,0),MATCH(G444,'ei names mapping'!$B$3:$BK$3,0))</f>
        <v>treatment of tyre wear emissions, passenger car</v>
      </c>
      <c r="B444" s="16">
        <f>INDEX('vehicles specifications'!$B$3:$CK$86,MATCH(B414,'vehicles specifications'!$A$3:$A$86,0),MATCH(G444,'vehicles specifications'!$B$2:$CK$2,0))*INDEX('ei names mapping'!$B$137:$BK$220,MATCH(B414,'ei names mapping'!$A$137:$A$220,0),MATCH(G444,'ei names mapping'!$B$136:$BK$136,0))</f>
        <v>-6.3939999999999993E-6</v>
      </c>
      <c r="C444" s="12" t="str">
        <f>INDEX('ei names mapping'!$B$38:$BK$67,MATCH(B411,'ei names mapping'!$A$4:$A$33,0),MATCH(G444,'ei names mapping'!$B$3:$BK$3,0))</f>
        <v>RER</v>
      </c>
      <c r="D444" s="12" t="str">
        <f>INDEX('ei names mapping'!$B$104:$BK$133,MATCH(B411,'ei names mapping'!$A$4:$A$33,0),MATCH(G444,'ei names mapping'!$B$3:$BK$3,0))</f>
        <v>kilogram</v>
      </c>
      <c r="E444" s="12"/>
      <c r="F444" s="12" t="s">
        <v>91</v>
      </c>
      <c r="G444" s="21" t="s">
        <v>30</v>
      </c>
      <c r="H444" s="12" t="str">
        <f>INDEX('ei names mapping'!$B$71:$BK$100,MATCH(B411,'ei names mapping'!$A$4:$A$33,0),MATCH(G444,'ei names mapping'!$B$3:$BK$3,0))</f>
        <v>tyre wear emissions, passenger car</v>
      </c>
    </row>
    <row r="445" spans="1:8" x14ac:dyDescent="0.3">
      <c r="A445" s="12" t="str">
        <f>INDEX('ei names mapping'!$B$4:$BK$33,MATCH(B411,'ei names mapping'!$A$4:$A$33,0),MATCH(G445,'ei names mapping'!$B$3:$BK$3,0))</f>
        <v>treatment of brake wear emissions, passenger car</v>
      </c>
      <c r="B445" s="16">
        <f>INDEX('vehicles specifications'!$B$3:$CK$86,MATCH(B414,'vehicles specifications'!$A$3:$A$86,0),MATCH(G445,'vehicles specifications'!$B$2:$CK$2,0))*INDEX('ei names mapping'!$B$137:$BK$220,MATCH(B414,'ei names mapping'!$A$137:$A$220,0),MATCH(G445,'ei names mapping'!$B$136:$BK$136,0))</f>
        <v>-3.0894999999999998E-6</v>
      </c>
      <c r="C445" s="12" t="str">
        <f>INDEX('ei names mapping'!$B$38:$BK$67,MATCH(B411,'ei names mapping'!$A$4:$A$33,0),MATCH(G445,'ei names mapping'!$B$3:$BK$3,0))</f>
        <v>RER</v>
      </c>
      <c r="D445" s="12" t="str">
        <f>INDEX('ei names mapping'!$B$104:$BK$133,MATCH(B411,'ei names mapping'!$A$4:$A$33,0),MATCH(G445,'ei names mapping'!$B$3:$BK$3,0))</f>
        <v>kilogram</v>
      </c>
      <c r="E445" s="12"/>
      <c r="F445" s="12" t="s">
        <v>91</v>
      </c>
      <c r="G445" s="21" t="s">
        <v>31</v>
      </c>
      <c r="H445" s="12" t="str">
        <f>INDEX('ei names mapping'!$B$71:$BK$100,MATCH(B411,'ei names mapping'!$A$4:$A$33,0),MATCH(G445,'ei names mapping'!$B$3:$BK$3,0))</f>
        <v>brake wear emissions, passenger car</v>
      </c>
    </row>
    <row r="447" spans="1:8" ht="15.6" x14ac:dyDescent="0.3">
      <c r="A447" s="11" t="s">
        <v>72</v>
      </c>
      <c r="B447" s="9" t="str">
        <f>"transport, "&amp;B449&amp;", "&amp;B451&amp;", label-certified electricity"</f>
        <v>transport, Scooter, electric, &lt;4kW, 2050, label-certified electricity</v>
      </c>
    </row>
    <row r="448" spans="1:8" x14ac:dyDescent="0.3">
      <c r="A448" s="21" t="s">
        <v>73</v>
      </c>
      <c r="B448" s="21" t="s">
        <v>37</v>
      </c>
    </row>
    <row r="449" spans="1:2" x14ac:dyDescent="0.3">
      <c r="A449" s="21" t="s">
        <v>87</v>
      </c>
      <c r="B449" s="21" t="s">
        <v>674</v>
      </c>
    </row>
    <row r="450" spans="1:2" x14ac:dyDescent="0.3">
      <c r="A450" s="21" t="s">
        <v>88</v>
      </c>
      <c r="B450" s="12"/>
    </row>
    <row r="451" spans="1:2" x14ac:dyDescent="0.3">
      <c r="A451" s="21" t="s">
        <v>89</v>
      </c>
      <c r="B451" s="12">
        <v>2050</v>
      </c>
    </row>
    <row r="452" spans="1:2" x14ac:dyDescent="0.3">
      <c r="A452" s="21" t="s">
        <v>131</v>
      </c>
      <c r="B452" s="12" t="str">
        <f>B449&amp;" - "&amp;B451&amp;" - "&amp;B448</f>
        <v>Scooter, electric, &lt;4kW - 2050 - CH</v>
      </c>
    </row>
    <row r="453" spans="1:2" x14ac:dyDescent="0.3">
      <c r="A453" s="21" t="s">
        <v>74</v>
      </c>
      <c r="B453" s="12" t="str">
        <f>"transport, "&amp;B449</f>
        <v>transport, Scooter, electric, &lt;4kW</v>
      </c>
    </row>
    <row r="454" spans="1:2" x14ac:dyDescent="0.3">
      <c r="A454" s="21" t="s">
        <v>75</v>
      </c>
      <c r="B454" s="21" t="s">
        <v>76</v>
      </c>
    </row>
    <row r="455" spans="1:2" x14ac:dyDescent="0.3">
      <c r="A455" s="21" t="s">
        <v>77</v>
      </c>
      <c r="B455" s="21" t="s">
        <v>172</v>
      </c>
    </row>
    <row r="456" spans="1:2" x14ac:dyDescent="0.3">
      <c r="A456" s="21" t="s">
        <v>79</v>
      </c>
      <c r="B456" s="21" t="s">
        <v>90</v>
      </c>
    </row>
    <row r="457" spans="1:2" x14ac:dyDescent="0.3">
      <c r="A457" s="21" t="s">
        <v>132</v>
      </c>
      <c r="B457" s="21">
        <f>INDEX('vehicles specifications'!$B$3:$CK$86,MATCH(B452,'vehicles specifications'!$A$3:$A$86,0),MATCH("Lifetime [km]",'vehicles specifications'!$B$2:$CK$2,0))</f>
        <v>33400</v>
      </c>
    </row>
    <row r="458" spans="1:2" x14ac:dyDescent="0.3">
      <c r="A458" s="21" t="s">
        <v>133</v>
      </c>
      <c r="B458" s="21">
        <f>INDEX('vehicles specifications'!$B$3:$CK$86,MATCH(B452,'vehicles specifications'!$A$3:$A$86,0),MATCH("Passengers [unit]",'vehicles specifications'!$B$2:$CK$2,0))</f>
        <v>1</v>
      </c>
    </row>
    <row r="459" spans="1:2" x14ac:dyDescent="0.3">
      <c r="A459" s="21" t="s">
        <v>134</v>
      </c>
      <c r="B459" s="21">
        <f>INDEX('vehicles specifications'!$B$3:$CK$86,MATCH(B452,'vehicles specifications'!$A$3:$A$86,0),MATCH("Servicing [unit]",'vehicles specifications'!$B$2:$CK$2,0))</f>
        <v>1</v>
      </c>
    </row>
    <row r="460" spans="1:2" x14ac:dyDescent="0.3">
      <c r="A460" s="21" t="s">
        <v>135</v>
      </c>
      <c r="B460" s="21">
        <f>INDEX('vehicles specifications'!$B$3:$CK$86,MATCH(B452,'vehicles specifications'!$A$3:$A$86,0),MATCH("Energy battery replacement [unit]",'vehicles specifications'!$B$2:$CK$2,0))</f>
        <v>0</v>
      </c>
    </row>
    <row r="461" spans="1:2" x14ac:dyDescent="0.3">
      <c r="A461" s="21" t="s">
        <v>136</v>
      </c>
      <c r="B461" s="21">
        <f>INDEX('vehicles specifications'!$B$3:$CK$86,MATCH(B452,'vehicles specifications'!$A$3:$A$86,0),MATCH("Annual kilometers [km]",'vehicles specifications'!$B$2:$CK$2,0))</f>
        <v>2553</v>
      </c>
    </row>
    <row r="462" spans="1:2" x14ac:dyDescent="0.3">
      <c r="A462" s="21" t="s">
        <v>137</v>
      </c>
      <c r="B462" s="2">
        <f>INDEX('vehicles specifications'!$B$3:$CK$86,MATCH(B452,'vehicles specifications'!$A$3:$A$86,0),MATCH("Curb mass [kg]",'vehicles specifications'!$B$2:$CK$2,0))</f>
        <v>100.09</v>
      </c>
    </row>
    <row r="463" spans="1:2" x14ac:dyDescent="0.3">
      <c r="A463" s="21" t="s">
        <v>138</v>
      </c>
      <c r="B463" s="21">
        <f>INDEX('vehicles specifications'!$B$3:$CK$86,MATCH(B452,'vehicles specifications'!$A$3:$A$86,0),MATCH("Power [kW]",'vehicles specifications'!$B$2:$CK$2,0))</f>
        <v>2.6</v>
      </c>
    </row>
    <row r="464" spans="1:2" x14ac:dyDescent="0.3">
      <c r="A464" s="21" t="s">
        <v>139</v>
      </c>
      <c r="B464" s="21">
        <f>INDEX('vehicles specifications'!$B$3:$CK$86,MATCH(B452,'vehicles specifications'!$A$3:$A$86,0),MATCH("Energy battery mass [kg]",'vehicles specifications'!$B$2:$CK$2,0))</f>
        <v>19.2</v>
      </c>
    </row>
    <row r="465" spans="1:8" x14ac:dyDescent="0.3">
      <c r="A465" s="21" t="s">
        <v>140</v>
      </c>
      <c r="B465" s="21">
        <f>INDEX('vehicles specifications'!$B$3:$CK$86,MATCH(B452,'vehicles specifications'!$A$3:$A$86,0),MATCH("Electric energy stored [kWh]",'vehicles specifications'!$B$2:$CK$2,0))</f>
        <v>8</v>
      </c>
    </row>
    <row r="466" spans="1:8" x14ac:dyDescent="0.3">
      <c r="A466" s="21" t="s">
        <v>654</v>
      </c>
      <c r="B466" s="21">
        <f>INDEX('vehicles specifications'!$B$3:$CK$86,MATCH(B452,'vehicles specifications'!$A$3:$A$86,0),MATCH("Electric energy available [kWh]",'vehicles specifications'!$B$2:$CK$2,0))</f>
        <v>6.4</v>
      </c>
    </row>
    <row r="467" spans="1:8" x14ac:dyDescent="0.3">
      <c r="A467" s="21" t="s">
        <v>143</v>
      </c>
      <c r="B467" s="2">
        <f>INDEX('vehicles specifications'!$B$3:$CK$86,MATCH(B452,'vehicles specifications'!$A$3:$A$86,0),MATCH("Oxydation energy stored [kWh]",'vehicles specifications'!$B$2:$CK$2,0))</f>
        <v>0</v>
      </c>
    </row>
    <row r="468" spans="1:8" x14ac:dyDescent="0.3">
      <c r="A468" s="21" t="s">
        <v>145</v>
      </c>
      <c r="B468" s="21">
        <f>INDEX('vehicles specifications'!$B$3:$CK$86,MATCH(B452,'vehicles specifications'!$A$3:$A$86,0),MATCH("Fuel mass [kg]",'vehicles specifications'!$B$2:$CK$2,0))</f>
        <v>0</v>
      </c>
    </row>
    <row r="469" spans="1:8" x14ac:dyDescent="0.3">
      <c r="A469" s="21" t="s">
        <v>141</v>
      </c>
      <c r="B469" s="2">
        <f>INDEX('vehicles specifications'!$B$3:$CK$86,MATCH(B452,'vehicles specifications'!$A$3:$A$86,0),MATCH("Range [km]",'vehicles specifications'!$B$2:$CK$2,0))</f>
        <v>172.66690777576852</v>
      </c>
    </row>
    <row r="470" spans="1:8" x14ac:dyDescent="0.3">
      <c r="A470" s="21" t="s">
        <v>142</v>
      </c>
      <c r="B470" s="21" t="str">
        <f>INDEX('vehicles specifications'!$B$3:$CK$86,MATCH(B452,'vehicles specifications'!$A$3:$A$86,0),MATCH("Emission standard",'vehicles specifications'!$B$2:$CK$2,0))</f>
        <v>None</v>
      </c>
    </row>
    <row r="471" spans="1:8" x14ac:dyDescent="0.3">
      <c r="A471" s="21" t="s">
        <v>144</v>
      </c>
      <c r="B471" s="6">
        <f>INDEX('vehicles specifications'!$B$3:$CK$86,MATCH(B452,'vehicles specifications'!$A$3:$A$86,0),MATCH("Lightweighting rate [%]",'vehicles specifications'!$B$2:$CK$2,0))</f>
        <v>7.0000000000000007E-2</v>
      </c>
    </row>
    <row r="472" spans="1:8" x14ac:dyDescent="0.3">
      <c r="A472" s="21" t="s">
        <v>84</v>
      </c>
      <c r="B472" s="21" t="str">
        <f>"Power: "&amp;B463&amp;" kW. Lifetime: "&amp;B457&amp;" km. Annual kilometers: "&amp;B461&amp;" km. Number of passengers: "&amp;B458&amp;". Curb mass: "&amp;ROUND(B462,1)&amp;" kg. Lightweighting of glider: "&amp;ROUND(B471*100,0)&amp;"%. Emission standard: "&amp;B470&amp;". Service visits throughout lifetime: "&amp;ROUND(B459,1)&amp;". Range: "&amp;ROUND(B469,0)&amp;" km. Battery capacity: "&amp;ROUND(B465,1)&amp;" kWh. Available battery capacity: "&amp;B466&amp;" kWh. Battery mass: "&amp;ROUND(B464,1)&amp; " kg. Battery replacement throughout lifetime: "&amp;ROUND(B460,1)&amp;". Fuel tank capacity: "&amp;ROUND(B467,1)&amp;" kWh. Fuel mass: "&amp;ROUND(B468,1)&amp;" kg. Documentation: "&amp;Readmefirst!$B$2&amp;", "&amp;Readmefirst!$B$3&amp;". "&amp;B456</f>
        <v>Power: 2.6 kW. Lifetime: 33400 km. Annual kilometers: 2553 km. Number of passengers: 1. Curb mass: 100.1 kg. Lightweighting of glider: 7%. Emission standard: None. Service visits throughout lifetime: 1. Range: 173 km. Battery capacity: 8 kWh. Available battery capacity: 6.4 kWh. Battery mass: 19.2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73" spans="1:8" ht="15.6" x14ac:dyDescent="0.3">
      <c r="A473" s="11" t="s">
        <v>80</v>
      </c>
    </row>
    <row r="474" spans="1:8" x14ac:dyDescent="0.3">
      <c r="A474" s="21" t="s">
        <v>81</v>
      </c>
      <c r="B474" s="21" t="s">
        <v>82</v>
      </c>
      <c r="C474" s="21" t="s">
        <v>73</v>
      </c>
      <c r="D474" s="21" t="s">
        <v>77</v>
      </c>
      <c r="E474" s="21" t="s">
        <v>83</v>
      </c>
      <c r="F474" s="21" t="s">
        <v>75</v>
      </c>
      <c r="G474" s="21" t="s">
        <v>84</v>
      </c>
      <c r="H474" s="21" t="s">
        <v>74</v>
      </c>
    </row>
    <row r="475" spans="1:8" x14ac:dyDescent="0.3">
      <c r="A475" s="12" t="str">
        <f>B447</f>
        <v>transport, Scooter, electric, &lt;4kW, 2050, label-certified electricity</v>
      </c>
      <c r="B475" s="12">
        <v>1</v>
      </c>
      <c r="C475" s="12" t="str">
        <f>B448</f>
        <v>CH</v>
      </c>
      <c r="D475" s="12" t="s">
        <v>172</v>
      </c>
      <c r="E475" s="12"/>
      <c r="F475" s="12" t="s">
        <v>85</v>
      </c>
      <c r="G475" s="12" t="s">
        <v>86</v>
      </c>
      <c r="H475" s="12" t="str">
        <f>B453</f>
        <v>transport, Scooter, electric, &lt;4kW</v>
      </c>
    </row>
    <row r="476" spans="1:8" x14ac:dyDescent="0.3">
      <c r="A476" s="12" t="str">
        <f>B449&amp;", "&amp;B451</f>
        <v>Scooter, electric, &lt;4kW, 2050</v>
      </c>
      <c r="B476" s="12">
        <f>1/B457</f>
        <v>2.9940119760479042E-5</v>
      </c>
      <c r="C476" s="12" t="str">
        <f>B448</f>
        <v>CH</v>
      </c>
      <c r="D476" s="12" t="s">
        <v>77</v>
      </c>
      <c r="E476" s="12"/>
      <c r="F476" s="12" t="s">
        <v>91</v>
      </c>
      <c r="G476" s="12"/>
      <c r="H476" s="12" t="str">
        <f>RIGHT(H475,LEN(H475)-11)</f>
        <v>Scooter, electric, &lt;4kW</v>
      </c>
    </row>
    <row r="477" spans="1:8" x14ac:dyDescent="0.3">
      <c r="A477" s="12" t="str">
        <f>INDEX('ei names mapping'!$B$4:$R$33,MATCH(B449,'ei names mapping'!$A$4:$A$33,0),MATCH(G477,'ei names mapping'!$B$3:$R$3,0))</f>
        <v>road construction</v>
      </c>
      <c r="B477" s="16">
        <f>INDEX('vehicles specifications'!$B$3:$CK$86,MATCH(B452,'vehicles specifications'!$A$3:$A$86,0),MATCH(G477,'vehicles specifications'!$B$2:$CK$2,0))*INDEX('ei names mapping'!$B$137:$BK$220,MATCH(B452,'ei names mapping'!$A$137:$A$220,0),MATCH(G477,'ei names mapping'!$B$136:$BK$136,0))</f>
        <v>9.3486330000000002E-5</v>
      </c>
      <c r="C477" s="12" t="str">
        <f>INDEX('ei names mapping'!$B$38:$R$67,MATCH(B449,'ei names mapping'!$A$4:$A$33,0),MATCH(G477,'ei names mapping'!$B$3:$R$3,0))</f>
        <v>CH</v>
      </c>
      <c r="D477" s="12" t="str">
        <f>INDEX('ei names mapping'!$B$104:$BK$133,MATCH(B449,'ei names mapping'!$A$4:$A$33,0),MATCH(G477,'ei names mapping'!$B$3:$BK$3,0))</f>
        <v>meter-year</v>
      </c>
      <c r="E477" s="12"/>
      <c r="F477" s="12" t="s">
        <v>91</v>
      </c>
      <c r="G477" s="21" t="s">
        <v>108</v>
      </c>
      <c r="H477" s="12" t="str">
        <f>INDEX('ei names mapping'!$B$71:$BK$100,MATCH(B449,'ei names mapping'!$A$4:$A$33,0),MATCH(G477,'ei names mapping'!$B$3:$BK$3,0))</f>
        <v>road</v>
      </c>
    </row>
    <row r="478" spans="1:8" x14ac:dyDescent="0.3">
      <c r="A478" s="12" t="str">
        <f>INDEX('ei names mapping'!$B$4:$R$33,MATCH(B449,'ei names mapping'!$A$4:$A$33,0),MATCH(G478,'ei names mapping'!$B$3:$R$3,0))</f>
        <v>road maintenance</v>
      </c>
      <c r="B478" s="16">
        <f>INDEX('vehicles specifications'!$B$3:$CK$86,MATCH(B452,'vehicles specifications'!$A$3:$A$86,0),MATCH(G478,'vehicles specifications'!$B$2:$CK$2,0))*INDEX('ei names mapping'!$B$137:$BK$220,MATCH(B452,'ei names mapping'!$A$137:$A$220,0),MATCH(G478,'ei names mapping'!$B$136:$BK$136,0))</f>
        <v>1.2899999999999999E-3</v>
      </c>
      <c r="C478" s="12" t="str">
        <f>INDEX('ei names mapping'!$B$38:$R$67,MATCH(B449,'ei names mapping'!$A$4:$A$33,0),MATCH(G478,'ei names mapping'!$B$3:$R$3,0))</f>
        <v>CH</v>
      </c>
      <c r="D478" s="12" t="str">
        <f>INDEX('ei names mapping'!$B$104:$BK$133,MATCH(B449,'ei names mapping'!$A$4:$A$33,0),MATCH(G478,'ei names mapping'!$B$3:$BK$3,0))</f>
        <v>meter-year</v>
      </c>
      <c r="E478" s="12"/>
      <c r="F478" s="12" t="s">
        <v>91</v>
      </c>
      <c r="G478" s="21" t="s">
        <v>117</v>
      </c>
      <c r="H478" s="12" t="str">
        <f>INDEX('ei names mapping'!$B$71:$BK$100,MATCH(B449,'ei names mapping'!$A$4:$A$33,0),MATCH(G478,'ei names mapping'!$B$3:$BK$3,0))</f>
        <v>road maintenance</v>
      </c>
    </row>
    <row r="479" spans="1:8" x14ac:dyDescent="0.3">
      <c r="A479" s="12" t="s">
        <v>114</v>
      </c>
      <c r="B479" s="14">
        <f>INDEX('vehicles specifications'!$B$3:$CK$86,MATCH(B452,'vehicles specifications'!$A$3:$A$86,0),MATCH(G479,'vehicles specifications'!$B$2:$CK$2,0))*INDEX('ei names mapping'!$B$137:$BK$220,MATCH(B452,'ei names mapping'!$A$137:$A$220,0),MATCH(G479,'ei names mapping'!$B$136:$BK$136,0))</f>
        <v>4.0772143838600498E-2</v>
      </c>
      <c r="C479" s="12" t="str">
        <f>INDEX('ei names mapping'!$B$38:$R$67,MATCH($B$3,'ei names mapping'!$A$4:$A$33,0),MATCH(G479,'ei names mapping'!$B$3:$R$3,0))</f>
        <v>CH</v>
      </c>
      <c r="D479" s="12" t="str">
        <f>INDEX('ei names mapping'!$B$104:$R$133,MATCH($B$3,'ei names mapping'!$A$4:$A$33,0),MATCH(G479,'ei names mapping'!$B$3:$R$3,0))</f>
        <v>kilowatt hour</v>
      </c>
      <c r="E479" s="12"/>
      <c r="F479" s="12" t="s">
        <v>91</v>
      </c>
      <c r="G479" s="21" t="s">
        <v>28</v>
      </c>
      <c r="H479" s="12" t="s">
        <v>116</v>
      </c>
    </row>
    <row r="480" spans="1:8" x14ac:dyDescent="0.3">
      <c r="A480" s="12" t="str">
        <f>INDEX('ei names mapping'!$B$4:$R$33,MATCH(B449,'ei names mapping'!$A$4:$A$33,0),MATCH(G480,'ei names mapping'!$B$3:$R$3,0))</f>
        <v>market for maintenance, electric scooter, without battery</v>
      </c>
      <c r="B480" s="16">
        <f>INDEX('vehicles specifications'!$B$3:$CK$86,MATCH(B452,'vehicles specifications'!$A$3:$A$86,0),MATCH(G480,'vehicles specifications'!$B$2:$CK$2,0))*INDEX('ei names mapping'!$B$137:$BK$220,MATCH(B452,'ei names mapping'!$A$137:$A$220,0),MATCH(G480,'ei names mapping'!$B$136:$BK$136,0))</f>
        <v>2.9940119760479042E-5</v>
      </c>
      <c r="C480" s="12" t="str">
        <f>INDEX('ei names mapping'!$B$38:$BK$67,MATCH(B449,'ei names mapping'!$A$4:$A$33,0),MATCH(G480,'ei names mapping'!$B$3:$BK$3,0))</f>
        <v>GLO</v>
      </c>
      <c r="D480" s="12" t="str">
        <f>INDEX('ei names mapping'!$B$104:$BK$133,MATCH(B449,'ei names mapping'!$A$4:$A$33,0),MATCH(G480,'ei names mapping'!$B$3:$BK$3,0))</f>
        <v>unit</v>
      </c>
      <c r="F480" s="12" t="s">
        <v>91</v>
      </c>
      <c r="G480" s="12" t="s">
        <v>123</v>
      </c>
      <c r="H480" s="12" t="str">
        <f>INDEX('ei names mapping'!$B$71:$BK$100,MATCH(B449,'ei names mapping'!$A$4:$A$33,0),MATCH(G480,'ei names mapping'!$B$3:$BK$3,0))</f>
        <v>maintenance, electric scooter, without battery</v>
      </c>
    </row>
    <row r="481" spans="1:8" x14ac:dyDescent="0.3">
      <c r="A481" s="12" t="str">
        <f>INDEX('ei names mapping'!$B$4:$BK$33,MATCH(B449,'ei names mapping'!$A$4:$A$33,0),MATCH(G481,'ei names mapping'!$B$3:$BK$3,0))</f>
        <v>treatment of road wear emissions, passenger car</v>
      </c>
      <c r="B481" s="16">
        <f>INDEX('vehicles specifications'!$B$3:$CK$86,MATCH(B452,'vehicles specifications'!$A$3:$A$86,0),MATCH(G481,'vehicles specifications'!$B$2:$CK$2,0))*INDEX('ei names mapping'!$B$137:$BK$220,MATCH(B452,'ei names mapping'!$A$137:$A$220,0),MATCH(G481,'ei names mapping'!$B$136:$BK$136,0))</f>
        <v>-6.0000000000000002E-6</v>
      </c>
      <c r="C481" s="12" t="str">
        <f>INDEX('ei names mapping'!$B$38:$BK$67,MATCH(B449,'ei names mapping'!$A$4:$A$33,0),MATCH(G481,'ei names mapping'!$B$3:$BK$3,0))</f>
        <v>RER</v>
      </c>
      <c r="D481" s="12" t="str">
        <f>INDEX('ei names mapping'!$B$104:$BK$133,MATCH(B449,'ei names mapping'!$A$4:$A$33,0),MATCH(G481,'ei names mapping'!$B$3:$BK$3,0))</f>
        <v>kilogram</v>
      </c>
      <c r="E481" s="12"/>
      <c r="F481" s="12" t="s">
        <v>91</v>
      </c>
      <c r="G481" s="21" t="s">
        <v>29</v>
      </c>
      <c r="H481" s="12" t="str">
        <f>INDEX('ei names mapping'!$B$71:$BK$100,MATCH(B449,'ei names mapping'!$A$4:$A$33,0),MATCH(G481,'ei names mapping'!$B$3:$BK$3,0))</f>
        <v>road wear emissions, passenger car</v>
      </c>
    </row>
    <row r="482" spans="1:8" x14ac:dyDescent="0.3">
      <c r="A482" s="12" t="str">
        <f>INDEX('ei names mapping'!$B$4:$BK$33,MATCH(B449,'ei names mapping'!$A$4:$A$33,0),MATCH(G482,'ei names mapping'!$B$3:$BK$3,0))</f>
        <v>treatment of tyre wear emissions, passenger car</v>
      </c>
      <c r="B482" s="16">
        <f>INDEX('vehicles specifications'!$B$3:$CK$86,MATCH(B452,'vehicles specifications'!$A$3:$A$86,0),MATCH(G482,'vehicles specifications'!$B$2:$CK$2,0))*INDEX('ei names mapping'!$B$137:$BK$220,MATCH(B452,'ei names mapping'!$A$137:$A$220,0),MATCH(G482,'ei names mapping'!$B$136:$BK$136,0))</f>
        <v>-6.3939999999999993E-6</v>
      </c>
      <c r="C482" s="12" t="str">
        <f>INDEX('ei names mapping'!$B$38:$BK$67,MATCH(B449,'ei names mapping'!$A$4:$A$33,0),MATCH(G482,'ei names mapping'!$B$3:$BK$3,0))</f>
        <v>RER</v>
      </c>
      <c r="D482" s="12" t="str">
        <f>INDEX('ei names mapping'!$B$104:$BK$133,MATCH(B449,'ei names mapping'!$A$4:$A$33,0),MATCH(G482,'ei names mapping'!$B$3:$BK$3,0))</f>
        <v>kilogram</v>
      </c>
      <c r="E482" s="12"/>
      <c r="F482" s="12" t="s">
        <v>91</v>
      </c>
      <c r="G482" s="21" t="s">
        <v>30</v>
      </c>
      <c r="H482" s="12" t="str">
        <f>INDEX('ei names mapping'!$B$71:$BK$100,MATCH(B449,'ei names mapping'!$A$4:$A$33,0),MATCH(G482,'ei names mapping'!$B$3:$BK$3,0))</f>
        <v>tyre wear emissions, passenger car</v>
      </c>
    </row>
    <row r="483" spans="1:8" x14ac:dyDescent="0.3">
      <c r="A483" s="12" t="str">
        <f>INDEX('ei names mapping'!$B$4:$BK$33,MATCH(B449,'ei names mapping'!$A$4:$A$33,0),MATCH(G483,'ei names mapping'!$B$3:$BK$3,0))</f>
        <v>treatment of brake wear emissions, passenger car</v>
      </c>
      <c r="B483" s="16">
        <f>INDEX('vehicles specifications'!$B$3:$CK$86,MATCH(B452,'vehicles specifications'!$A$3:$A$86,0),MATCH(G483,'vehicles specifications'!$B$2:$CK$2,0))*INDEX('ei names mapping'!$B$137:$BK$220,MATCH(B452,'ei names mapping'!$A$137:$A$220,0),MATCH(G483,'ei names mapping'!$B$136:$BK$136,0))</f>
        <v>-3.0894999999999998E-6</v>
      </c>
      <c r="C483" s="12" t="str">
        <f>INDEX('ei names mapping'!$B$38:$BK$67,MATCH(B449,'ei names mapping'!$A$4:$A$33,0),MATCH(G483,'ei names mapping'!$B$3:$BK$3,0))</f>
        <v>RER</v>
      </c>
      <c r="D483" s="12" t="str">
        <f>INDEX('ei names mapping'!$B$104:$BK$133,MATCH(B449,'ei names mapping'!$A$4:$A$33,0),MATCH(G483,'ei names mapping'!$B$3:$BK$3,0))</f>
        <v>kilogram</v>
      </c>
      <c r="E483" s="12"/>
      <c r="F483" s="12" t="s">
        <v>91</v>
      </c>
      <c r="G483" s="21" t="s">
        <v>31</v>
      </c>
      <c r="H483" s="12" t="str">
        <f>INDEX('ei names mapping'!$B$71:$BK$100,MATCH(B449,'ei names mapping'!$A$4:$A$33,0),MATCH(G483,'ei names mapping'!$B$3:$BK$3,0))</f>
        <v>brake wear emissions, passenger car</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3"/>
  <sheetViews>
    <sheetView zoomScale="85" zoomScaleNormal="85" workbookViewId="0">
      <selection activeCell="E295" sqref="E295"/>
    </sheetView>
  </sheetViews>
  <sheetFormatPr defaultRowHeight="14.4" x14ac:dyDescent="0.3"/>
  <cols>
    <col min="1" max="1" width="48.21875" bestFit="1" customWidth="1"/>
    <col min="2" max="2" width="15.6640625" bestFit="1" customWidth="1"/>
    <col min="5" max="5" width="9.77734375" bestFit="1" customWidth="1"/>
    <col min="6" max="6" width="12.44140625" bestFit="1" customWidth="1"/>
    <col min="7" max="7" width="32" bestFit="1" customWidth="1"/>
  </cols>
  <sheetData>
    <row r="1" spans="1:2" ht="15.6" x14ac:dyDescent="0.3">
      <c r="A1" s="11" t="s">
        <v>72</v>
      </c>
      <c r="B1" s="9" t="str">
        <f>B3&amp;", "&amp;B5</f>
        <v>Scooter, electric, 4-11kW, 2020</v>
      </c>
    </row>
    <row r="2" spans="1:2" x14ac:dyDescent="0.3">
      <c r="A2" t="s">
        <v>73</v>
      </c>
      <c r="B2" t="s">
        <v>37</v>
      </c>
    </row>
    <row r="3" spans="1:2" x14ac:dyDescent="0.3">
      <c r="A3" t="s">
        <v>87</v>
      </c>
      <c r="B3" t="s">
        <v>631</v>
      </c>
    </row>
    <row r="4" spans="1:2" x14ac:dyDescent="0.3">
      <c r="A4" t="s">
        <v>88</v>
      </c>
      <c r="B4" s="12"/>
    </row>
    <row r="5" spans="1:2" x14ac:dyDescent="0.3">
      <c r="A5" t="s">
        <v>89</v>
      </c>
      <c r="B5" s="12">
        <v>2020</v>
      </c>
    </row>
    <row r="6" spans="1:2" x14ac:dyDescent="0.3">
      <c r="A6" t="s">
        <v>131</v>
      </c>
      <c r="B6" s="12" t="str">
        <f>B3&amp;" - "&amp;B5&amp;" - "&amp;B2</f>
        <v>Scooter, electric, 4-11kW - 2020 - CH</v>
      </c>
    </row>
    <row r="7" spans="1:2" x14ac:dyDescent="0.3">
      <c r="A7" t="s">
        <v>74</v>
      </c>
      <c r="B7" t="str">
        <f>B3</f>
        <v>Scooter, electric, 4-11kW</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39800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1</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2731</v>
      </c>
    </row>
    <row r="16" spans="1:2" x14ac:dyDescent="0.3">
      <c r="A16" t="s">
        <v>137</v>
      </c>
      <c r="B16" s="2">
        <f>INDEX('vehicles specifications'!$B$3:$CK$86,MATCH(B6,'vehicles specifications'!$A$3:$A$86,0),MATCH("Curb mass [kg]",'vehicles specifications'!$B$2:$CK$2,0))</f>
        <v>129.80000000000001</v>
      </c>
    </row>
    <row r="17" spans="1:8" x14ac:dyDescent="0.3">
      <c r="A17" t="s">
        <v>138</v>
      </c>
      <c r="B17">
        <f>INDEX('vehicles specifications'!$B$3:$CK$86,MATCH(B6,'vehicles specifications'!$A$3:$A$86,0),MATCH("Power [kW]",'vehicles specifications'!$B$2:$CK$2,0))</f>
        <v>6.1</v>
      </c>
    </row>
    <row r="18" spans="1:8" x14ac:dyDescent="0.3">
      <c r="A18" t="s">
        <v>139</v>
      </c>
      <c r="B18">
        <f>INDEX('vehicles specifications'!$B$3:$CK$86,MATCH(B6,'vehicles specifications'!$A$3:$A$86,0),MATCH("Energy battery mass [kg]",'vehicles specifications'!$B$2:$CK$2,0))</f>
        <v>19.799999999999997</v>
      </c>
    </row>
    <row r="19" spans="1:8" x14ac:dyDescent="0.3">
      <c r="A19" t="s">
        <v>140</v>
      </c>
      <c r="B19">
        <f>INDEX('vehicles specifications'!$B$3:$CK$86,MATCH(B6,'vehicles specifications'!$A$3:$A$86,0),MATCH("Electric energy stored [kWh]",'vehicles specifications'!$B$2:$CK$2,0))</f>
        <v>3.3</v>
      </c>
    </row>
    <row r="20" spans="1:8" s="21" customFormat="1" x14ac:dyDescent="0.3">
      <c r="A20" s="21" t="s">
        <v>654</v>
      </c>
      <c r="B20" s="21">
        <f>INDEX('vehicles specifications'!$B$3:$CK$86,MATCH(B6,'vehicles specifications'!$A$3:$A$86,0),MATCH("Electric energy available [kWh]",'vehicles specifications'!$B$2:$CK$2,0))</f>
        <v>2.64</v>
      </c>
    </row>
    <row r="21" spans="1:8" x14ac:dyDescent="0.3">
      <c r="A21" t="s">
        <v>143</v>
      </c>
      <c r="B21" s="2">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50.175550663414057</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6.1 kW. Lifetime: 39800 km. Annual kilometers: 2731 km. Number of passengers: 1. Curb mass: 129.8 kg. Lightweighting of glider: 0%. Emission standard: None. Service visits throughout lifetime: 1. Range: 50 km. Battery capacity: 3.3 kWh. Available battery capacity: 2.64 kWh. Battery mass: 19.8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Scooter, electric, 4-11kW, 2020</v>
      </c>
      <c r="B32" s="12">
        <v>1</v>
      </c>
      <c r="C32" s="12" t="str">
        <f>B2</f>
        <v>CH</v>
      </c>
      <c r="D32" s="12" t="str">
        <f>B9</f>
        <v>unit</v>
      </c>
      <c r="E32" s="12"/>
      <c r="F32" s="12" t="s">
        <v>85</v>
      </c>
      <c r="G32" s="12" t="s">
        <v>86</v>
      </c>
      <c r="H32" s="12" t="str">
        <f>B3</f>
        <v>Scooter, electric, 4-11kW</v>
      </c>
    </row>
    <row r="33" spans="1:8" x14ac:dyDescent="0.3">
      <c r="A33" s="12" t="str">
        <f>INDEX('ei names mapping'!$B$4:$R$33,MATCH(B3,'ei names mapping'!$A$4:$A$33,0),MATCH(G33,'ei names mapping'!$B$3:$R$3,0))</f>
        <v>market for glider, for electric scooter</v>
      </c>
      <c r="B33" s="16">
        <f>INDEX('vehicles specifications'!$B$3:$CK$86,MATCH(B6,'vehicles specifications'!$A$3:$A$86,0),MATCH(G33,'vehicles specifications'!$B$2:$CK$2,0))*INDEX('ei names mapping'!$B$137:$BK$220,MATCH(B6,'ei names mapping'!$A$137:$A$220,0),MATCH(G33,'ei names mapping'!$B$136:$BK$136,0))</f>
        <v>84</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s="21" customFormat="1" x14ac:dyDescent="0.3">
      <c r="A34" s="12" t="str">
        <f>INDEX('ei names mapping'!$B$4:$R$33,MATCH(B3,'ei names mapping'!$A$4:$A$33,0),MATCH(G34,'ei names mapping'!$B$3:$R$3,0))</f>
        <v>glider lightweighting</v>
      </c>
      <c r="B34" s="16">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16">
        <f>INDEX('vehicles specifications'!$B$3:$CK$86,MATCH(B6,'vehicles specifications'!$A$3:$A$86,0),MATCH(G35,'vehicles specifications'!$B$2:$CK$2,0))*INDEX('ei names mapping'!$B$137:$BK$220,MATCH(B6,'ei names mapping'!$A$137:$A$220,0),MATCH(G35,'ei names mapping'!$B$136:$BK$136,0))</f>
        <v>10</v>
      </c>
      <c r="C35" s="12" t="str">
        <f>INDEX('ei names mapping'!$B$38:$R$67,MATCH(B3,'ei names mapping'!$A$4:$A$33,0),MATCH(G35,'ei names mapping'!$B$3:$R$3,0))</f>
        <v>GLO</v>
      </c>
      <c r="D35" s="12" t="str">
        <f>INDEX('ei names mapping'!$B$104:$R$133,MATCH(B3,'ei names mapping'!$A$104:$A$133,0),MATCH(G35,'ei names mapping'!$B$3:$R$3,0))</f>
        <v>kilogram</v>
      </c>
      <c r="E35" s="12"/>
      <c r="F35" s="12" t="s">
        <v>91</v>
      </c>
      <c r="G35"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16">
        <f>INDEX('vehicles specifications'!$B$3:$CK$86,MATCH(B6,'vehicles specifications'!$A$3:$A$86,0),MATCH(G36,'vehicles specifications'!$B$2:$CK$2,0))*INDEX('ei names mapping'!$B$137:$BK$220,MATCH(B6,'ei names mapping'!$A$137:$A$220,0),MATCH(G36,'ei names mapping'!$B$136:$BK$136,0))</f>
        <v>16</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16">
        <f>INDEX('vehicles specifications'!$B$3:$CK$86,MATCH(B6,'vehicles specifications'!$A$3:$A$86,0),MATCH(G37,'vehicles specifications'!$B$2:$CK$2,0))*INDEX('ei names mapping'!$B$137:$BK$220,MATCH(B6,'ei names mapping'!$A$137:$A$220,0),MATCH(G37,'ei names mapping'!$B$136:$BK$136,0))</f>
        <v>32.999999999999993</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16">
        <f>INDEX('vehicles specifications'!$B$3:$CK$86,MATCH(B6,'vehicles specifications'!$A$3:$A$86,0),MATCH(G38,'vehicles specifications'!$B$2:$CK$2,0))*INDEX('ei names mapping'!$B$137:$BK$220,MATCH(B6,'ei names mapping'!$A$137:$A$220,0),MATCH(G38,'ei names mapping'!$B$136:$BK$136,0))</f>
        <v>6.5999999999999988</v>
      </c>
      <c r="C38" s="12" t="str">
        <f>INDEX('ei names mapping'!$B$38:$R$67,MATCH(B3,'ei names mapping'!$A$4:$A$33,0),MATCH(G38,'ei names mapping'!$B$3:$R$3,0))</f>
        <v>GLO</v>
      </c>
      <c r="D38" s="12" t="str">
        <f>INDEX('ei names mapping'!$B$104:$R$133,MATCH(B3,'ei names mapping'!$A$104:$A$133,0),MATCH(G38,'ei names mapping'!$B$3:$R$3,0))</f>
        <v>kilogram</v>
      </c>
      <c r="E38" s="12"/>
      <c r="F38" s="12" t="s">
        <v>91</v>
      </c>
      <c r="G38"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16">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market for manual dismantling of electric scooter</v>
      </c>
      <c r="B40" s="16">
        <f>INDEX('vehicles specifications'!$B$3:$CK$86,MATCH(B6,'vehicles specifications'!$A$3:$A$86,0),MATCH(G40,'vehicles specifications'!$B$2:$CK$2,0))*INDEX('ei names mapping'!$B$137:$BK$220,MATCH(B6,'ei names mapping'!$A$137:$A$220,0),MATCH(G40,'ei names mapping'!$B$136:$BK$136,0))</f>
        <v>84</v>
      </c>
      <c r="C40" s="12" t="str">
        <f>INDEX('ei names mapping'!$B$38:$R$67,MATCH(B3,'ei names mapping'!$A$4:$A$33,0),MATCH(G40,'ei names mapping'!$B$3:$R$3,0))</f>
        <v>GLO</v>
      </c>
      <c r="D40" s="12" t="str">
        <f>INDEX('ei names mapping'!$B$104:$R$133,MATCH(B3,'ei names mapping'!$A$104:$A$133,0),MATCH(G40,'ei names mapping'!$B$3:$R$3,0))</f>
        <v>unit</v>
      </c>
      <c r="E40" s="12"/>
      <c r="F40" s="12" t="s">
        <v>91</v>
      </c>
      <c r="G40"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market for manual dismantling of electric scooter</v>
      </c>
      <c r="B41" s="16">
        <f>INDEX('vehicles specifications'!$B$3:$CK$86,MATCH(B6,'vehicles specifications'!$A$3:$A$86,0),MATCH(G41,'vehicles specifications'!$B$2:$CK$2,0))*INDEX('ei names mapping'!$B$137:$BK$220,MATCH(B6,'ei names mapping'!$A$137:$A$220,0),MATCH(G41,'ei names mapping'!$B$136:$BK$136,0))</f>
        <v>26</v>
      </c>
      <c r="C41" s="12" t="str">
        <f>INDEX('ei names mapping'!$B$38:$R$67,MATCH(B3,'ei names mapping'!$A$4:$A$33,0),MATCH(G41,'ei names mapping'!$B$3:$R$3,0))</f>
        <v>GLO</v>
      </c>
      <c r="D41" s="12" t="str">
        <f>INDEX('ei names mapping'!$B$104:$R$133,MATCH(B3,'ei names mapping'!$A$104:$A$133,0),MATCH(G41,'ei names mapping'!$B$3:$R$3,0))</f>
        <v>unit</v>
      </c>
      <c r="E41" s="12"/>
      <c r="F41" s="12" t="s">
        <v>91</v>
      </c>
      <c r="G4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16">
        <f>INDEX('vehicles specifications'!$B$3:$CK$86,MATCH(B6,'vehicles specifications'!$A$3:$A$86,0),MATCH(G42,'vehicles specifications'!$B$2:$CK$2,0))*INDEX('ei names mapping'!$B$137:$BK$220,MATCH(B6,'ei names mapping'!$A$137:$A$220,0),MATCH(G42,'ei names mapping'!$B$136:$BK$136,0))</f>
        <v>-39.599999999999994</v>
      </c>
      <c r="C42" s="12" t="str">
        <f>INDEX('ei names mapping'!$B$38:$R$67,MATCH(B3,'ei names mapping'!$A$4:$A$33,0),MATCH(G42,'ei names mapping'!$B$3:$R$3,0))</f>
        <v>GLO</v>
      </c>
      <c r="D42" s="12" t="str">
        <f>INDEX('ei names mapping'!$B$104:$R$133,MATCH(B3,'ei names mapping'!$A$104:$A$133,0),MATCH(G42,'ei names mapping'!$B$3:$R$3,0))</f>
        <v>kilogram</v>
      </c>
      <c r="E42" s="12"/>
      <c r="F42" s="12" t="s">
        <v>91</v>
      </c>
      <c r="G42" t="s">
        <v>152</v>
      </c>
      <c r="H42" s="12" t="str">
        <f>INDEX('ei names mapping'!$B$71:$R$100,MATCH(B3,'ei names mapping'!$A$4:$A$33,0),MATCH(G42,'ei names mapping'!$B$3:$R$3,0))</f>
        <v>used Li-ion battery</v>
      </c>
    </row>
    <row r="43" spans="1:8" s="21" customFormat="1" x14ac:dyDescent="0.3">
      <c r="A43" s="22" t="s">
        <v>468</v>
      </c>
      <c r="B43" s="21">
        <f>(B16/1000)*B28</f>
        <v>129.80000000000001</v>
      </c>
      <c r="C43" s="21" t="s">
        <v>94</v>
      </c>
      <c r="D43" s="21" t="s">
        <v>243</v>
      </c>
      <c r="F43" s="21" t="s">
        <v>91</v>
      </c>
      <c r="H43" s="22" t="s">
        <v>469</v>
      </c>
    </row>
    <row r="44" spans="1:8" s="21" customFormat="1" x14ac:dyDescent="0.3">
      <c r="A44" s="22" t="s">
        <v>467</v>
      </c>
      <c r="B44" s="2">
        <f>(B16/1000)*B27</f>
        <v>2063.8200000000002</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Scooter, electric, 4-11kW, 2030</v>
      </c>
    </row>
    <row r="47" spans="1:8" x14ac:dyDescent="0.3">
      <c r="A47" t="s">
        <v>73</v>
      </c>
      <c r="B47" t="s">
        <v>37</v>
      </c>
    </row>
    <row r="48" spans="1:8" x14ac:dyDescent="0.3">
      <c r="A48" t="s">
        <v>87</v>
      </c>
      <c r="B48" s="21" t="s">
        <v>631</v>
      </c>
    </row>
    <row r="49" spans="1:2" x14ac:dyDescent="0.3">
      <c r="A49" t="s">
        <v>88</v>
      </c>
      <c r="B49" s="12"/>
    </row>
    <row r="50" spans="1:2" x14ac:dyDescent="0.3">
      <c r="A50" t="s">
        <v>89</v>
      </c>
      <c r="B50" s="12">
        <v>2030</v>
      </c>
    </row>
    <row r="51" spans="1:2" x14ac:dyDescent="0.3">
      <c r="A51" t="s">
        <v>131</v>
      </c>
      <c r="B51" s="12" t="str">
        <f>B48&amp;" - "&amp;B50&amp;" - "&amp;B47</f>
        <v>Scooter, electric, 4-11kW - 2030 - CH</v>
      </c>
    </row>
    <row r="52" spans="1:2" x14ac:dyDescent="0.3">
      <c r="A52" t="s">
        <v>74</v>
      </c>
      <c r="B52" t="str">
        <f>B48</f>
        <v>Scooter, electric, 4-11kW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specifications'!$B$3:$CK$86,MATCH(B51,'vehicles specifications'!$A$3:$A$86,0),MATCH("Lifetime [km]",'vehicles specifications'!$B$2:$CK$2,0))</f>
        <v>39800</v>
      </c>
    </row>
    <row r="57" spans="1:2" x14ac:dyDescent="0.3">
      <c r="A57" t="s">
        <v>133</v>
      </c>
      <c r="B57">
        <f>INDEX('vehicles specifications'!$B$3:$CK$86,MATCH(B51,'vehicles specifications'!$A$3:$A$86,0),MATCH("Passengers [unit]",'vehicles specifications'!$B$2:$CK$2,0))</f>
        <v>1</v>
      </c>
    </row>
    <row r="58" spans="1:2" x14ac:dyDescent="0.3">
      <c r="A58" t="s">
        <v>134</v>
      </c>
      <c r="B58">
        <f>INDEX('vehicles specifications'!$B$3:$CK$86,MATCH(B51,'vehicles specifications'!$A$3:$A$86,0),MATCH("Servicing [unit]",'vehicles specifications'!$B$2:$CK$2,0))</f>
        <v>1</v>
      </c>
    </row>
    <row r="59" spans="1:2" x14ac:dyDescent="0.3">
      <c r="A59" t="s">
        <v>135</v>
      </c>
      <c r="B59">
        <f>INDEX('vehicles specifications'!$B$3:$CK$86,MATCH(B51,'vehicles specifications'!$A$3:$A$86,0),MATCH("Energy battery replacement [unit]",'vehicles specifications'!$B$2:$CK$2,0))</f>
        <v>0.5</v>
      </c>
    </row>
    <row r="60" spans="1:2" x14ac:dyDescent="0.3">
      <c r="A60" t="s">
        <v>136</v>
      </c>
      <c r="B60">
        <f>INDEX('vehicles specifications'!$B$3:$CK$86,MATCH(B51,'vehicles specifications'!$A$3:$A$86,0),MATCH("Annual kilometers [km]",'vehicles specifications'!$B$2:$CK$2,0))</f>
        <v>2731</v>
      </c>
    </row>
    <row r="61" spans="1:2" x14ac:dyDescent="0.3">
      <c r="A61" t="s">
        <v>137</v>
      </c>
      <c r="B61" s="2">
        <f>INDEX('vehicles specifications'!$B$3:$CK$86,MATCH(B51,'vehicles specifications'!$A$3:$A$86,0),MATCH("Curb mass [kg]",'vehicles specifications'!$B$2:$CK$2,0))</f>
        <v>130.28</v>
      </c>
    </row>
    <row r="62" spans="1:2" x14ac:dyDescent="0.3">
      <c r="A62" t="s">
        <v>138</v>
      </c>
      <c r="B62">
        <f>INDEX('vehicles specifications'!$B$3:$CK$86,MATCH(B51,'vehicles specifications'!$A$3:$A$86,0),MATCH("Power [kW]",'vehicles specifications'!$B$2:$CK$2,0))</f>
        <v>6.1</v>
      </c>
    </row>
    <row r="63" spans="1:2" x14ac:dyDescent="0.3">
      <c r="A63" t="s">
        <v>139</v>
      </c>
      <c r="B63">
        <f>INDEX('vehicles specifications'!$B$3:$CK$86,MATCH(B51,'vehicles specifications'!$A$3:$A$86,0),MATCH("Energy battery mass [kg]",'vehicles specifications'!$B$2:$CK$2,0))</f>
        <v>22.8</v>
      </c>
    </row>
    <row r="64" spans="1:2" x14ac:dyDescent="0.3">
      <c r="A64" t="s">
        <v>140</v>
      </c>
      <c r="B64">
        <f>INDEX('vehicles specifications'!$B$3:$CK$86,MATCH(B51,'vehicles specifications'!$A$3:$A$86,0),MATCH("Electric energy stored [kWh]",'vehicles specifications'!$B$2:$CK$2,0))</f>
        <v>5.7</v>
      </c>
    </row>
    <row r="65" spans="1:8" s="21" customFormat="1" x14ac:dyDescent="0.3">
      <c r="A65" s="21" t="s">
        <v>654</v>
      </c>
      <c r="B65" s="21">
        <f>INDEX('vehicles specifications'!$B$3:$CK$86,MATCH(B51,'vehicles specifications'!$A$3:$A$86,0),MATCH("Electric energy available [kWh]",'vehicles specifications'!$B$2:$CK$2,0))</f>
        <v>4.5600000000000005</v>
      </c>
    </row>
    <row r="66" spans="1:8" x14ac:dyDescent="0.3">
      <c r="A66" t="s">
        <v>143</v>
      </c>
      <c r="B66" s="2">
        <f>INDEX('vehicles specifications'!$B$3:$CK$86,MATCH(B51,'vehicles specifications'!$A$3:$A$86,0),MATCH("Oxydation energy stored [kWh]",'vehicles specifications'!$B$2:$CK$2,0))</f>
        <v>0</v>
      </c>
    </row>
    <row r="67" spans="1:8" x14ac:dyDescent="0.3">
      <c r="A67" t="s">
        <v>145</v>
      </c>
      <c r="B67">
        <f>INDEX('vehicles specifications'!$B$3:$CK$86,MATCH(B51,'vehicles specifications'!$A$3:$A$86,0),MATCH("Fuel mass [kg]",'vehicles specifications'!$B$2:$CK$2,0))</f>
        <v>0</v>
      </c>
    </row>
    <row r="68" spans="1:8" x14ac:dyDescent="0.3">
      <c r="A68" t="s">
        <v>141</v>
      </c>
      <c r="B68" s="2">
        <f>INDEX('vehicles specifications'!$B$3:$CK$86,MATCH(B51,'vehicles specifications'!$A$3:$A$86,0),MATCH("Range [km]",'vehicles specifications'!$B$2:$CK$2,0))</f>
        <v>86.666860236806102</v>
      </c>
    </row>
    <row r="69" spans="1:8" x14ac:dyDescent="0.3">
      <c r="A69" t="s">
        <v>142</v>
      </c>
      <c r="B69" t="str">
        <f>INDEX('vehicles specifications'!$B$3:$CK$86,MATCH(B51,'vehicles specifications'!$A$3:$A$86,0),MATCH("Emission standard",'vehicles specifications'!$B$2:$CK$2,0))</f>
        <v>None</v>
      </c>
    </row>
    <row r="70" spans="1:8" x14ac:dyDescent="0.3">
      <c r="A70" t="s">
        <v>144</v>
      </c>
      <c r="B70" s="6">
        <f>INDEX('vehicles specifications'!$B$3:$CK$86,MATCH(B51,'vehicles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6.1 kW. Lifetime: 39800 km. Annual kilometers: 2731 km. Number of passengers: 1. Curb mass: 130.3 kg. Lightweighting of glider: 3%. Emission standard: None. Service visits throughout lifetime: 1. Range: 87 km. Battery capacity: 5.7 kWh. Available battery capacity: 4.56 kWh. Battery mass: 22.8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Scooter, electric, 4-11kW, 2030</v>
      </c>
      <c r="B77" s="12">
        <v>1</v>
      </c>
      <c r="C77" s="12" t="str">
        <f>B47</f>
        <v>CH</v>
      </c>
      <c r="D77" s="12" t="str">
        <f>B54</f>
        <v>unit</v>
      </c>
      <c r="E77" s="12"/>
      <c r="F77" s="12" t="s">
        <v>85</v>
      </c>
      <c r="G77" s="12" t="s">
        <v>86</v>
      </c>
      <c r="H77" s="12" t="str">
        <f>B48</f>
        <v>Scooter, electric, 4-11kW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84</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s="21" customFormat="1"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2.52</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10</v>
      </c>
      <c r="C80" s="12" t="str">
        <f>INDEX('ei names mapping'!$B$38:$R$67,MATCH(B48,'ei names mapping'!$A$4:$A$33,0),MATCH(G80,'ei names mapping'!$B$3:$R$3,0))</f>
        <v>GLO</v>
      </c>
      <c r="D80" s="12" t="str">
        <f>INDEX('ei names mapping'!$B$104:$R$133,MATCH(B48,'ei names mapping'!$A$104:$A$133,0),MATCH(G80,'ei names mapping'!$B$3:$R$3,0))</f>
        <v>kilogram</v>
      </c>
      <c r="E80" s="12"/>
      <c r="F80" s="12" t="s">
        <v>91</v>
      </c>
      <c r="G80"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16</v>
      </c>
      <c r="C81" s="12" t="str">
        <f>INDEX('ei names mapping'!$B$38:$R$67,MATCH(B48,'ei names mapping'!$A$4:$A$33,0),MATCH(G81,'ei names mapping'!$B$3:$R$3,0))</f>
        <v>GLO</v>
      </c>
      <c r="D81" s="12" t="str">
        <f>INDEX('ei names mapping'!$B$104:$R$133,MATCH(B48,'ei names mapping'!$A$104:$A$133,0),MATCH(G81,'ei names mapping'!$B$3:$R$3,0))</f>
        <v>kilogram</v>
      </c>
      <c r="E81" s="12"/>
      <c r="F81" s="12" t="s">
        <v>91</v>
      </c>
      <c r="G8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28.5</v>
      </c>
      <c r="C82" s="12" t="str">
        <f>INDEX('ei names mapping'!$B$38:$R$67,MATCH(B48,'ei names mapping'!$A$4:$A$33,0),MATCH(G82,'ei names mapping'!$B$3:$R$3,0))</f>
        <v>GLO</v>
      </c>
      <c r="D82" s="12" t="str">
        <f>INDEX('ei names mapping'!$B$104:$R$133,MATCH(B48,'ei names mapping'!$A$104:$A$133,0),MATCH(G82,'ei names mapping'!$B$3:$R$3,0))</f>
        <v>kilogram</v>
      </c>
      <c r="E82" s="12"/>
      <c r="F82" s="12" t="s">
        <v>91</v>
      </c>
      <c r="G82"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5.7</v>
      </c>
      <c r="C83" s="12" t="str">
        <f>INDEX('ei names mapping'!$B$38:$R$67,MATCH(B48,'ei names mapping'!$A$4:$A$33,0),MATCH(G83,'ei names mapping'!$B$3:$R$3,0))</f>
        <v>GLO</v>
      </c>
      <c r="D83" s="12" t="str">
        <f>INDEX('ei names mapping'!$B$104:$R$133,MATCH(B48,'ei names mapping'!$A$104:$A$133,0),MATCH(G83,'ei names mapping'!$B$3:$R$3,0))</f>
        <v>kilogram</v>
      </c>
      <c r="E83" s="12"/>
      <c r="F83" s="12" t="s">
        <v>91</v>
      </c>
      <c r="G83"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market for manual dismantling of electric scooter</v>
      </c>
      <c r="B85" s="16">
        <f>INDEX('vehicles specifications'!$B$3:$CK$86,MATCH(B51,'vehicles specifications'!$A$3:$A$86,0),MATCH(G85,'vehicles specifications'!$B$2:$CK$2,0))*INDEX('ei names mapping'!$B$137:$BK$220,MATCH(B51,'ei names mapping'!$A$137:$A$220,0),MATCH(G85,'ei names mapping'!$B$136:$BK$136,0))</f>
        <v>81.48</v>
      </c>
      <c r="C85" s="12" t="str">
        <f>INDEX('ei names mapping'!$B$38:$R$67,MATCH(B48,'ei names mapping'!$A$4:$A$33,0),MATCH(G85,'ei names mapping'!$B$3:$R$3,0))</f>
        <v>GLO</v>
      </c>
      <c r="D85" s="12" t="str">
        <f>INDEX('ei names mapping'!$B$104:$R$133,MATCH(B48,'ei names mapping'!$A$104:$A$133,0),MATCH(G85,'ei names mapping'!$B$3:$R$3,0))</f>
        <v>unit</v>
      </c>
      <c r="E85" s="12"/>
      <c r="F85" s="12" t="s">
        <v>91</v>
      </c>
      <c r="G85"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market for manual dismantling of electric scooter</v>
      </c>
      <c r="B86" s="16">
        <f>INDEX('vehicles specifications'!$B$3:$CK$86,MATCH(B51,'vehicles specifications'!$A$3:$A$86,0),MATCH(G86,'vehicles specifications'!$B$2:$CK$2,0))*INDEX('ei names mapping'!$B$137:$BK$220,MATCH(B51,'ei names mapping'!$A$137:$A$220,0),MATCH(G86,'ei names mapping'!$B$136:$BK$136,0))</f>
        <v>26</v>
      </c>
      <c r="C86" s="12" t="str">
        <f>INDEX('ei names mapping'!$B$38:$R$67,MATCH(B48,'ei names mapping'!$A$4:$A$33,0),MATCH(G86,'ei names mapping'!$B$3:$R$3,0))</f>
        <v>GLO</v>
      </c>
      <c r="D86" s="12" t="str">
        <f>INDEX('ei names mapping'!$B$104:$R$133,MATCH(B48,'ei names mapping'!$A$104:$A$133,0),MATCH(G86,'ei names mapping'!$B$3:$R$3,0))</f>
        <v>unit</v>
      </c>
      <c r="E86" s="12"/>
      <c r="F86" s="12" t="s">
        <v>91</v>
      </c>
      <c r="G86"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-34.200000000000003</v>
      </c>
      <c r="C87" s="12" t="str">
        <f>INDEX('ei names mapping'!$B$38:$R$67,MATCH(B48,'ei names mapping'!$A$4:$A$33,0),MATCH(G87,'ei names mapping'!$B$3:$R$3,0))</f>
        <v>GLO</v>
      </c>
      <c r="D87" s="12" t="str">
        <f>INDEX('ei names mapping'!$B$104:$R$133,MATCH(B48,'ei names mapping'!$A$104:$A$133,0),MATCH(G87,'ei names mapping'!$B$3:$R$3,0))</f>
        <v>kilogram</v>
      </c>
      <c r="E87" s="12"/>
      <c r="F87" s="12" t="s">
        <v>91</v>
      </c>
      <c r="G87" t="s">
        <v>152</v>
      </c>
      <c r="H87" s="12" t="str">
        <f>INDEX('ei names mapping'!$B$71:$R$100,MATCH(B48,'ei names mapping'!$A$4:$A$33,0),MATCH(G87,'ei names mapping'!$B$3:$R$3,0))</f>
        <v>used Li-ion battery</v>
      </c>
    </row>
    <row r="88" spans="1:8" s="21" customFormat="1" x14ac:dyDescent="0.3">
      <c r="A88" s="22" t="s">
        <v>468</v>
      </c>
      <c r="B88" s="21">
        <f>(B61/1000)*B73</f>
        <v>130.28</v>
      </c>
      <c r="C88" s="21" t="s">
        <v>94</v>
      </c>
      <c r="D88" s="21" t="s">
        <v>243</v>
      </c>
      <c r="F88" s="21" t="s">
        <v>91</v>
      </c>
      <c r="H88" s="22" t="s">
        <v>469</v>
      </c>
    </row>
    <row r="89" spans="1:8" s="21" customFormat="1" x14ac:dyDescent="0.3">
      <c r="A89" s="22" t="s">
        <v>467</v>
      </c>
      <c r="B89" s="2">
        <f>(B61/1000)*B72</f>
        <v>2071.4520000000002</v>
      </c>
      <c r="C89" s="21" t="s">
        <v>98</v>
      </c>
      <c r="D89" s="21" t="s">
        <v>243</v>
      </c>
      <c r="F89" s="21" t="s">
        <v>91</v>
      </c>
      <c r="H89" s="22" t="s">
        <v>467</v>
      </c>
    </row>
    <row r="90" spans="1:8" x14ac:dyDescent="0.3">
      <c r="B90" s="12"/>
    </row>
    <row r="91" spans="1:8" ht="15.6" x14ac:dyDescent="0.3">
      <c r="A91" s="11" t="s">
        <v>72</v>
      </c>
      <c r="B91" s="9" t="str">
        <f>B93&amp;", "&amp;B95</f>
        <v>Scooter, electric, 4-11kW, 2040</v>
      </c>
    </row>
    <row r="92" spans="1:8" x14ac:dyDescent="0.3">
      <c r="A92" t="s">
        <v>73</v>
      </c>
      <c r="B92" t="s">
        <v>37</v>
      </c>
    </row>
    <row r="93" spans="1:8" x14ac:dyDescent="0.3">
      <c r="A93" t="s">
        <v>87</v>
      </c>
      <c r="B93" s="21" t="s">
        <v>631</v>
      </c>
    </row>
    <row r="94" spans="1:8" x14ac:dyDescent="0.3">
      <c r="A94" t="s">
        <v>88</v>
      </c>
      <c r="B94" s="12"/>
    </row>
    <row r="95" spans="1:8" x14ac:dyDescent="0.3">
      <c r="A95" t="s">
        <v>89</v>
      </c>
      <c r="B95" s="12">
        <v>2040</v>
      </c>
    </row>
    <row r="96" spans="1:8" x14ac:dyDescent="0.3">
      <c r="A96" t="s">
        <v>131</v>
      </c>
      <c r="B96" s="12" t="str">
        <f>B93&amp;" - "&amp;B95&amp;" - "&amp;B92</f>
        <v>Scooter, electric, 4-11kW - 2040 - CH</v>
      </c>
    </row>
    <row r="97" spans="1:2" x14ac:dyDescent="0.3">
      <c r="A97" t="s">
        <v>74</v>
      </c>
      <c r="B97" t="str">
        <f>B93</f>
        <v>Scooter, electric, 4-11kW</v>
      </c>
    </row>
    <row r="98" spans="1:2" x14ac:dyDescent="0.3">
      <c r="A98" t="s">
        <v>75</v>
      </c>
      <c r="B98" t="s">
        <v>76</v>
      </c>
    </row>
    <row r="99" spans="1:2" x14ac:dyDescent="0.3">
      <c r="A99" t="s">
        <v>77</v>
      </c>
      <c r="B99" t="s">
        <v>77</v>
      </c>
    </row>
    <row r="100" spans="1:2" x14ac:dyDescent="0.3">
      <c r="A100" t="s">
        <v>79</v>
      </c>
      <c r="B100" t="s">
        <v>90</v>
      </c>
    </row>
    <row r="101" spans="1:2" x14ac:dyDescent="0.3">
      <c r="A101" t="s">
        <v>132</v>
      </c>
      <c r="B101">
        <f>INDEX('vehicles specifications'!$B$3:$CK$86,MATCH(B96,'vehicles specifications'!$A$3:$A$86,0),MATCH("Lifetime [km]",'vehicles specifications'!$B$2:$CK$2,0))</f>
        <v>39800</v>
      </c>
    </row>
    <row r="102" spans="1:2" x14ac:dyDescent="0.3">
      <c r="A102" t="s">
        <v>133</v>
      </c>
      <c r="B102">
        <f>INDEX('vehicles specifications'!$B$3:$CK$86,MATCH(B96,'vehicles specifications'!$A$3:$A$86,0),MATCH("Passengers [unit]",'vehicles specifications'!$B$2:$CK$2,0))</f>
        <v>1</v>
      </c>
    </row>
    <row r="103" spans="1:2" x14ac:dyDescent="0.3">
      <c r="A103" t="s">
        <v>134</v>
      </c>
      <c r="B103">
        <f>INDEX('vehicles specifications'!$B$3:$CK$86,MATCH(B96,'vehicles specifications'!$A$3:$A$86,0),MATCH("Servicing [unit]",'vehicles specifications'!$B$2:$CK$2,0))</f>
        <v>1</v>
      </c>
    </row>
    <row r="104" spans="1:2" x14ac:dyDescent="0.3">
      <c r="A104" t="s">
        <v>135</v>
      </c>
      <c r="B104">
        <f>INDEX('vehicles specifications'!$B$3:$CK$86,MATCH(B96,'vehicles specifications'!$A$3:$A$86,0),MATCH("Energy battery replacement [unit]",'vehicles specifications'!$B$2:$CK$2,0))</f>
        <v>0.25</v>
      </c>
    </row>
    <row r="105" spans="1:2" x14ac:dyDescent="0.3">
      <c r="A105" t="s">
        <v>136</v>
      </c>
      <c r="B105">
        <f>INDEX('vehicles specifications'!$B$3:$CK$86,MATCH(B96,'vehicles specifications'!$A$3:$A$86,0),MATCH("Annual kilometers [km]",'vehicles specifications'!$B$2:$CK$2,0))</f>
        <v>2731</v>
      </c>
    </row>
    <row r="106" spans="1:2" x14ac:dyDescent="0.3">
      <c r="A106" t="s">
        <v>137</v>
      </c>
      <c r="B106" s="2">
        <f>INDEX('vehicles specifications'!$B$3:$CK$86,MATCH(B96,'vehicles specifications'!$A$3:$A$86,0),MATCH("Curb mass [kg]",'vehicles specifications'!$B$2:$CK$2,0))</f>
        <v>130.39999999999998</v>
      </c>
    </row>
    <row r="107" spans="1:2" x14ac:dyDescent="0.3">
      <c r="A107" t="s">
        <v>138</v>
      </c>
      <c r="B107">
        <f>INDEX('vehicles specifications'!$B$3:$CK$86,MATCH(B96,'vehicles specifications'!$A$3:$A$86,0),MATCH("Power [kW]",'vehicles specifications'!$B$2:$CK$2,0))</f>
        <v>6.1</v>
      </c>
    </row>
    <row r="108" spans="1:2" x14ac:dyDescent="0.3">
      <c r="A108" t="s">
        <v>139</v>
      </c>
      <c r="B108">
        <f>INDEX('vehicles specifications'!$B$3:$CK$86,MATCH(B96,'vehicles specifications'!$A$3:$A$86,0),MATCH("Energy battery mass [kg]",'vehicles specifications'!$B$2:$CK$2,0))</f>
        <v>24.599999999999994</v>
      </c>
    </row>
    <row r="109" spans="1:2" x14ac:dyDescent="0.3">
      <c r="A109" t="s">
        <v>140</v>
      </c>
      <c r="B109">
        <f>INDEX('vehicles specifications'!$B$3:$CK$86,MATCH(B96,'vehicles specifications'!$A$3:$A$86,0),MATCH("Electric energy stored [kWh]",'vehicles specifications'!$B$2:$CK$2,0))</f>
        <v>8.1999999999999993</v>
      </c>
    </row>
    <row r="110" spans="1:2" s="21" customFormat="1" x14ac:dyDescent="0.3">
      <c r="A110" s="21" t="s">
        <v>654</v>
      </c>
      <c r="B110" s="21">
        <f>INDEX('vehicles specifications'!$B$3:$CK$86,MATCH(B96,'vehicles specifications'!$A$3:$A$86,0),MATCH("Electric energy available [kWh]",'vehicles specifications'!$B$2:$CK$2,0))</f>
        <v>6.56</v>
      </c>
    </row>
    <row r="111" spans="1:2" x14ac:dyDescent="0.3">
      <c r="A111" t="s">
        <v>143</v>
      </c>
      <c r="B111" s="2">
        <f>INDEX('vehicles specifications'!$B$3:$CK$86,MATCH(B96,'vehicles specifications'!$A$3:$A$86,0),MATCH("Oxydation energy stored [kWh]",'vehicles specifications'!$B$2:$CK$2,0))</f>
        <v>0</v>
      </c>
    </row>
    <row r="112" spans="1:2" x14ac:dyDescent="0.3">
      <c r="A112" t="s">
        <v>145</v>
      </c>
      <c r="B112">
        <f>INDEX('vehicles specifications'!$B$3:$CK$86,MATCH(B96,'vehicles specifications'!$A$3:$A$86,0),MATCH("Fuel mass [kg]",'vehicles specifications'!$B$2:$CK$2,0))</f>
        <v>0</v>
      </c>
    </row>
    <row r="113" spans="1:8" x14ac:dyDescent="0.3">
      <c r="A113" t="s">
        <v>141</v>
      </c>
      <c r="B113" s="2">
        <f>INDEX('vehicles specifications'!$B$3:$CK$86,MATCH(B96,'vehicles specifications'!$A$3:$A$86,0),MATCH("Range [km]",'vehicles specifications'!$B$2:$CK$2,0))</f>
        <v>124.6786410424228</v>
      </c>
    </row>
    <row r="114" spans="1:8" x14ac:dyDescent="0.3">
      <c r="A114" t="s">
        <v>142</v>
      </c>
      <c r="B114" t="str">
        <f>INDEX('vehicles specifications'!$B$3:$CK$86,MATCH(B96,'vehicles specifications'!$A$3:$A$86,0),MATCH("Emission standard",'vehicles specifications'!$B$2:$CK$2,0))</f>
        <v>None</v>
      </c>
    </row>
    <row r="115" spans="1:8" x14ac:dyDescent="0.3">
      <c r="A115" t="s">
        <v>144</v>
      </c>
      <c r="B115" s="6">
        <f>INDEX('vehicles specifications'!$B$3:$CK$86,MATCH(B96,'vehicles specifications'!$A$3:$A$86,0),MATCH("Lightweighting rate [%]",'vehicles specifications'!$B$2:$CK$2,0))</f>
        <v>0.05</v>
      </c>
    </row>
    <row r="116" spans="1:8" s="21" customFormat="1" x14ac:dyDescent="0.3">
      <c r="A116" s="21" t="s">
        <v>513</v>
      </c>
      <c r="B116" s="6" t="s">
        <v>514</v>
      </c>
    </row>
    <row r="117" spans="1:8" s="21" customFormat="1" x14ac:dyDescent="0.3">
      <c r="A117" s="21" t="s">
        <v>515</v>
      </c>
      <c r="B117" s="2">
        <v>15900</v>
      </c>
    </row>
    <row r="118" spans="1:8" s="21" customFormat="1" x14ac:dyDescent="0.3">
      <c r="A118" s="21" t="s">
        <v>516</v>
      </c>
      <c r="B118" s="2">
        <v>1000</v>
      </c>
    </row>
    <row r="119" spans="1:8" s="21" customFormat="1" x14ac:dyDescent="0.3">
      <c r="A119" s="21"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scooter'!B100</f>
        <v>Power: 6.1 kW. Lifetime: 39800 km. Annual kilometers: 2731 km. Number of passengers: 1. Curb mass: 130.4 kg. Lightweighting of glider: 5%. Emission standard: None. Service visits throughout lifetime: 1. Range: 125 km. Battery capacity: 8.2 kWh. Available battery capacity: 6.56 kWh. Battery mass: 24.6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1</v>
      </c>
    </row>
    <row r="120" spans="1:8" ht="15.6" x14ac:dyDescent="0.3">
      <c r="A120" s="11" t="s">
        <v>80</v>
      </c>
    </row>
    <row r="121" spans="1:8" x14ac:dyDescent="0.3">
      <c r="A121" t="s">
        <v>81</v>
      </c>
      <c r="B121" t="s">
        <v>82</v>
      </c>
      <c r="C121" t="s">
        <v>73</v>
      </c>
      <c r="D121" t="s">
        <v>77</v>
      </c>
      <c r="E121" t="s">
        <v>83</v>
      </c>
      <c r="F121" t="s">
        <v>75</v>
      </c>
      <c r="G121" t="s">
        <v>84</v>
      </c>
      <c r="H121" t="s">
        <v>74</v>
      </c>
    </row>
    <row r="122" spans="1:8" x14ac:dyDescent="0.3">
      <c r="A122" s="12" t="str">
        <f>B91</f>
        <v>Scooter, electric, 4-11kW, 2040</v>
      </c>
      <c r="B122" s="12">
        <v>1</v>
      </c>
      <c r="C122" s="12" t="str">
        <f>B92</f>
        <v>CH</v>
      </c>
      <c r="D122" s="12" t="str">
        <f>B99</f>
        <v>unit</v>
      </c>
      <c r="E122" s="12"/>
      <c r="F122" s="12" t="s">
        <v>85</v>
      </c>
      <c r="G122" s="12" t="s">
        <v>86</v>
      </c>
      <c r="H122" s="12" t="str">
        <f>B93</f>
        <v>Scooter, electric, 4-11kW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84</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s="21" customFormat="1"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4.2</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10</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16</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25.624999999999996</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5.125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market for manual dismantling of electric scooter</v>
      </c>
      <c r="B130" s="16">
        <f>INDEX('vehicles specifications'!$B$3:$CK$86,MATCH(B96,'vehicles specifications'!$A$3:$A$86,0),MATCH(G130,'vehicles specifications'!$B$2:$CK$2,0))*INDEX('ei names mapping'!$B$137:$BK$220,MATCH(B96,'ei names mapping'!$A$137:$A$220,0),MATCH(G130,'ei names mapping'!$B$136:$BK$136,0))</f>
        <v>79.8</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market for manual dismantling of electric scooter</v>
      </c>
      <c r="B131" s="16">
        <f>INDEX('vehicles specifications'!$B$3:$CK$86,MATCH(B96,'vehicles specifications'!$A$3:$A$86,0),MATCH(G131,'vehicles specifications'!$B$2:$CK$2,0))*INDEX('ei names mapping'!$B$137:$BK$220,MATCH(B96,'ei names mapping'!$A$137:$A$220,0),MATCH(G131,'ei names mapping'!$B$136:$BK$136,0))</f>
        <v>26</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-30.749999999999993</v>
      </c>
      <c r="C132" s="12" t="str">
        <f>INDEX('ei names mapping'!$B$38:$R$67,MATCH(B93,'ei names mapping'!$A$4:$A$33,0),MATCH(G132,'ei names mapping'!$B$3:$R$3,0))</f>
        <v>GLO</v>
      </c>
      <c r="D132" s="12" t="str">
        <f>INDEX('ei names mapping'!$B$104:$R$133,MATCH(B93,'ei names mapping'!$A$104:$A$133,0),MATCH(G132,'ei names mapping'!$B$3:$R$3,0))</f>
        <v>kilogram</v>
      </c>
      <c r="E132" s="12"/>
      <c r="F132" s="12" t="s">
        <v>91</v>
      </c>
      <c r="G132" t="s">
        <v>152</v>
      </c>
      <c r="H132" s="12" t="str">
        <f>INDEX('ei names mapping'!$B$71:$R$100,MATCH(B93,'ei names mapping'!$A$4:$A$33,0),MATCH(G132,'ei names mapping'!$B$3:$R$3,0))</f>
        <v>used Li-ion battery</v>
      </c>
    </row>
    <row r="133" spans="1:8" s="21" customFormat="1" x14ac:dyDescent="0.3">
      <c r="A133" s="22" t="s">
        <v>468</v>
      </c>
      <c r="B133" s="21">
        <f>(B106/1000)*B118</f>
        <v>130.39999999999998</v>
      </c>
      <c r="C133" s="21" t="s">
        <v>94</v>
      </c>
      <c r="D133" s="21" t="s">
        <v>243</v>
      </c>
      <c r="F133" s="21" t="s">
        <v>91</v>
      </c>
      <c r="H133" s="22" t="s">
        <v>469</v>
      </c>
    </row>
    <row r="134" spans="1:8" s="21" customFormat="1" x14ac:dyDescent="0.3">
      <c r="A134" s="22" t="s">
        <v>467</v>
      </c>
      <c r="B134" s="2">
        <f>(B106/1000)*B117</f>
        <v>2073.3599999999997</v>
      </c>
      <c r="C134" s="21" t="s">
        <v>98</v>
      </c>
      <c r="D134" s="21" t="s">
        <v>243</v>
      </c>
      <c r="F134" s="21" t="s">
        <v>91</v>
      </c>
      <c r="H134" s="22" t="s">
        <v>467</v>
      </c>
    </row>
    <row r="136" spans="1:8" ht="15.6" x14ac:dyDescent="0.3">
      <c r="A136" s="11" t="s">
        <v>72</v>
      </c>
      <c r="B136" s="9" t="str">
        <f>B138&amp;", "&amp;B140</f>
        <v>Scooter, electric, 4-11kW, 2050</v>
      </c>
    </row>
    <row r="137" spans="1:8" x14ac:dyDescent="0.3">
      <c r="A137" t="s">
        <v>73</v>
      </c>
      <c r="B137" t="s">
        <v>37</v>
      </c>
    </row>
    <row r="138" spans="1:8" x14ac:dyDescent="0.3">
      <c r="A138" t="s">
        <v>87</v>
      </c>
      <c r="B138" s="21" t="s">
        <v>631</v>
      </c>
    </row>
    <row r="139" spans="1:8" x14ac:dyDescent="0.3">
      <c r="A139" t="s">
        <v>88</v>
      </c>
      <c r="B139" s="12"/>
    </row>
    <row r="140" spans="1:8" x14ac:dyDescent="0.3">
      <c r="A140" t="s">
        <v>89</v>
      </c>
      <c r="B140" s="12">
        <v>2050</v>
      </c>
    </row>
    <row r="141" spans="1:8" x14ac:dyDescent="0.3">
      <c r="A141" t="s">
        <v>131</v>
      </c>
      <c r="B141" s="12" t="str">
        <f>B138&amp;" - "&amp;B140&amp;" - "&amp;B137</f>
        <v>Scooter, electric, 4-11kW - 2050 - CH</v>
      </c>
    </row>
    <row r="142" spans="1:8" x14ac:dyDescent="0.3">
      <c r="A142" t="s">
        <v>74</v>
      </c>
      <c r="B142" t="str">
        <f>B138</f>
        <v>Scooter, electric, 4-11kW</v>
      </c>
    </row>
    <row r="143" spans="1:8" x14ac:dyDescent="0.3">
      <c r="A143" t="s">
        <v>75</v>
      </c>
      <c r="B143" t="s">
        <v>76</v>
      </c>
    </row>
    <row r="144" spans="1:8" x14ac:dyDescent="0.3">
      <c r="A144" t="s">
        <v>77</v>
      </c>
      <c r="B144" t="s">
        <v>77</v>
      </c>
    </row>
    <row r="145" spans="1:2" x14ac:dyDescent="0.3">
      <c r="A145" t="s">
        <v>79</v>
      </c>
      <c r="B145" t="s">
        <v>90</v>
      </c>
    </row>
    <row r="146" spans="1:2" x14ac:dyDescent="0.3">
      <c r="A146" t="s">
        <v>132</v>
      </c>
      <c r="B146">
        <f>INDEX('vehicles specifications'!$B$3:$CK$86,MATCH(B141,'vehicles specifications'!$A$3:$A$86,0),MATCH("Lifetime [km]",'vehicles specifications'!$B$2:$CK$2,0))</f>
        <v>39800</v>
      </c>
    </row>
    <row r="147" spans="1:2" x14ac:dyDescent="0.3">
      <c r="A147" t="s">
        <v>133</v>
      </c>
      <c r="B147">
        <f>INDEX('vehicles specifications'!$B$3:$CK$86,MATCH(B141,'vehicles specifications'!$A$3:$A$86,0),MATCH("Passengers [unit]",'vehicles specifications'!$B$2:$CK$2,0))</f>
        <v>1</v>
      </c>
    </row>
    <row r="148" spans="1:2" x14ac:dyDescent="0.3">
      <c r="A148" t="s">
        <v>134</v>
      </c>
      <c r="B148">
        <f>INDEX('vehicles specifications'!$B$3:$CK$86,MATCH(B141,'vehicles specifications'!$A$3:$A$86,0),MATCH("Servicing [unit]",'vehicles specifications'!$B$2:$CK$2,0))</f>
        <v>1</v>
      </c>
    </row>
    <row r="149" spans="1:2" x14ac:dyDescent="0.3">
      <c r="A149" t="s">
        <v>135</v>
      </c>
      <c r="B149">
        <f>INDEX('vehicles specifications'!$B$3:$CK$86,MATCH(B141,'vehicles specifications'!$A$3:$A$86,0),MATCH("Energy battery replacement [unit]",'vehicles specifications'!$B$2:$CK$2,0))</f>
        <v>0</v>
      </c>
    </row>
    <row r="150" spans="1:2" x14ac:dyDescent="0.3">
      <c r="A150" t="s">
        <v>136</v>
      </c>
      <c r="B150">
        <f>INDEX('vehicles specifications'!$B$3:$CK$86,MATCH(B141,'vehicles specifications'!$A$3:$A$86,0),MATCH("Annual kilometers [km]",'vehicles specifications'!$B$2:$CK$2,0))</f>
        <v>2731</v>
      </c>
    </row>
    <row r="151" spans="1:2" x14ac:dyDescent="0.3">
      <c r="A151" t="s">
        <v>137</v>
      </c>
      <c r="B151" s="2">
        <f>INDEX('vehicles specifications'!$B$3:$CK$86,MATCH(B141,'vehicles specifications'!$A$3:$A$86,0),MATCH("Curb mass [kg]",'vehicles specifications'!$B$2:$CK$2,0))</f>
        <v>130.04</v>
      </c>
    </row>
    <row r="152" spans="1:2" x14ac:dyDescent="0.3">
      <c r="A152" t="s">
        <v>138</v>
      </c>
      <c r="B152">
        <f>INDEX('vehicles specifications'!$B$3:$CK$86,MATCH(B141,'vehicles specifications'!$A$3:$A$86,0),MATCH("Power [kW]",'vehicles specifications'!$B$2:$CK$2,0))</f>
        <v>6.1</v>
      </c>
    </row>
    <row r="153" spans="1:2" x14ac:dyDescent="0.3">
      <c r="A153" t="s">
        <v>139</v>
      </c>
      <c r="B153">
        <f>INDEX('vehicles specifications'!$B$3:$CK$86,MATCH(B141,'vehicles specifications'!$A$3:$A$86,0),MATCH("Energy battery mass [kg]",'vehicles specifications'!$B$2:$CK$2,0))</f>
        <v>25.92</v>
      </c>
    </row>
    <row r="154" spans="1:2" x14ac:dyDescent="0.3">
      <c r="A154" t="s">
        <v>140</v>
      </c>
      <c r="B154">
        <f>INDEX('vehicles specifications'!$B$3:$CK$86,MATCH(B141,'vehicles specifications'!$A$3:$A$86,0),MATCH("Electric energy stored [kWh]",'vehicles specifications'!$B$2:$CK$2,0))</f>
        <v>10.8</v>
      </c>
    </row>
    <row r="155" spans="1:2" s="21" customFormat="1" x14ac:dyDescent="0.3">
      <c r="A155" s="21" t="s">
        <v>654</v>
      </c>
      <c r="B155" s="21">
        <f>INDEX('vehicles specifications'!$B$3:$CK$86,MATCH(B141,'vehicles specifications'!$A$3:$A$86,0),MATCH("Electric energy available [kWh]",'vehicles specifications'!$B$2:$CK$2,0))</f>
        <v>8.64</v>
      </c>
    </row>
    <row r="156" spans="1:2" x14ac:dyDescent="0.3">
      <c r="A156" t="s">
        <v>143</v>
      </c>
      <c r="B156" s="2">
        <f>INDEX('vehicles specifications'!$B$3:$CK$86,MATCH(B141,'vehicles specifications'!$A$3:$A$86,0),MATCH("Oxydation energy stored [kWh]",'vehicles specifications'!$B$2:$CK$2,0))</f>
        <v>0</v>
      </c>
    </row>
    <row r="157" spans="1:2" x14ac:dyDescent="0.3">
      <c r="A157" t="s">
        <v>145</v>
      </c>
      <c r="B157">
        <f>INDEX('vehicles specifications'!$B$3:$CK$86,MATCH(B141,'vehicles specifications'!$A$3:$A$86,0),MATCH("Fuel mass [kg]",'vehicles specifications'!$B$2:$CK$2,0))</f>
        <v>0</v>
      </c>
    </row>
    <row r="158" spans="1:2" x14ac:dyDescent="0.3">
      <c r="A158" t="s">
        <v>141</v>
      </c>
      <c r="B158" s="2">
        <f>INDEX('vehicles specifications'!$B$3:$CK$86,MATCH(B141,'vehicles specifications'!$A$3:$A$86,0),MATCH("Range [km]",'vehicles specifications'!$B$2:$CK$2,0))</f>
        <v>164.21089308026419</v>
      </c>
    </row>
    <row r="159" spans="1:2" x14ac:dyDescent="0.3">
      <c r="A159" t="s">
        <v>142</v>
      </c>
      <c r="B159" t="str">
        <f>INDEX('vehicles specifications'!$B$3:$CK$86,MATCH(B141,'vehicles specifications'!$A$3:$A$86,0),MATCH("Emission standard",'vehicles specifications'!$B$2:$CK$2,0))</f>
        <v>None</v>
      </c>
    </row>
    <row r="160" spans="1:2" x14ac:dyDescent="0.3">
      <c r="A160" t="s">
        <v>144</v>
      </c>
      <c r="B160" s="6">
        <f>INDEX('vehicles specifications'!$B$3:$CK$86,MATCH(B141,'vehicles specifications'!$A$3:$A$86,0),MATCH("Lightweighting rate [%]",'vehicles specifications'!$B$2:$CK$2,0))</f>
        <v>7.0000000000000007E-2</v>
      </c>
    </row>
    <row r="161" spans="1:8" s="21" customFormat="1" x14ac:dyDescent="0.3">
      <c r="A161" s="21" t="s">
        <v>513</v>
      </c>
      <c r="B161" s="6" t="s">
        <v>514</v>
      </c>
    </row>
    <row r="162" spans="1:8" s="21" customFormat="1" x14ac:dyDescent="0.3">
      <c r="A162" s="21" t="s">
        <v>515</v>
      </c>
      <c r="B162" s="2">
        <v>15900</v>
      </c>
    </row>
    <row r="163" spans="1:8" s="21" customFormat="1" x14ac:dyDescent="0.3">
      <c r="A163" s="21" t="s">
        <v>516</v>
      </c>
      <c r="B163" s="2">
        <v>1000</v>
      </c>
    </row>
    <row r="164" spans="1:8" s="21" customFormat="1" x14ac:dyDescent="0.3">
      <c r="A164" s="21"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scooter'!B145</f>
        <v>Power: 6.1 kW. Lifetime: 39800 km. Annual kilometers: 2731 km. Number of passengers: 1. Curb mass: 130 kg. Lightweighting of glider: 7%. Emission standard: None. Service visits throughout lifetime: 1. Range: 164 km. Battery capacity: 10.8 kWh. Available battery capacity: 8.64 kWh. Battery mass: 25.9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v>
      </c>
    </row>
    <row r="165" spans="1:8" ht="15.6" x14ac:dyDescent="0.3">
      <c r="A165" s="11" t="s">
        <v>80</v>
      </c>
    </row>
    <row r="166" spans="1:8" x14ac:dyDescent="0.3">
      <c r="A166" t="s">
        <v>81</v>
      </c>
      <c r="B166" t="s">
        <v>82</v>
      </c>
      <c r="C166" t="s">
        <v>73</v>
      </c>
      <c r="D166" t="s">
        <v>77</v>
      </c>
      <c r="E166" t="s">
        <v>83</v>
      </c>
      <c r="F166" t="s">
        <v>75</v>
      </c>
      <c r="G166" t="s">
        <v>84</v>
      </c>
      <c r="H166" t="s">
        <v>74</v>
      </c>
    </row>
    <row r="167" spans="1:8" x14ac:dyDescent="0.3">
      <c r="A167" s="12" t="str">
        <f>B136</f>
        <v>Scooter, electric, 4-11kW, 2050</v>
      </c>
      <c r="B167" s="12">
        <v>1</v>
      </c>
      <c r="C167" s="12" t="str">
        <f>B137</f>
        <v>CH</v>
      </c>
      <c r="D167" s="12" t="str">
        <f>B144</f>
        <v>unit</v>
      </c>
      <c r="E167" s="12"/>
      <c r="F167" s="12" t="s">
        <v>85</v>
      </c>
      <c r="G167" s="12" t="s">
        <v>86</v>
      </c>
      <c r="H167" s="12" t="str">
        <f>B138</f>
        <v>Scooter, electric, 4-11kW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84</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s="21" customFormat="1"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5.8800000000000008</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10</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16</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21.6</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4.32</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market for manual dismantling of electric scooter</v>
      </c>
      <c r="B175" s="16">
        <f>INDEX('vehicles specifications'!$B$3:$CK$86,MATCH(B141,'vehicles specifications'!$A$3:$A$86,0),MATCH(G175,'vehicles specifications'!$B$2:$CK$2,0))*INDEX('ei names mapping'!$B$137:$BK$220,MATCH(B141,'ei names mapping'!$A$137:$A$220,0),MATCH(G175,'ei names mapping'!$B$136:$BK$136,0))</f>
        <v>78.11999999999999</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market for manual dismantling of electric scooter</v>
      </c>
      <c r="B176" s="16">
        <f>INDEX('vehicles specifications'!$B$3:$CK$86,MATCH(B141,'vehicles specifications'!$A$3:$A$86,0),MATCH(G176,'vehicles specifications'!$B$2:$CK$2,0))*INDEX('ei names mapping'!$B$137:$BK$220,MATCH(B141,'ei names mapping'!$A$137:$A$220,0),MATCH(G176,'ei names mapping'!$B$136:$BK$136,0))</f>
        <v>26</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-25.92</v>
      </c>
      <c r="C177" s="12" t="str">
        <f>INDEX('ei names mapping'!$B$38:$R$67,MATCH(B138,'ei names mapping'!$A$4:$A$33,0),MATCH(G177,'ei names mapping'!$B$3:$R$3,0))</f>
        <v>GLO</v>
      </c>
      <c r="D177" s="12" t="str">
        <f>INDEX('ei names mapping'!$B$104:$R$133,MATCH(B138,'ei names mapping'!$A$104:$A$133,0),MATCH(G177,'ei names mapping'!$B$3:$R$3,0))</f>
        <v>kilogram</v>
      </c>
      <c r="E177" s="12"/>
      <c r="F177" s="12" t="s">
        <v>91</v>
      </c>
      <c r="G177" t="s">
        <v>152</v>
      </c>
      <c r="H177" s="12" t="str">
        <f>INDEX('ei names mapping'!$B$71:$R$100,MATCH(B138,'ei names mapping'!$A$4:$A$33,0),MATCH(G177,'ei names mapping'!$B$3:$R$3,0))</f>
        <v>used Li-ion battery</v>
      </c>
    </row>
    <row r="178" spans="1:8" s="21" customFormat="1" x14ac:dyDescent="0.3">
      <c r="A178" s="22" t="s">
        <v>468</v>
      </c>
      <c r="B178" s="21">
        <f>(B151/1000)*B163</f>
        <v>130.04</v>
      </c>
      <c r="C178" s="21" t="s">
        <v>94</v>
      </c>
      <c r="D178" s="21" t="s">
        <v>243</v>
      </c>
      <c r="F178" s="21" t="s">
        <v>91</v>
      </c>
      <c r="H178" s="22" t="s">
        <v>469</v>
      </c>
    </row>
    <row r="179" spans="1:8" s="21" customFormat="1" x14ac:dyDescent="0.3">
      <c r="A179" s="22" t="s">
        <v>467</v>
      </c>
      <c r="B179" s="2">
        <f>(B151/1000)*B162</f>
        <v>2067.636</v>
      </c>
      <c r="C179" s="21" t="s">
        <v>98</v>
      </c>
      <c r="D179" s="21" t="s">
        <v>243</v>
      </c>
      <c r="F179" s="21" t="s">
        <v>91</v>
      </c>
      <c r="H179" s="22" t="s">
        <v>467</v>
      </c>
    </row>
    <row r="180" spans="1:8" x14ac:dyDescent="0.3">
      <c r="B180" s="2"/>
    </row>
    <row r="181" spans="1:8" ht="15.6" x14ac:dyDescent="0.3">
      <c r="A181" s="11" t="s">
        <v>72</v>
      </c>
      <c r="B181" s="9" t="str">
        <f>"transport, "&amp;B183&amp;", "&amp;B185</f>
        <v>transport, Scooter, electric, 4-11kW, 2020</v>
      </c>
    </row>
    <row r="182" spans="1:8" x14ac:dyDescent="0.3">
      <c r="A182" t="s">
        <v>73</v>
      </c>
      <c r="B182" t="s">
        <v>37</v>
      </c>
    </row>
    <row r="183" spans="1:8" x14ac:dyDescent="0.3">
      <c r="A183" t="s">
        <v>87</v>
      </c>
      <c r="B183" s="21" t="s">
        <v>631</v>
      </c>
    </row>
    <row r="184" spans="1:8" x14ac:dyDescent="0.3">
      <c r="A184" t="s">
        <v>88</v>
      </c>
      <c r="B184" s="12"/>
    </row>
    <row r="185" spans="1:8" x14ac:dyDescent="0.3">
      <c r="A185" t="s">
        <v>89</v>
      </c>
      <c r="B185" s="12">
        <v>2020</v>
      </c>
    </row>
    <row r="186" spans="1:8" x14ac:dyDescent="0.3">
      <c r="A186" t="s">
        <v>131</v>
      </c>
      <c r="B186" s="12" t="str">
        <f>B183&amp;" - "&amp;B185&amp;" - "&amp;B182</f>
        <v>Scooter, electric, 4-11kW - 2020 - CH</v>
      </c>
    </row>
    <row r="187" spans="1:8" x14ac:dyDescent="0.3">
      <c r="A187" t="s">
        <v>74</v>
      </c>
      <c r="B187" s="12" t="str">
        <f>"transport, "&amp;B183</f>
        <v>transport, Scooter, electric, 4-11kW</v>
      </c>
    </row>
    <row r="188" spans="1:8" x14ac:dyDescent="0.3">
      <c r="A188" t="s">
        <v>75</v>
      </c>
      <c r="B188" t="s">
        <v>76</v>
      </c>
    </row>
    <row r="189" spans="1:8" x14ac:dyDescent="0.3">
      <c r="A189" t="s">
        <v>77</v>
      </c>
      <c r="B189" t="s">
        <v>172</v>
      </c>
    </row>
    <row r="190" spans="1:8" x14ac:dyDescent="0.3">
      <c r="A190" t="s">
        <v>79</v>
      </c>
      <c r="B190" t="s">
        <v>90</v>
      </c>
    </row>
    <row r="191" spans="1:8" x14ac:dyDescent="0.3">
      <c r="A191" t="s">
        <v>132</v>
      </c>
      <c r="B191">
        <f>INDEX('vehicles specifications'!$B$3:$CK$86,MATCH(B186,'vehicles specifications'!$A$3:$A$86,0),MATCH("Lifetime [km]",'vehicles specifications'!$B$2:$CK$2,0))</f>
        <v>39800</v>
      </c>
    </row>
    <row r="192" spans="1:8" x14ac:dyDescent="0.3">
      <c r="A192" t="s">
        <v>133</v>
      </c>
      <c r="B192">
        <f>INDEX('vehicles specifications'!$B$3:$CK$86,MATCH(B186,'vehicles specifications'!$A$3:$A$86,0),MATCH("Passengers [unit]",'vehicles specifications'!$B$2:$CK$2,0))</f>
        <v>1</v>
      </c>
    </row>
    <row r="193" spans="1:8" x14ac:dyDescent="0.3">
      <c r="A193" t="s">
        <v>134</v>
      </c>
      <c r="B193">
        <f>INDEX('vehicles specifications'!$B$3:$CK$86,MATCH(B186,'vehicles specifications'!$A$3:$A$86,0),MATCH("Servicing [unit]",'vehicles specifications'!$B$2:$CK$2,0))</f>
        <v>1</v>
      </c>
    </row>
    <row r="194" spans="1:8" x14ac:dyDescent="0.3">
      <c r="A194" t="s">
        <v>135</v>
      </c>
      <c r="B194">
        <f>INDEX('vehicles specifications'!$B$3:$CK$86,MATCH(B186,'vehicles specifications'!$A$3:$A$86,0),MATCH("Energy battery replacement [unit]",'vehicles specifications'!$B$2:$CK$2,0))</f>
        <v>1</v>
      </c>
    </row>
    <row r="195" spans="1:8" x14ac:dyDescent="0.3">
      <c r="A195" t="s">
        <v>136</v>
      </c>
      <c r="B195">
        <f>INDEX('vehicles specifications'!$B$3:$CK$86,MATCH(B186,'vehicles specifications'!$A$3:$A$86,0),MATCH("Annual kilometers [km]",'vehicles specifications'!$B$2:$CK$2,0))</f>
        <v>2731</v>
      </c>
    </row>
    <row r="196" spans="1:8" x14ac:dyDescent="0.3">
      <c r="A196" t="s">
        <v>137</v>
      </c>
      <c r="B196" s="2">
        <f>INDEX('vehicles specifications'!$B$3:$CK$86,MATCH(B186,'vehicles specifications'!$A$3:$A$86,0),MATCH("Curb mass [kg]",'vehicles specifications'!$B$2:$CK$2,0))</f>
        <v>129.80000000000001</v>
      </c>
    </row>
    <row r="197" spans="1:8" x14ac:dyDescent="0.3">
      <c r="A197" t="s">
        <v>138</v>
      </c>
      <c r="B197">
        <f>INDEX('vehicles specifications'!$B$3:$CK$86,MATCH(B186,'vehicles specifications'!$A$3:$A$86,0),MATCH("Power [kW]",'vehicles specifications'!$B$2:$CK$2,0))</f>
        <v>6.1</v>
      </c>
    </row>
    <row r="198" spans="1:8" x14ac:dyDescent="0.3">
      <c r="A198" t="s">
        <v>139</v>
      </c>
      <c r="B198">
        <f>INDEX('vehicles specifications'!$B$3:$CK$86,MATCH(B186,'vehicles specifications'!$A$3:$A$86,0),MATCH("Energy battery mass [kg]",'vehicles specifications'!$B$2:$CK$2,0))</f>
        <v>19.799999999999997</v>
      </c>
    </row>
    <row r="199" spans="1:8" x14ac:dyDescent="0.3">
      <c r="A199" t="s">
        <v>140</v>
      </c>
      <c r="B199">
        <f>INDEX('vehicles specifications'!$B$3:$CK$86,MATCH(B186,'vehicles specifications'!$A$3:$A$86,0),MATCH("Electric energy stored [kWh]",'vehicles specifications'!$B$2:$CK$2,0))</f>
        <v>3.3</v>
      </c>
    </row>
    <row r="200" spans="1:8" s="21" customFormat="1" x14ac:dyDescent="0.3">
      <c r="A200" s="21" t="s">
        <v>654</v>
      </c>
      <c r="B200" s="21">
        <f>INDEX('vehicles specifications'!$B$3:$CK$86,MATCH(B186,'vehicles specifications'!$A$3:$A$86,0),MATCH("Electric energy available [kWh]",'vehicles specifications'!$B$2:$CK$2,0))</f>
        <v>2.64</v>
      </c>
    </row>
    <row r="201" spans="1:8" x14ac:dyDescent="0.3">
      <c r="A201" t="s">
        <v>143</v>
      </c>
      <c r="B201" s="2">
        <f>INDEX('vehicles specifications'!$B$3:$CK$86,MATCH(B186,'vehicles specifications'!$A$3:$A$86,0),MATCH("Oxydation energy stored [kWh]",'vehicles specifications'!$B$2:$CK$2,0))</f>
        <v>0</v>
      </c>
    </row>
    <row r="202" spans="1:8" x14ac:dyDescent="0.3">
      <c r="A202" t="s">
        <v>145</v>
      </c>
      <c r="B202">
        <f>INDEX('vehicles specifications'!$B$3:$CK$86,MATCH(B186,'vehicles specifications'!$A$3:$A$86,0),MATCH("Fuel mass [kg]",'vehicles specifications'!$B$2:$CK$2,0))</f>
        <v>0</v>
      </c>
    </row>
    <row r="203" spans="1:8" x14ac:dyDescent="0.3">
      <c r="A203" t="s">
        <v>141</v>
      </c>
      <c r="B203" s="2">
        <f>INDEX('vehicles specifications'!$B$3:$CK$86,MATCH(B186,'vehicles specifications'!$A$3:$A$86,0),MATCH("Range [km]",'vehicles specifications'!$B$2:$CK$2,0))</f>
        <v>50.175550663414057</v>
      </c>
    </row>
    <row r="204" spans="1:8" x14ac:dyDescent="0.3">
      <c r="A204" t="s">
        <v>142</v>
      </c>
      <c r="B204" t="str">
        <f>INDEX('vehicles specifications'!$B$3:$CK$86,MATCH(B186,'vehicles specifications'!$A$3:$A$86,0),MATCH("Emission standard",'vehicles specifications'!$B$2:$CK$2,0))</f>
        <v>None</v>
      </c>
    </row>
    <row r="205" spans="1:8" x14ac:dyDescent="0.3">
      <c r="A205" t="s">
        <v>144</v>
      </c>
      <c r="B205" s="6">
        <f>INDEX('vehicles specifications'!$B$3:$CK$86,MATCH(B186,'vehicles specifications'!$A$3:$A$86,0),MATCH("Lightweighting rate [%]",'vehicles specifications'!$B$2:$CK$2,0))</f>
        <v>0</v>
      </c>
    </row>
    <row r="206" spans="1:8" x14ac:dyDescent="0.3">
      <c r="A206"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"&amp;B190</f>
        <v>Power: 6.1 kW. Lifetime: 39800 km. Annual kilometers: 2731 km. Number of passengers: 1. Curb mass: 129.8 kg. Lightweighting of glider: 0%. Emission standard: None. Service visits throughout lifetime: 1. Range: 50 km. Battery capacity: 3.3 kWh. Available battery capacity: 2.64 kWh. Battery mass: 19.8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7" spans="1:8" ht="15.6" x14ac:dyDescent="0.3">
      <c r="A207" s="11" t="s">
        <v>80</v>
      </c>
    </row>
    <row r="208" spans="1:8" x14ac:dyDescent="0.3">
      <c r="A208" t="s">
        <v>81</v>
      </c>
      <c r="B208" t="s">
        <v>82</v>
      </c>
      <c r="C208" t="s">
        <v>73</v>
      </c>
      <c r="D208" t="s">
        <v>77</v>
      </c>
      <c r="E208" t="s">
        <v>83</v>
      </c>
      <c r="F208" t="s">
        <v>75</v>
      </c>
      <c r="G208" t="s">
        <v>84</v>
      </c>
      <c r="H208" t="s">
        <v>74</v>
      </c>
    </row>
    <row r="209" spans="1:8" x14ac:dyDescent="0.3">
      <c r="A209" s="12" t="str">
        <f>B181</f>
        <v>transport, Scooter, electric, 4-11kW, 2020</v>
      </c>
      <c r="B209" s="12">
        <v>1</v>
      </c>
      <c r="C209" s="12" t="str">
        <f>B182</f>
        <v>CH</v>
      </c>
      <c r="D209" s="12" t="s">
        <v>172</v>
      </c>
      <c r="E209" s="12"/>
      <c r="F209" s="12" t="s">
        <v>85</v>
      </c>
      <c r="G209" s="12" t="s">
        <v>86</v>
      </c>
      <c r="H209" s="12" t="str">
        <f>B187</f>
        <v>transport, Scooter, electric, 4-11kW</v>
      </c>
    </row>
    <row r="210" spans="1:8" x14ac:dyDescent="0.3">
      <c r="A210" s="12" t="str">
        <f>RIGHT(A209,LEN(A209)-11)</f>
        <v>Scooter, electric, 4-11kW, 2020</v>
      </c>
      <c r="B210" s="15">
        <f>1/B191</f>
        <v>2.5125628140703518E-5</v>
      </c>
      <c r="C210" s="12" t="str">
        <f>B182</f>
        <v>CH</v>
      </c>
      <c r="D210" s="12" t="s">
        <v>77</v>
      </c>
      <c r="E210" s="12"/>
      <c r="F210" s="12" t="s">
        <v>91</v>
      </c>
      <c r="G210" s="12"/>
      <c r="H210" s="12" t="str">
        <f>RIGHT(H209,LEN(H209)-11)</f>
        <v>Scooter, electric, 4-11kW</v>
      </c>
    </row>
    <row r="211" spans="1:8" s="21" customFormat="1" x14ac:dyDescent="0.3">
      <c r="A211" s="12" t="str">
        <f>INDEX('ei names mapping'!$B$4:$R$33,MATCH(B183,'ei names mapping'!$A$4:$A$33,0),MATCH(G211,'ei names mapping'!$B$3:$R$3,0))</f>
        <v>road construction</v>
      </c>
      <c r="B211" s="16">
        <f>INDEX('vehicles specifications'!$B$3:$CK$86,MATCH(B186,'vehicles specifications'!$A$3:$A$86,0),MATCH(G211,'vehicles specifications'!$B$2:$CK$2,0))*INDEX('ei names mapping'!$B$137:$BK$220,MATCH(B186,'ei names mapping'!$A$137:$A$220,0),MATCH(G211,'ei names mapping'!$B$136:$BK$136,0))</f>
        <v>1.0944060000000001E-4</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s="21" t="s">
        <v>108</v>
      </c>
      <c r="H211" s="12" t="str">
        <f>INDEX('ei names mapping'!$B$71:$BK$100,MATCH(B183,'ei names mapping'!$A$4:$A$33,0),MATCH(G211,'ei names mapping'!$B$3:$BK$3,0))</f>
        <v>road</v>
      </c>
    </row>
    <row r="212" spans="1:8" x14ac:dyDescent="0.3">
      <c r="A212" s="12" t="str">
        <f>INDEX('ei names mapping'!$B$4:$R$33,MATCH(B183,'ei names mapping'!$A$4:$A$33,0),MATCH(G212,'ei names mapping'!$B$3:$R$3,0))</f>
        <v>road maintenance</v>
      </c>
      <c r="B212" s="16">
        <f>INDEX('vehicles specifications'!$B$3:$CK$86,MATCH(B186,'vehicles specifications'!$A$3:$A$86,0),MATCH(G212,'vehicles specifications'!$B$2:$CK$2,0))*INDEX('ei names mapping'!$B$137:$BK$220,MATCH(B186,'ei names mapping'!$A$137:$A$220,0),MATCH(G212,'ei names mapping'!$B$136:$BK$136,0))</f>
        <v>1.2899999999999999E-3</v>
      </c>
      <c r="C212" s="12" t="str">
        <f>INDEX('ei names mapping'!$B$38:$R$67,MATCH(B183,'ei names mapping'!$A$4:$A$33,0),MATCH(G212,'ei names mapping'!$B$3:$R$3,0))</f>
        <v>CH</v>
      </c>
      <c r="D212" s="12" t="str">
        <f>INDEX('ei names mapping'!$B$104:$BK$133,MATCH(B183,'ei names mapping'!$A$4:$A$33,0),MATCH(G212,'ei names mapping'!$B$3:$BK$3,0))</f>
        <v>meter-year</v>
      </c>
      <c r="E212" s="12"/>
      <c r="F212" s="12" t="s">
        <v>91</v>
      </c>
      <c r="G212" t="s">
        <v>117</v>
      </c>
      <c r="H212" s="12" t="str">
        <f>INDEX('ei names mapping'!$B$71:$BK$100,MATCH(B183,'ei names mapping'!$A$4:$A$33,0),MATCH(G212,'ei names mapping'!$B$3:$BK$3,0))</f>
        <v>road maintenance</v>
      </c>
    </row>
    <row r="213" spans="1:8" x14ac:dyDescent="0.3">
      <c r="A213" s="12" t="str">
        <f>INDEX('ei names mapping'!$B$4:$R$33,MATCH(B183,'ei names mapping'!$A$4:$A$33,0),MATCH(G213,'ei names mapping'!$B$3:$R$3,0))</f>
        <v>market for electricity, low voltage</v>
      </c>
      <c r="B213" s="14">
        <f>INDEX('vehicles specifications'!$B$3:$CK$86,MATCH(B186,'vehicles specifications'!$A$3:$A$86,0),MATCH(G213,'vehicles specifications'!$B$2:$CK$2,0))*INDEX('ei names mapping'!$B$137:$BK$220,MATCH(B186,'ei names mapping'!$A$137:$A$220,0),MATCH(G213,'ei names mapping'!$B$136:$BK$136,0))</f>
        <v>5.7876793809010993E-2</v>
      </c>
      <c r="C213" s="12" t="str">
        <f>INDEX('ei names mapping'!$B$38:$R$67,MATCH($B$3,'ei names mapping'!$A$4:$A$33,0),MATCH(G213,'ei names mapping'!$B$3:$R$3,0))</f>
        <v>CH</v>
      </c>
      <c r="D213" s="12" t="str">
        <f>INDEX('ei names mapping'!$B$104:$R$133,MATCH($B$3,'ei names mapping'!$A$4:$A$33,0),MATCH(G213,'ei names mapping'!$B$3:$R$3,0))</f>
        <v>kilowatt hour</v>
      </c>
      <c r="E213" s="12"/>
      <c r="F213" s="12" t="s">
        <v>91</v>
      </c>
      <c r="G213" t="s">
        <v>28</v>
      </c>
      <c r="H213" s="12" t="str">
        <f>INDEX('ei names mapping'!$B$71:$R$100,MATCH(B183,'ei names mapping'!$A$4:$A$33,0),MATCH(G213,'ei names mapping'!$B$3:$R$3,0))</f>
        <v>electricity, low voltage</v>
      </c>
    </row>
    <row r="214" spans="1:8" x14ac:dyDescent="0.3">
      <c r="A214" s="12" t="str">
        <f>INDEX('ei names mapping'!$B$4:$R$33,MATCH(B183,'ei names mapping'!$A$4:$A$33,0),MATCH(G214,'ei names mapping'!$B$3:$R$3,0))</f>
        <v>market for maintenance, electric scooter, without battery</v>
      </c>
      <c r="B214" s="16">
        <f>INDEX('vehicles specifications'!$B$3:$CK$86,MATCH(B186,'vehicles specifications'!$A$3:$A$86,0),MATCH(G214,'vehicles specifications'!$B$2:$CK$2,0))*INDEX('ei names mapping'!$B$137:$BK$220,MATCH(B186,'ei names mapping'!$A$137:$A$220,0),MATCH(G214,'ei names mapping'!$B$136:$BK$136,0))</f>
        <v>2.5125628140703518E-5</v>
      </c>
      <c r="C214" s="12" t="str">
        <f>INDEX('ei names mapping'!$B$38:$BK$67,MATCH(B183,'ei names mapping'!$A$4:$A$33,0),MATCH(G214,'ei names mapping'!$B$3:$BK$3,0))</f>
        <v>GLO</v>
      </c>
      <c r="D214" s="12" t="str">
        <f>INDEX('ei names mapping'!$B$104:$BK$133,MATCH(B183,'ei names mapping'!$A$4:$A$33,0),MATCH(G214,'ei names mapping'!$B$3:$BK$3,0))</f>
        <v>unit</v>
      </c>
      <c r="F214" s="12" t="s">
        <v>91</v>
      </c>
      <c r="G214" s="12" t="s">
        <v>123</v>
      </c>
      <c r="H214" s="12" t="str">
        <f>INDEX('ei names mapping'!$B$71:$BK$100,MATCH(B183,'ei names mapping'!$A$4:$A$33,0),MATCH(G214,'ei names mapping'!$B$3:$BK$3,0))</f>
        <v>maintenance, electric scooter, without battery</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-6.3939999999999993E-6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-3.0894999999999998E-6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Scooter, electric, 4-11kW, 2030</v>
      </c>
    </row>
    <row r="220" spans="1:8" x14ac:dyDescent="0.3">
      <c r="A220" t="s">
        <v>73</v>
      </c>
      <c r="B220" t="s">
        <v>37</v>
      </c>
    </row>
    <row r="221" spans="1:8" x14ac:dyDescent="0.3">
      <c r="A221" t="s">
        <v>87</v>
      </c>
      <c r="B221" s="21" t="s">
        <v>631</v>
      </c>
    </row>
    <row r="222" spans="1:8" x14ac:dyDescent="0.3">
      <c r="A222" t="s">
        <v>88</v>
      </c>
      <c r="B222" s="12"/>
    </row>
    <row r="223" spans="1:8" x14ac:dyDescent="0.3">
      <c r="A223" t="s">
        <v>89</v>
      </c>
      <c r="B223" s="12">
        <v>2030</v>
      </c>
    </row>
    <row r="224" spans="1:8" x14ac:dyDescent="0.3">
      <c r="A224" t="s">
        <v>131</v>
      </c>
      <c r="B224" s="12" t="str">
        <f>B221&amp;" - "&amp;B223&amp;" - "&amp;B220</f>
        <v>Scooter, electric, 4-11kW - 2030 - CH</v>
      </c>
    </row>
    <row r="225" spans="1:2" x14ac:dyDescent="0.3">
      <c r="A225" t="s">
        <v>74</v>
      </c>
      <c r="B225" s="12" t="str">
        <f>"transport, "&amp;B221</f>
        <v>transport, Scooter, electric, 4-11kW</v>
      </c>
    </row>
    <row r="226" spans="1:2" x14ac:dyDescent="0.3">
      <c r="A226" t="s">
        <v>75</v>
      </c>
      <c r="B226" t="s">
        <v>76</v>
      </c>
    </row>
    <row r="227" spans="1:2" x14ac:dyDescent="0.3">
      <c r="A227" t="s">
        <v>77</v>
      </c>
      <c r="B227" t="s">
        <v>172</v>
      </c>
    </row>
    <row r="228" spans="1:2" x14ac:dyDescent="0.3">
      <c r="A228" t="s">
        <v>79</v>
      </c>
      <c r="B228" t="s">
        <v>90</v>
      </c>
    </row>
    <row r="229" spans="1:2" x14ac:dyDescent="0.3">
      <c r="A229" t="s">
        <v>132</v>
      </c>
      <c r="B229">
        <f>INDEX('vehicles specifications'!$B$3:$CK$86,MATCH(B224,'vehicles specifications'!$A$3:$A$86,0),MATCH("Lifetime [km]",'vehicles specifications'!$B$2:$CK$2,0))</f>
        <v>39800</v>
      </c>
    </row>
    <row r="230" spans="1:2" x14ac:dyDescent="0.3">
      <c r="A230" t="s">
        <v>133</v>
      </c>
      <c r="B230">
        <f>INDEX('vehicles specifications'!$B$3:$CK$86,MATCH(B224,'vehicles specifications'!$A$3:$A$86,0),MATCH("Passengers [unit]",'vehicles specifications'!$B$2:$CK$2,0))</f>
        <v>1</v>
      </c>
    </row>
    <row r="231" spans="1:2" x14ac:dyDescent="0.3">
      <c r="A231" t="s">
        <v>134</v>
      </c>
      <c r="B231">
        <f>INDEX('vehicles specifications'!$B$3:$CK$86,MATCH(B224,'vehicles specifications'!$A$3:$A$86,0),MATCH("Servicing [unit]",'vehicles specifications'!$B$2:$CK$2,0))</f>
        <v>1</v>
      </c>
    </row>
    <row r="232" spans="1:2" x14ac:dyDescent="0.3">
      <c r="A232" t="s">
        <v>135</v>
      </c>
      <c r="B232">
        <f>INDEX('vehicles specifications'!$B$3:$CK$86,MATCH(B224,'vehicles specifications'!$A$3:$A$86,0),MATCH("Energy battery replacement [unit]",'vehicles specifications'!$B$2:$CK$2,0))</f>
        <v>0.5</v>
      </c>
    </row>
    <row r="233" spans="1:2" x14ac:dyDescent="0.3">
      <c r="A233" t="s">
        <v>136</v>
      </c>
      <c r="B233">
        <f>INDEX('vehicles specifications'!$B$3:$CK$86,MATCH(B224,'vehicles specifications'!$A$3:$A$86,0),MATCH("Annual kilometers [km]",'vehicles specifications'!$B$2:$CK$2,0))</f>
        <v>2731</v>
      </c>
    </row>
    <row r="234" spans="1:2" x14ac:dyDescent="0.3">
      <c r="A234" t="s">
        <v>137</v>
      </c>
      <c r="B234" s="2">
        <f>INDEX('vehicles specifications'!$B$3:$CK$86,MATCH(B224,'vehicles specifications'!$A$3:$A$86,0),MATCH("Curb mass [kg]",'vehicles specifications'!$B$2:$CK$2,0))</f>
        <v>130.28</v>
      </c>
    </row>
    <row r="235" spans="1:2" x14ac:dyDescent="0.3">
      <c r="A235" t="s">
        <v>138</v>
      </c>
      <c r="B235">
        <f>INDEX('vehicles specifications'!$B$3:$CK$86,MATCH(B224,'vehicles specifications'!$A$3:$A$86,0),MATCH("Power [kW]",'vehicles specifications'!$B$2:$CK$2,0))</f>
        <v>6.1</v>
      </c>
    </row>
    <row r="236" spans="1:2" x14ac:dyDescent="0.3">
      <c r="A236" t="s">
        <v>139</v>
      </c>
      <c r="B236">
        <f>INDEX('vehicles specifications'!$B$3:$CK$86,MATCH(B224,'vehicles specifications'!$A$3:$A$86,0),MATCH("Energy battery mass [kg]",'vehicles specifications'!$B$2:$CK$2,0))</f>
        <v>22.8</v>
      </c>
    </row>
    <row r="237" spans="1:2" x14ac:dyDescent="0.3">
      <c r="A237" t="s">
        <v>140</v>
      </c>
      <c r="B237">
        <f>INDEX('vehicles specifications'!$B$3:$CK$86,MATCH(B224,'vehicles specifications'!$A$3:$A$86,0),MATCH("Electric energy stored [kWh]",'vehicles specifications'!$B$2:$CK$2,0))</f>
        <v>5.7</v>
      </c>
    </row>
    <row r="238" spans="1:2" s="21" customFormat="1" x14ac:dyDescent="0.3">
      <c r="A238" s="21" t="s">
        <v>654</v>
      </c>
      <c r="B238" s="21">
        <f>INDEX('vehicles specifications'!$B$3:$CK$86,MATCH(B224,'vehicles specifications'!$A$3:$A$86,0),MATCH("Electric energy available [kWh]",'vehicles specifications'!$B$2:$CK$2,0))</f>
        <v>4.5600000000000005</v>
      </c>
    </row>
    <row r="239" spans="1:2" x14ac:dyDescent="0.3">
      <c r="A239" t="s">
        <v>143</v>
      </c>
      <c r="B239" s="2">
        <f>INDEX('vehicles specifications'!$B$3:$CK$86,MATCH(B224,'vehicles specifications'!$A$3:$A$86,0),MATCH("Oxydation energy stored [kWh]",'vehicles specifications'!$B$2:$CK$2,0))</f>
        <v>0</v>
      </c>
    </row>
    <row r="240" spans="1:2" x14ac:dyDescent="0.3">
      <c r="A240" t="s">
        <v>145</v>
      </c>
      <c r="B240">
        <f>INDEX('vehicles specifications'!$B$3:$CK$86,MATCH(B224,'vehicles specifications'!$A$3:$A$86,0),MATCH("Fuel mass [kg]",'vehicles specifications'!$B$2:$CK$2,0))</f>
        <v>0</v>
      </c>
    </row>
    <row r="241" spans="1:8" x14ac:dyDescent="0.3">
      <c r="A241" t="s">
        <v>141</v>
      </c>
      <c r="B241" s="2">
        <f>INDEX('vehicles specifications'!$B$3:$CK$86,MATCH(B224,'vehicles specifications'!$A$3:$A$86,0),MATCH("Range [km]",'vehicles specifications'!$B$2:$CK$2,0))</f>
        <v>86.666860236806102</v>
      </c>
    </row>
    <row r="242" spans="1:8" x14ac:dyDescent="0.3">
      <c r="A242" t="s">
        <v>142</v>
      </c>
      <c r="B242" t="str">
        <f>INDEX('vehicles specifications'!$B$3:$CK$86,MATCH(B224,'vehicles specifications'!$A$3:$A$86,0),MATCH("Emission standard",'vehicles specifications'!$B$2:$CK$2,0))</f>
        <v>None</v>
      </c>
    </row>
    <row r="243" spans="1:8" x14ac:dyDescent="0.3">
      <c r="A243" t="s">
        <v>144</v>
      </c>
      <c r="B243" s="6">
        <f>INDEX('vehicles specifications'!$B$3:$CK$86,MATCH(B224,'vehicles specifications'!$A$3:$A$86,0),MATCH("Lightweighting rate [%]",'vehicles specifications'!$B$2:$CK$2,0))</f>
        <v>0.03</v>
      </c>
    </row>
    <row r="244" spans="1:8" x14ac:dyDescent="0.3">
      <c r="A244"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"&amp;B228</f>
        <v>Power: 6.1 kW. Lifetime: 39800 km. Annual kilometers: 2731 km. Number of passengers: 1. Curb mass: 130.3 kg. Lightweighting of glider: 3%. Emission standard: None. Service visits throughout lifetime: 1. Range: 87 km. Battery capacity: 5.7 kWh. Available battery capacity: 4.56 kWh. Battery mass: 22.8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5" spans="1:8" ht="15.6" x14ac:dyDescent="0.3">
      <c r="A245" s="11" t="s">
        <v>80</v>
      </c>
    </row>
    <row r="246" spans="1:8" x14ac:dyDescent="0.3">
      <c r="A246" t="s">
        <v>81</v>
      </c>
      <c r="B246" t="s">
        <v>82</v>
      </c>
      <c r="C246" t="s">
        <v>73</v>
      </c>
      <c r="D246" t="s">
        <v>77</v>
      </c>
      <c r="E246" t="s">
        <v>83</v>
      </c>
      <c r="F246" t="s">
        <v>75</v>
      </c>
      <c r="G246" t="s">
        <v>84</v>
      </c>
      <c r="H246" t="s">
        <v>74</v>
      </c>
    </row>
    <row r="247" spans="1:8" x14ac:dyDescent="0.3">
      <c r="A247" s="12" t="str">
        <f>B219</f>
        <v>transport, Scooter, electric, 4-11kW, 2030</v>
      </c>
      <c r="B247" s="12">
        <v>1</v>
      </c>
      <c r="C247" s="12" t="str">
        <f>B220</f>
        <v>CH</v>
      </c>
      <c r="D247" s="12" t="s">
        <v>172</v>
      </c>
      <c r="E247" s="12"/>
      <c r="F247" s="12" t="s">
        <v>85</v>
      </c>
      <c r="G247" s="12" t="s">
        <v>86</v>
      </c>
      <c r="H247" s="12" t="str">
        <f>B225</f>
        <v>transport, Scooter, electric, 4-11kW</v>
      </c>
    </row>
    <row r="248" spans="1:8" x14ac:dyDescent="0.3">
      <c r="A248" s="12" t="str">
        <f>RIGHT(A247,LEN(A247)-11)</f>
        <v>Scooter, electric, 4-11kW, 2030</v>
      </c>
      <c r="B248" s="12">
        <f>1/B229</f>
        <v>2.5125628140703518E-5</v>
      </c>
      <c r="C248" s="12" t="str">
        <f>B220</f>
        <v>CH</v>
      </c>
      <c r="D248" s="12" t="s">
        <v>77</v>
      </c>
      <c r="E248" s="12"/>
      <c r="F248" s="12" t="s">
        <v>91</v>
      </c>
      <c r="G248" s="12"/>
      <c r="H248" s="12" t="str">
        <f>RIGHT(H247,LEN(H247)-11)</f>
        <v>Scooter, electric, 4-11kW</v>
      </c>
    </row>
    <row r="249" spans="1:8" s="21" customFormat="1" x14ac:dyDescent="0.3">
      <c r="A249" s="12" t="str">
        <f>INDEX('ei names mapping'!$B$4:$R$33,MATCH(B221,'ei names mapping'!$A$4:$A$33,0),MATCH(G249,'ei names mapping'!$B$3:$R$3,0))</f>
        <v>road construction</v>
      </c>
      <c r="B249" s="16">
        <f>INDEX('vehicles specifications'!$B$3:$CK$86,MATCH(B224,'vehicles specifications'!$A$3:$A$86,0),MATCH(G249,'vehicles specifications'!$B$2:$CK$2,0))*INDEX('ei names mapping'!$B$137:$BK$220,MATCH(B224,'ei names mapping'!$A$137:$A$220,0),MATCH(G249,'ei names mapping'!$B$136:$BK$136,0))</f>
        <v>1.0969836E-4</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s="21" t="s">
        <v>108</v>
      </c>
      <c r="H249" s="12" t="str">
        <f>INDEX('ei names mapping'!$B$71:$BK$100,MATCH(B221,'ei names mapping'!$A$4:$A$33,0),MATCH(G249,'ei names mapping'!$B$3:$BK$3,0))</f>
        <v>road</v>
      </c>
    </row>
    <row r="250" spans="1:8" x14ac:dyDescent="0.3">
      <c r="A250" s="12" t="str">
        <f>INDEX('ei names mapping'!$B$4:$R$33,MATCH(B221,'ei names mapping'!$A$4:$A$33,0),MATCH(G250,'ei names mapping'!$B$3:$R$3,0))</f>
        <v>road maintenance</v>
      </c>
      <c r="B250" s="16">
        <f>INDEX('vehicles specifications'!$B$3:$CK$86,MATCH(B224,'vehicles specifications'!$A$3:$A$86,0),MATCH(G250,'vehicles specifications'!$B$2:$CK$2,0))*INDEX('ei names mapping'!$B$137:$BK$220,MATCH(B224,'ei names mapping'!$A$137:$A$220,0),MATCH(G250,'ei names mapping'!$B$136:$BK$136,0))</f>
        <v>1.2899999999999999E-3</v>
      </c>
      <c r="C250" s="12" t="str">
        <f>INDEX('ei names mapping'!$B$38:$R$67,MATCH(B221,'ei names mapping'!$A$4:$A$33,0),MATCH(G250,'ei names mapping'!$B$3:$R$3,0))</f>
        <v>CH</v>
      </c>
      <c r="D250" s="12" t="str">
        <f>INDEX('ei names mapping'!$B$104:$BK$133,MATCH(B221,'ei names mapping'!$A$4:$A$33,0),MATCH(G250,'ei names mapping'!$B$3:$BK$3,0))</f>
        <v>meter-year</v>
      </c>
      <c r="E250" s="12"/>
      <c r="F250" s="12" t="s">
        <v>91</v>
      </c>
      <c r="G250" t="s">
        <v>117</v>
      </c>
      <c r="H250" s="12" t="str">
        <f>INDEX('ei names mapping'!$B$71:$BK$100,MATCH(B221,'ei names mapping'!$A$4:$A$33,0),MATCH(G250,'ei names mapping'!$B$3:$BK$3,0))</f>
        <v>road maintenance</v>
      </c>
    </row>
    <row r="251" spans="1:8" x14ac:dyDescent="0.3">
      <c r="A251" s="12" t="str">
        <f>INDEX('ei names mapping'!$B$4:$R$33,MATCH(B221,'ei names mapping'!$A$4:$A$33,0),MATCH(G251,'ei names mapping'!$B$3:$R$3,0))</f>
        <v>market for electricity, low voltage</v>
      </c>
      <c r="B251" s="14">
        <f>INDEX('vehicles specifications'!$B$3:$CK$86,MATCH(B224,'vehicles specifications'!$A$3:$A$86,0),MATCH(G251,'vehicles specifications'!$B$2:$CK$2,0))*INDEX('ei names mapping'!$B$137:$BK$220,MATCH(B224,'ei names mapping'!$A$137:$A$220,0),MATCH(G251,'ei names mapping'!$B$136:$BK$136,0))</f>
        <v>5.7876793809010993E-2</v>
      </c>
      <c r="C251" s="12" t="str">
        <f>INDEX('ei names mapping'!$B$38:$R$67,MATCH($B$3,'ei names mapping'!$A$4:$A$33,0),MATCH(G251,'ei names mapping'!$B$3:$R$3,0))</f>
        <v>CH</v>
      </c>
      <c r="D251" s="12" t="str">
        <f>INDEX('ei names mapping'!$B$104:$R$133,MATCH($B$3,'ei names mapping'!$A$4:$A$33,0),MATCH(G251,'ei names mapping'!$B$3:$R$3,0))</f>
        <v>kilowatt hour</v>
      </c>
      <c r="E251" s="12"/>
      <c r="F251" s="12" t="s">
        <v>91</v>
      </c>
      <c r="G251" t="s">
        <v>28</v>
      </c>
      <c r="H251" s="12" t="str">
        <f>INDEX('ei names mapping'!$B$71:$R$100,MATCH(B221,'ei names mapping'!$A$4:$A$33,0),MATCH(G251,'ei names mapping'!$B$3:$R$3,0))</f>
        <v>electricity, low voltage</v>
      </c>
    </row>
    <row r="252" spans="1:8" x14ac:dyDescent="0.3">
      <c r="A252" s="12" t="str">
        <f>INDEX('ei names mapping'!$B$4:$R$33,MATCH(B221,'ei names mapping'!$A$4:$A$33,0),MATCH(G252,'ei names mapping'!$B$3:$R$3,0))</f>
        <v>market for maintenance, electric scooter, without battery</v>
      </c>
      <c r="B252" s="16">
        <f>INDEX('vehicles specifications'!$B$3:$CK$86,MATCH(B224,'vehicles specifications'!$A$3:$A$86,0),MATCH(G252,'vehicles specifications'!$B$2:$CK$2,0))*INDEX('ei names mapping'!$B$137:$BK$220,MATCH(B224,'ei names mapping'!$A$137:$A$220,0),MATCH(G252,'ei names mapping'!$B$136:$BK$136,0))</f>
        <v>2.5125628140703518E-5</v>
      </c>
      <c r="C252" s="12" t="str">
        <f>INDEX('ei names mapping'!$B$38:$BK$67,MATCH(B221,'ei names mapping'!$A$4:$A$33,0),MATCH(G252,'ei names mapping'!$B$3:$BK$3,0))</f>
        <v>GLO</v>
      </c>
      <c r="D252" s="12" t="str">
        <f>INDEX('ei names mapping'!$B$104:$BK$133,MATCH(B221,'ei names mapping'!$A$4:$A$33,0),MATCH(G252,'ei names mapping'!$B$3:$BK$3,0))</f>
        <v>unit</v>
      </c>
      <c r="F252" s="12" t="s">
        <v>91</v>
      </c>
      <c r="G252" s="12" t="s">
        <v>123</v>
      </c>
      <c r="H252" s="12" t="str">
        <f>INDEX('ei names mapping'!$B$71:$BK$100,MATCH(B221,'ei names mapping'!$A$4:$A$33,0),MATCH(G252,'ei names mapping'!$B$3:$BK$3,0))</f>
        <v>maintenance, electric scooter, without battery</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-6.3939999999999993E-6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-3.0894999999999998E-6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Scooter, electric, 4-11kW, 2040</v>
      </c>
    </row>
    <row r="258" spans="1:2" x14ac:dyDescent="0.3">
      <c r="A258" t="s">
        <v>73</v>
      </c>
      <c r="B258" t="s">
        <v>37</v>
      </c>
    </row>
    <row r="259" spans="1:2" x14ac:dyDescent="0.3">
      <c r="A259" t="s">
        <v>87</v>
      </c>
      <c r="B259" s="21" t="s">
        <v>631</v>
      </c>
    </row>
    <row r="260" spans="1:2" x14ac:dyDescent="0.3">
      <c r="A260" t="s">
        <v>88</v>
      </c>
      <c r="B260" s="12"/>
    </row>
    <row r="261" spans="1:2" x14ac:dyDescent="0.3">
      <c r="A261" t="s">
        <v>89</v>
      </c>
      <c r="B261" s="12">
        <v>2040</v>
      </c>
    </row>
    <row r="262" spans="1:2" x14ac:dyDescent="0.3">
      <c r="A262" t="s">
        <v>131</v>
      </c>
      <c r="B262" s="12" t="str">
        <f>B259&amp;" - "&amp;B261&amp;" - "&amp;B258</f>
        <v>Scooter, electric, 4-11kW - 2040 - CH</v>
      </c>
    </row>
    <row r="263" spans="1:2" x14ac:dyDescent="0.3">
      <c r="A263" t="s">
        <v>74</v>
      </c>
      <c r="B263" s="12" t="str">
        <f>"transport, "&amp;B259</f>
        <v>transport, Scooter, electric, 4-11kW</v>
      </c>
    </row>
    <row r="264" spans="1:2" x14ac:dyDescent="0.3">
      <c r="A264" t="s">
        <v>75</v>
      </c>
      <c r="B264" t="s">
        <v>76</v>
      </c>
    </row>
    <row r="265" spans="1:2" x14ac:dyDescent="0.3">
      <c r="A265" t="s">
        <v>77</v>
      </c>
      <c r="B265" t="s">
        <v>172</v>
      </c>
    </row>
    <row r="266" spans="1:2" x14ac:dyDescent="0.3">
      <c r="A266" t="s">
        <v>79</v>
      </c>
      <c r="B266" t="s">
        <v>90</v>
      </c>
    </row>
    <row r="267" spans="1:2" x14ac:dyDescent="0.3">
      <c r="A267" t="s">
        <v>132</v>
      </c>
      <c r="B267">
        <f>INDEX('vehicles specifications'!$B$3:$CK$86,MATCH(B262,'vehicles specifications'!$A$3:$A$86,0),MATCH("Lifetime [km]",'vehicles specifications'!$B$2:$CK$2,0))</f>
        <v>39800</v>
      </c>
    </row>
    <row r="268" spans="1:2" x14ac:dyDescent="0.3">
      <c r="A268" t="s">
        <v>133</v>
      </c>
      <c r="B268">
        <f>INDEX('vehicles specifications'!$B$3:$CK$86,MATCH(B262,'vehicles specifications'!$A$3:$A$86,0),MATCH("Passengers [unit]",'vehicles specifications'!$B$2:$CK$2,0))</f>
        <v>1</v>
      </c>
    </row>
    <row r="269" spans="1:2" x14ac:dyDescent="0.3">
      <c r="A269" t="s">
        <v>134</v>
      </c>
      <c r="B269">
        <f>INDEX('vehicles specifications'!$B$3:$CK$86,MATCH(B262,'vehicles specifications'!$A$3:$A$86,0),MATCH("Servicing [unit]",'vehicles specifications'!$B$2:$CK$2,0))</f>
        <v>1</v>
      </c>
    </row>
    <row r="270" spans="1:2" x14ac:dyDescent="0.3">
      <c r="A270" t="s">
        <v>135</v>
      </c>
      <c r="B270">
        <f>INDEX('vehicles specifications'!$B$3:$CK$86,MATCH(B262,'vehicles specifications'!$A$3:$A$86,0),MATCH("Energy battery replacement [unit]",'vehicles specifications'!$B$2:$CK$2,0))</f>
        <v>0.25</v>
      </c>
    </row>
    <row r="271" spans="1:2" x14ac:dyDescent="0.3">
      <c r="A271" t="s">
        <v>136</v>
      </c>
      <c r="B271">
        <f>INDEX('vehicles specifications'!$B$3:$CK$86,MATCH(B262,'vehicles specifications'!$A$3:$A$86,0),MATCH("Annual kilometers [km]",'vehicles specifications'!$B$2:$CK$2,0))</f>
        <v>2731</v>
      </c>
    </row>
    <row r="272" spans="1:2" x14ac:dyDescent="0.3">
      <c r="A272" t="s">
        <v>137</v>
      </c>
      <c r="B272" s="2">
        <f>INDEX('vehicles specifications'!$B$3:$CK$86,MATCH(B262,'vehicles specifications'!$A$3:$A$86,0),MATCH("Curb mass [kg]",'vehicles specifications'!$B$2:$CK$2,0))</f>
        <v>130.39999999999998</v>
      </c>
    </row>
    <row r="273" spans="1:8" x14ac:dyDescent="0.3">
      <c r="A273" t="s">
        <v>138</v>
      </c>
      <c r="B273">
        <f>INDEX('vehicles specifications'!$B$3:$CK$86,MATCH(B262,'vehicles specifications'!$A$3:$A$86,0),MATCH("Power [kW]",'vehicles specifications'!$B$2:$CK$2,0))</f>
        <v>6.1</v>
      </c>
    </row>
    <row r="274" spans="1:8" x14ac:dyDescent="0.3">
      <c r="A274" t="s">
        <v>139</v>
      </c>
      <c r="B274">
        <f>INDEX('vehicles specifications'!$B$3:$CK$86,MATCH(B262,'vehicles specifications'!$A$3:$A$86,0),MATCH("Energy battery mass [kg]",'vehicles specifications'!$B$2:$CK$2,0))</f>
        <v>24.599999999999994</v>
      </c>
    </row>
    <row r="275" spans="1:8" x14ac:dyDescent="0.3">
      <c r="A275" t="s">
        <v>140</v>
      </c>
      <c r="B275">
        <f>INDEX('vehicles specifications'!$B$3:$CK$86,MATCH(B262,'vehicles specifications'!$A$3:$A$86,0),MATCH("Electric energy stored [kWh]",'vehicles specifications'!$B$2:$CK$2,0))</f>
        <v>8.1999999999999993</v>
      </c>
    </row>
    <row r="276" spans="1:8" s="21" customFormat="1" x14ac:dyDescent="0.3">
      <c r="A276" s="21" t="s">
        <v>654</v>
      </c>
      <c r="B276" s="21">
        <f>INDEX('vehicles specifications'!$B$3:$CK$86,MATCH(B262,'vehicles specifications'!$A$3:$A$86,0),MATCH("Electric energy available [kWh]",'vehicles specifications'!$B$2:$CK$2,0))</f>
        <v>6.56</v>
      </c>
    </row>
    <row r="277" spans="1:8" x14ac:dyDescent="0.3">
      <c r="A277" t="s">
        <v>143</v>
      </c>
      <c r="B277" s="2">
        <f>INDEX('vehicles specifications'!$B$3:$CK$86,MATCH(B262,'vehicles specifications'!$A$3:$A$86,0),MATCH("Oxydation energy stored [kWh]",'vehicles specifications'!$B$2:$CK$2,0))</f>
        <v>0</v>
      </c>
    </row>
    <row r="278" spans="1:8" x14ac:dyDescent="0.3">
      <c r="A278" t="s">
        <v>145</v>
      </c>
      <c r="B278">
        <f>INDEX('vehicles specifications'!$B$3:$CK$86,MATCH(B262,'vehicles specifications'!$A$3:$A$86,0),MATCH("Fuel mass [kg]",'vehicles specifications'!$B$2:$CK$2,0))</f>
        <v>0</v>
      </c>
    </row>
    <row r="279" spans="1:8" x14ac:dyDescent="0.3">
      <c r="A279" t="s">
        <v>141</v>
      </c>
      <c r="B279" s="2">
        <f>INDEX('vehicles specifications'!$B$3:$CK$86,MATCH(B262,'vehicles specifications'!$A$3:$A$86,0),MATCH("Range [km]",'vehicles specifications'!$B$2:$CK$2,0))</f>
        <v>124.6786410424228</v>
      </c>
    </row>
    <row r="280" spans="1:8" x14ac:dyDescent="0.3">
      <c r="A280" t="s">
        <v>142</v>
      </c>
      <c r="B280" t="str">
        <f>INDEX('vehicles specifications'!$B$3:$CK$86,MATCH(B262,'vehicles specifications'!$A$3:$A$86,0),MATCH("Emission standard",'vehicles specifications'!$B$2:$CK$2,0))</f>
        <v>None</v>
      </c>
    </row>
    <row r="281" spans="1:8" x14ac:dyDescent="0.3">
      <c r="A281" t="s">
        <v>144</v>
      </c>
      <c r="B281" s="6">
        <f>INDEX('vehicles specifications'!$B$3:$CK$86,MATCH(B262,'vehicles specifications'!$A$3:$A$86,0),MATCH("Lightweighting rate [%]",'vehicles specifications'!$B$2:$CK$2,0))</f>
        <v>0.05</v>
      </c>
    </row>
    <row r="282" spans="1:8" x14ac:dyDescent="0.3">
      <c r="A282"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"&amp;B266</f>
        <v>Power: 6.1 kW. Lifetime: 39800 km. Annual kilometers: 2731 km. Number of passengers: 1. Curb mass: 130.4 kg. Lightweighting of glider: 5%. Emission standard: None. Service visits throughout lifetime: 1. Range: 125 km. Battery capacity: 8.2 kWh. Available battery capacity: 6.56 kWh. Battery mass: 24.6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83" spans="1:8" ht="15.6" x14ac:dyDescent="0.3">
      <c r="A283" s="11" t="s">
        <v>80</v>
      </c>
    </row>
    <row r="284" spans="1:8" x14ac:dyDescent="0.3">
      <c r="A284" t="s">
        <v>81</v>
      </c>
      <c r="B284" t="s">
        <v>82</v>
      </c>
      <c r="C284" t="s">
        <v>73</v>
      </c>
      <c r="D284" t="s">
        <v>77</v>
      </c>
      <c r="E284" t="s">
        <v>83</v>
      </c>
      <c r="F284" t="s">
        <v>75</v>
      </c>
      <c r="G284" t="s">
        <v>84</v>
      </c>
      <c r="H284" t="s">
        <v>74</v>
      </c>
    </row>
    <row r="285" spans="1:8" x14ac:dyDescent="0.3">
      <c r="A285" s="12" t="str">
        <f>B257</f>
        <v>transport, Scooter, electric, 4-11kW, 2040</v>
      </c>
      <c r="B285" s="12">
        <v>1</v>
      </c>
      <c r="C285" s="12" t="str">
        <f>B258</f>
        <v>CH</v>
      </c>
      <c r="D285" s="12" t="s">
        <v>172</v>
      </c>
      <c r="E285" s="12"/>
      <c r="F285" s="12" t="s">
        <v>85</v>
      </c>
      <c r="G285" s="12" t="s">
        <v>86</v>
      </c>
      <c r="H285" s="12" t="str">
        <f>B263</f>
        <v>transport, Scooter, electric, 4-11kW</v>
      </c>
    </row>
    <row r="286" spans="1:8" x14ac:dyDescent="0.3">
      <c r="A286" s="12" t="str">
        <f>RIGHT(A285,LEN(A285)-11)</f>
        <v>Scooter, electric, 4-11kW, 2040</v>
      </c>
      <c r="B286" s="12">
        <f>1/B267</f>
        <v>2.5125628140703518E-5</v>
      </c>
      <c r="C286" s="12" t="str">
        <f>B258</f>
        <v>CH</v>
      </c>
      <c r="D286" s="12" t="s">
        <v>77</v>
      </c>
      <c r="E286" s="12"/>
      <c r="F286" s="12" t="s">
        <v>91</v>
      </c>
      <c r="G286" s="12"/>
      <c r="H286" s="12" t="str">
        <f>RIGHT(H285,LEN(H285)-11)</f>
        <v>Scooter, electric, 4-11kW</v>
      </c>
    </row>
    <row r="287" spans="1:8" s="21" customFormat="1" x14ac:dyDescent="0.3">
      <c r="A287" s="12" t="str">
        <f>INDEX('ei names mapping'!$B$4:$R$33,MATCH(B259,'ei names mapping'!$A$4:$A$33,0),MATCH(G287,'ei names mapping'!$B$3:$R$3,0))</f>
        <v>road construction</v>
      </c>
      <c r="B287" s="16">
        <f>INDEX('vehicles specifications'!$B$3:$CK$86,MATCH(B262,'vehicles specifications'!$A$3:$A$86,0),MATCH(G287,'vehicles specifications'!$B$2:$CK$2,0))*INDEX('ei names mapping'!$B$137:$BK$220,MATCH(B262,'ei names mapping'!$A$137:$A$220,0),MATCH(G287,'ei names mapping'!$B$136:$BK$136,0))</f>
        <v>1.0976279999999999E-4</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s="21" t="s">
        <v>108</v>
      </c>
      <c r="H287" s="12" t="str">
        <f>INDEX('ei names mapping'!$B$71:$BK$100,MATCH(B259,'ei names mapping'!$A$4:$A$33,0),MATCH(G287,'ei names mapping'!$B$3:$BK$3,0))</f>
        <v>road</v>
      </c>
    </row>
    <row r="288" spans="1:8" x14ac:dyDescent="0.3">
      <c r="A288" s="12" t="str">
        <f>INDEX('ei names mapping'!$B$4:$R$33,MATCH(B259,'ei names mapping'!$A$4:$A$33,0),MATCH(G288,'ei names mapping'!$B$3:$R$3,0))</f>
        <v>road maintenance</v>
      </c>
      <c r="B288" s="16">
        <f>INDEX('vehicles specifications'!$B$3:$CK$86,MATCH(B262,'vehicles specifications'!$A$3:$A$86,0),MATCH(G288,'vehicles specifications'!$B$2:$CK$2,0))*INDEX('ei names mapping'!$B$137:$BK$220,MATCH(B262,'ei names mapping'!$A$137:$A$220,0),MATCH(G288,'ei names mapping'!$B$136:$BK$136,0))</f>
        <v>1.2899999999999999E-3</v>
      </c>
      <c r="C288" s="12" t="str">
        <f>INDEX('ei names mapping'!$B$38:$R$67,MATCH(B259,'ei names mapping'!$A$4:$A$33,0),MATCH(G288,'ei names mapping'!$B$3:$R$3,0))</f>
        <v>CH</v>
      </c>
      <c r="D288" s="12" t="str">
        <f>INDEX('ei names mapping'!$B$104:$BK$133,MATCH(B259,'ei names mapping'!$A$4:$A$33,0),MATCH(G288,'ei names mapping'!$B$3:$BK$3,0))</f>
        <v>meter-year</v>
      </c>
      <c r="E288" s="12"/>
      <c r="F288" s="12" t="s">
        <v>91</v>
      </c>
      <c r="G288" t="s">
        <v>117</v>
      </c>
      <c r="H288" s="12" t="str">
        <f>INDEX('ei names mapping'!$B$71:$BK$100,MATCH(B259,'ei names mapping'!$A$4:$A$33,0),MATCH(G288,'ei names mapping'!$B$3:$BK$3,0))</f>
        <v>road maintenance</v>
      </c>
    </row>
    <row r="289" spans="1:8" x14ac:dyDescent="0.3">
      <c r="A289" s="12" t="str">
        <f>INDEX('ei names mapping'!$B$4:$R$33,MATCH(B259,'ei names mapping'!$A$4:$A$33,0),MATCH(G289,'ei names mapping'!$B$3:$R$3,0))</f>
        <v>market for electricity, low voltage</v>
      </c>
      <c r="B289" s="14">
        <f>INDEX('vehicles specifications'!$B$3:$CK$86,MATCH(B262,'vehicles specifications'!$A$3:$A$86,0),MATCH(G289,'vehicles specifications'!$B$2:$CK$2,0))*INDEX('ei names mapping'!$B$137:$BK$220,MATCH(B262,'ei names mapping'!$A$137:$A$220,0),MATCH(G289,'ei names mapping'!$B$136:$BK$136,0))</f>
        <v>5.7876793809010993E-2</v>
      </c>
      <c r="C289" s="12" t="str">
        <f>INDEX('ei names mapping'!$B$38:$R$67,MATCH($B$3,'ei names mapping'!$A$4:$A$33,0),MATCH(G289,'ei names mapping'!$B$3:$R$3,0))</f>
        <v>CH</v>
      </c>
      <c r="D289" s="12" t="str">
        <f>INDEX('ei names mapping'!$B$104:$R$133,MATCH($B$3,'ei names mapping'!$A$4:$A$33,0),MATCH(G289,'ei names mapping'!$B$3:$R$3,0))</f>
        <v>kilowatt hour</v>
      </c>
      <c r="E289" s="12"/>
      <c r="F289" s="12" t="s">
        <v>91</v>
      </c>
      <c r="G289" t="s">
        <v>28</v>
      </c>
      <c r="H289" s="12" t="str">
        <f>INDEX('ei names mapping'!$B$71:$R$100,MATCH(B259,'ei names mapping'!$A$4:$A$33,0),MATCH(G289,'ei names mapping'!$B$3:$R$3,0))</f>
        <v>electricity, low voltage</v>
      </c>
    </row>
    <row r="290" spans="1:8" x14ac:dyDescent="0.3">
      <c r="A290" s="12" t="str">
        <f>INDEX('ei names mapping'!$B$4:$R$33,MATCH(B259,'ei names mapping'!$A$4:$A$33,0),MATCH(G290,'ei names mapping'!$B$3:$R$3,0))</f>
        <v>market for maintenance, electric scooter, without battery</v>
      </c>
      <c r="B290" s="16">
        <f>INDEX('vehicles specifications'!$B$3:$CK$86,MATCH(B262,'vehicles specifications'!$A$3:$A$86,0),MATCH(G290,'vehicles specifications'!$B$2:$CK$2,0))*INDEX('ei names mapping'!$B$137:$BK$220,MATCH(B262,'ei names mapping'!$A$137:$A$220,0),MATCH(G290,'ei names mapping'!$B$136:$BK$136,0))</f>
        <v>2.5125628140703518E-5</v>
      </c>
      <c r="C290" s="12" t="str">
        <f>INDEX('ei names mapping'!$B$38:$BK$67,MATCH(B259,'ei names mapping'!$A$4:$A$33,0),MATCH(G290,'ei names mapping'!$B$3:$BK$3,0))</f>
        <v>GLO</v>
      </c>
      <c r="D290" s="12" t="str">
        <f>INDEX('ei names mapping'!$B$104:$BK$133,MATCH(B259,'ei names mapping'!$A$4:$A$33,0),MATCH(G290,'ei names mapping'!$B$3:$BK$3,0))</f>
        <v>unit</v>
      </c>
      <c r="F290" s="12" t="s">
        <v>91</v>
      </c>
      <c r="G290" s="12" t="s">
        <v>123</v>
      </c>
      <c r="H290" s="12" t="str">
        <f>INDEX('ei names mapping'!$B$71:$BK$100,MATCH(B259,'ei names mapping'!$A$4:$A$33,0),MATCH(G290,'ei names mapping'!$B$3:$BK$3,0))</f>
        <v>maintenance, electric scooter, without battery</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-6.3939999999999993E-6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-3.0894999999999998E-6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Scooter, electric, 4-11kW, 2050</v>
      </c>
    </row>
    <row r="296" spans="1:8" x14ac:dyDescent="0.3">
      <c r="A296" t="s">
        <v>73</v>
      </c>
      <c r="B296" t="s">
        <v>37</v>
      </c>
    </row>
    <row r="297" spans="1:8" x14ac:dyDescent="0.3">
      <c r="A297" t="s">
        <v>87</v>
      </c>
      <c r="B297" s="21" t="s">
        <v>631</v>
      </c>
    </row>
    <row r="298" spans="1:8" x14ac:dyDescent="0.3">
      <c r="A298" t="s">
        <v>88</v>
      </c>
      <c r="B298" s="12"/>
    </row>
    <row r="299" spans="1:8" x14ac:dyDescent="0.3">
      <c r="A299" t="s">
        <v>89</v>
      </c>
      <c r="B299" s="12">
        <v>2050</v>
      </c>
    </row>
    <row r="300" spans="1:8" x14ac:dyDescent="0.3">
      <c r="A300" t="s">
        <v>131</v>
      </c>
      <c r="B300" s="12" t="str">
        <f>B297&amp;" - "&amp;B299&amp;" - "&amp;B296</f>
        <v>Scooter, electric, 4-11kW - 2050 - CH</v>
      </c>
    </row>
    <row r="301" spans="1:8" x14ac:dyDescent="0.3">
      <c r="A301" t="s">
        <v>74</v>
      </c>
      <c r="B301" s="12" t="str">
        <f>"transport, "&amp;B297</f>
        <v>transport, Scooter, electric, 4-11kW</v>
      </c>
    </row>
    <row r="302" spans="1:8" x14ac:dyDescent="0.3">
      <c r="A302" t="s">
        <v>75</v>
      </c>
      <c r="B302" t="s">
        <v>76</v>
      </c>
    </row>
    <row r="303" spans="1:8" x14ac:dyDescent="0.3">
      <c r="A303" t="s">
        <v>77</v>
      </c>
      <c r="B303" t="s">
        <v>172</v>
      </c>
    </row>
    <row r="304" spans="1:8" x14ac:dyDescent="0.3">
      <c r="A304" t="s">
        <v>79</v>
      </c>
      <c r="B304" t="s">
        <v>90</v>
      </c>
    </row>
    <row r="305" spans="1:2" x14ac:dyDescent="0.3">
      <c r="A305" t="s">
        <v>132</v>
      </c>
      <c r="B305">
        <f>INDEX('vehicles specifications'!$B$3:$CK$86,MATCH(B300,'vehicles specifications'!$A$3:$A$86,0),MATCH("Lifetime [km]",'vehicles specifications'!$B$2:$CK$2,0))</f>
        <v>39800</v>
      </c>
    </row>
    <row r="306" spans="1:2" x14ac:dyDescent="0.3">
      <c r="A306" t="s">
        <v>133</v>
      </c>
      <c r="B306">
        <f>INDEX('vehicles specifications'!$B$3:$CK$86,MATCH(B300,'vehicles specifications'!$A$3:$A$86,0),MATCH("Passengers [unit]",'vehicles specifications'!$B$2:$CK$2,0))</f>
        <v>1</v>
      </c>
    </row>
    <row r="307" spans="1:2" x14ac:dyDescent="0.3">
      <c r="A307" t="s">
        <v>134</v>
      </c>
      <c r="B307">
        <f>INDEX('vehicles specifications'!$B$3:$CK$86,MATCH(B300,'vehicles specifications'!$A$3:$A$86,0),MATCH("Servicing [unit]",'vehicles specifications'!$B$2:$CK$2,0))</f>
        <v>1</v>
      </c>
    </row>
    <row r="308" spans="1:2" x14ac:dyDescent="0.3">
      <c r="A308" t="s">
        <v>135</v>
      </c>
      <c r="B308">
        <f>INDEX('vehicles specifications'!$B$3:$CK$86,MATCH(B300,'vehicles specifications'!$A$3:$A$86,0),MATCH("Energy battery replacement [unit]",'vehicles specifications'!$B$2:$CK$2,0))</f>
        <v>0</v>
      </c>
    </row>
    <row r="309" spans="1:2" x14ac:dyDescent="0.3">
      <c r="A309" t="s">
        <v>136</v>
      </c>
      <c r="B309">
        <f>INDEX('vehicles specifications'!$B$3:$CK$86,MATCH(B300,'vehicles specifications'!$A$3:$A$86,0),MATCH("Annual kilometers [km]",'vehicles specifications'!$B$2:$CK$2,0))</f>
        <v>2731</v>
      </c>
    </row>
    <row r="310" spans="1:2" x14ac:dyDescent="0.3">
      <c r="A310" t="s">
        <v>137</v>
      </c>
      <c r="B310" s="2">
        <f>INDEX('vehicles specifications'!$B$3:$CK$86,MATCH(B300,'vehicles specifications'!$A$3:$A$86,0),MATCH("Curb mass [kg]",'vehicles specifications'!$B$2:$CK$2,0))</f>
        <v>130.04</v>
      </c>
    </row>
    <row r="311" spans="1:2" x14ac:dyDescent="0.3">
      <c r="A311" t="s">
        <v>138</v>
      </c>
      <c r="B311">
        <f>INDEX('vehicles specifications'!$B$3:$CK$86,MATCH(B300,'vehicles specifications'!$A$3:$A$86,0),MATCH("Power [kW]",'vehicles specifications'!$B$2:$CK$2,0))</f>
        <v>6.1</v>
      </c>
    </row>
    <row r="312" spans="1:2" x14ac:dyDescent="0.3">
      <c r="A312" t="s">
        <v>139</v>
      </c>
      <c r="B312">
        <f>INDEX('vehicles specifications'!$B$3:$CK$86,MATCH(B300,'vehicles specifications'!$A$3:$A$86,0),MATCH("Energy battery mass [kg]",'vehicles specifications'!$B$2:$CK$2,0))</f>
        <v>25.92</v>
      </c>
    </row>
    <row r="313" spans="1:2" x14ac:dyDescent="0.3">
      <c r="A313" t="s">
        <v>140</v>
      </c>
      <c r="B313">
        <f>INDEX('vehicles specifications'!$B$3:$CK$86,MATCH(B300,'vehicles specifications'!$A$3:$A$86,0),MATCH("Electric energy stored [kWh]",'vehicles specifications'!$B$2:$CK$2,0))</f>
        <v>10.8</v>
      </c>
    </row>
    <row r="314" spans="1:2" s="21" customFormat="1" x14ac:dyDescent="0.3">
      <c r="A314" s="21" t="s">
        <v>654</v>
      </c>
      <c r="B314" s="21">
        <f>INDEX('vehicles specifications'!$B$3:$CK$86,MATCH(B300,'vehicles specifications'!$A$3:$A$86,0),MATCH("Electric energy available [kWh]",'vehicles specifications'!$B$2:$CK$2,0))</f>
        <v>8.64</v>
      </c>
    </row>
    <row r="315" spans="1:2" x14ac:dyDescent="0.3">
      <c r="A315" t="s">
        <v>143</v>
      </c>
      <c r="B315" s="2">
        <f>INDEX('vehicles specifications'!$B$3:$CK$86,MATCH(B300,'vehicles specifications'!$A$3:$A$86,0),MATCH("Oxydation energy stored [kWh]",'vehicles specifications'!$B$2:$CK$2,0))</f>
        <v>0</v>
      </c>
    </row>
    <row r="316" spans="1:2" x14ac:dyDescent="0.3">
      <c r="A316" t="s">
        <v>145</v>
      </c>
      <c r="B316">
        <f>INDEX('vehicles specifications'!$B$3:$CK$86,MATCH(B300,'vehicles specifications'!$A$3:$A$86,0),MATCH("Fuel mass [kg]",'vehicles specifications'!$B$2:$CK$2,0))</f>
        <v>0</v>
      </c>
    </row>
    <row r="317" spans="1:2" x14ac:dyDescent="0.3">
      <c r="A317" t="s">
        <v>141</v>
      </c>
      <c r="B317" s="2">
        <f>INDEX('vehicles specifications'!$B$3:$CK$86,MATCH(B300,'vehicles specifications'!$A$3:$A$86,0),MATCH("Range [km]",'vehicles specifications'!$B$2:$CK$2,0))</f>
        <v>164.21089308026419</v>
      </c>
    </row>
    <row r="318" spans="1:2" x14ac:dyDescent="0.3">
      <c r="A318" t="s">
        <v>142</v>
      </c>
      <c r="B318" t="str">
        <f>INDEX('vehicles specifications'!$B$3:$CK$86,MATCH(B300,'vehicles specifications'!$A$3:$A$86,0),MATCH("Emission standard",'vehicles specifications'!$B$2:$CK$2,0))</f>
        <v>None</v>
      </c>
    </row>
    <row r="319" spans="1:2" x14ac:dyDescent="0.3">
      <c r="A319" t="s">
        <v>144</v>
      </c>
      <c r="B319" s="6">
        <f>INDEX('vehicles specifications'!$B$3:$CK$86,MATCH(B300,'vehicles specifications'!$A$3:$A$86,0),MATCH("Lightweighting rate [%]",'vehicles specifications'!$B$2:$CK$2,0))</f>
        <v>7.0000000000000007E-2</v>
      </c>
    </row>
    <row r="320" spans="1:2" x14ac:dyDescent="0.3">
      <c r="A320"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"&amp;B304</f>
        <v>Power: 6.1 kW. Lifetime: 39800 km. Annual kilometers: 2731 km. Number of passengers: 1. Curb mass: 130 kg. Lightweighting of glider: 7%. Emission standard: None. Service visits throughout lifetime: 1. Range: 164 km. Battery capacity: 10.8 kWh. Available battery capacity: 8.64 kWh. Battery mass: 25.9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1" spans="1:8" ht="15.6" x14ac:dyDescent="0.3">
      <c r="A321" s="11" t="s">
        <v>80</v>
      </c>
    </row>
    <row r="322" spans="1:8" x14ac:dyDescent="0.3">
      <c r="A322" t="s">
        <v>81</v>
      </c>
      <c r="B322" t="s">
        <v>82</v>
      </c>
      <c r="C322" t="s">
        <v>73</v>
      </c>
      <c r="D322" t="s">
        <v>77</v>
      </c>
      <c r="E322" t="s">
        <v>83</v>
      </c>
      <c r="F322" t="s">
        <v>75</v>
      </c>
      <c r="G322" t="s">
        <v>84</v>
      </c>
      <c r="H322" t="s">
        <v>74</v>
      </c>
    </row>
    <row r="323" spans="1:8" x14ac:dyDescent="0.3">
      <c r="A323" s="12" t="str">
        <f>B295</f>
        <v>transport, Scooter, electric, 4-11kW, 2050</v>
      </c>
      <c r="B323" s="12">
        <v>1</v>
      </c>
      <c r="C323" s="12" t="str">
        <f>B296</f>
        <v>CH</v>
      </c>
      <c r="D323" s="12" t="s">
        <v>172</v>
      </c>
      <c r="E323" s="12"/>
      <c r="F323" s="12" t="s">
        <v>85</v>
      </c>
      <c r="G323" s="12" t="s">
        <v>86</v>
      </c>
      <c r="H323" s="12" t="str">
        <f>B301</f>
        <v>transport, Scooter, electric, 4-11kW</v>
      </c>
    </row>
    <row r="324" spans="1:8" x14ac:dyDescent="0.3">
      <c r="A324" s="12" t="str">
        <f>RIGHT(A323,LEN(A323)-11)</f>
        <v>Scooter, electric, 4-11kW, 2050</v>
      </c>
      <c r="B324" s="12">
        <f>1/B305</f>
        <v>2.5125628140703518E-5</v>
      </c>
      <c r="C324" s="12" t="str">
        <f>B296</f>
        <v>CH</v>
      </c>
      <c r="D324" s="12" t="s">
        <v>77</v>
      </c>
      <c r="E324" s="12"/>
      <c r="F324" s="12" t="s">
        <v>91</v>
      </c>
      <c r="G324" s="12"/>
      <c r="H324" s="12" t="str">
        <f>RIGHT(H323,LEN(H323)-11)</f>
        <v>Scooter, electric, 4-11kW</v>
      </c>
    </row>
    <row r="325" spans="1:8" s="21" customFormat="1" x14ac:dyDescent="0.3">
      <c r="A325" s="12" t="str">
        <f>INDEX('ei names mapping'!$B$4:$R$33,MATCH(B297,'ei names mapping'!$A$4:$A$33,0),MATCH(G325,'ei names mapping'!$B$3:$R$3,0))</f>
        <v>road construction</v>
      </c>
      <c r="B325" s="16">
        <f>INDEX('vehicles specifications'!$B$3:$CK$86,MATCH(B300,'vehicles specifications'!$A$3:$A$86,0),MATCH(G325,'vehicles specifications'!$B$2:$CK$2,0))*INDEX('ei names mapping'!$B$137:$BK$220,MATCH(B300,'ei names mapping'!$A$137:$A$220,0),MATCH(G325,'ei names mapping'!$B$136:$BK$136,0))</f>
        <v>1.0956948E-4</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s="21" t="s">
        <v>108</v>
      </c>
      <c r="H325" s="12" t="str">
        <f>INDEX('ei names mapping'!$B$71:$BK$100,MATCH(B297,'ei names mapping'!$A$4:$A$33,0),MATCH(G325,'ei names mapping'!$B$3:$BK$3,0))</f>
        <v>road</v>
      </c>
    </row>
    <row r="326" spans="1:8" x14ac:dyDescent="0.3">
      <c r="A326" s="12" t="str">
        <f>INDEX('ei names mapping'!$B$4:$R$33,MATCH(B297,'ei names mapping'!$A$4:$A$33,0),MATCH(G326,'ei names mapping'!$B$3:$R$3,0))</f>
        <v>road maintenance</v>
      </c>
      <c r="B326" s="16">
        <f>INDEX('vehicles specifications'!$B$3:$CK$86,MATCH(B300,'vehicles specifications'!$A$3:$A$86,0),MATCH(G326,'vehicles specifications'!$B$2:$CK$2,0))*INDEX('ei names mapping'!$B$137:$BK$220,MATCH(B300,'ei names mapping'!$A$137:$A$220,0),MATCH(G326,'ei names mapping'!$B$136:$BK$136,0))</f>
        <v>1.2899999999999999E-3</v>
      </c>
      <c r="C326" s="12" t="str">
        <f>INDEX('ei names mapping'!$B$38:$R$67,MATCH(B297,'ei names mapping'!$A$4:$A$33,0),MATCH(G326,'ei names mapping'!$B$3:$R$3,0))</f>
        <v>CH</v>
      </c>
      <c r="D326" s="12" t="str">
        <f>INDEX('ei names mapping'!$B$104:$BK$133,MATCH(B297,'ei names mapping'!$A$4:$A$33,0),MATCH(G326,'ei names mapping'!$B$3:$BK$3,0))</f>
        <v>meter-year</v>
      </c>
      <c r="E326" s="12"/>
      <c r="F326" s="12" t="s">
        <v>91</v>
      </c>
      <c r="G326" t="s">
        <v>117</v>
      </c>
      <c r="H326" s="12" t="str">
        <f>INDEX('ei names mapping'!$B$71:$BK$100,MATCH(B297,'ei names mapping'!$A$4:$A$33,0),MATCH(G326,'ei names mapping'!$B$3:$BK$3,0))</f>
        <v>road maintenance</v>
      </c>
    </row>
    <row r="327" spans="1:8" x14ac:dyDescent="0.3">
      <c r="A327" s="12" t="str">
        <f>INDEX('ei names mapping'!$B$4:$R$33,MATCH(B297,'ei names mapping'!$A$4:$A$33,0),MATCH(G327,'ei names mapping'!$B$3:$R$3,0))</f>
        <v>market for electricity, low voltage</v>
      </c>
      <c r="B327" s="14">
        <f>INDEX('vehicles specifications'!$B$3:$CK$86,MATCH(B300,'vehicles specifications'!$A$3:$A$86,0),MATCH(G327,'vehicles specifications'!$B$2:$CK$2,0))*INDEX('ei names mapping'!$B$137:$BK$220,MATCH(B300,'ei names mapping'!$A$137:$A$220,0),MATCH(G327,'ei names mapping'!$B$136:$BK$136,0))</f>
        <v>5.7876793809010993E-2</v>
      </c>
      <c r="C327" s="12" t="str">
        <f>INDEX('ei names mapping'!$B$38:$R$67,MATCH($B$3,'ei names mapping'!$A$4:$A$33,0),MATCH(G327,'ei names mapping'!$B$3:$R$3,0))</f>
        <v>CH</v>
      </c>
      <c r="D327" s="12" t="str">
        <f>INDEX('ei names mapping'!$B$104:$R$133,MATCH($B$3,'ei names mapping'!$A$4:$A$33,0),MATCH(G327,'ei names mapping'!$B$3:$R$3,0))</f>
        <v>kilowatt hour</v>
      </c>
      <c r="E327" s="12"/>
      <c r="F327" s="12" t="s">
        <v>91</v>
      </c>
      <c r="G327" t="s">
        <v>28</v>
      </c>
      <c r="H327" s="12" t="str">
        <f>INDEX('ei names mapping'!$B$71:$R$100,MATCH(B297,'ei names mapping'!$A$4:$A$33,0),MATCH(G327,'ei names mapping'!$B$3:$R$3,0))</f>
        <v>electricity, low voltage</v>
      </c>
    </row>
    <row r="328" spans="1:8" x14ac:dyDescent="0.3">
      <c r="A328" s="12" t="str">
        <f>INDEX('ei names mapping'!$B$4:$R$33,MATCH(B297,'ei names mapping'!$A$4:$A$33,0),MATCH(G328,'ei names mapping'!$B$3:$R$3,0))</f>
        <v>market for maintenance, electric scooter, without battery</v>
      </c>
      <c r="B328" s="16">
        <f>INDEX('vehicles specifications'!$B$3:$CK$86,MATCH(B300,'vehicles specifications'!$A$3:$A$86,0),MATCH(G328,'vehicles specifications'!$B$2:$CK$2,0))*INDEX('ei names mapping'!$B$137:$BK$220,MATCH(B300,'ei names mapping'!$A$137:$A$220,0),MATCH(G328,'ei names mapping'!$B$136:$BK$136,0))</f>
        <v>2.5125628140703518E-5</v>
      </c>
      <c r="C328" s="12" t="str">
        <f>INDEX('ei names mapping'!$B$38:$BK$67,MATCH(B297,'ei names mapping'!$A$4:$A$33,0),MATCH(G328,'ei names mapping'!$B$3:$BK$3,0))</f>
        <v>GLO</v>
      </c>
      <c r="D328" s="12" t="str">
        <f>INDEX('ei names mapping'!$B$104:$BK$133,MATCH(B297,'ei names mapping'!$A$4:$A$33,0),MATCH(G328,'ei names mapping'!$B$3:$BK$3,0))</f>
        <v>unit</v>
      </c>
      <c r="F328" s="12" t="s">
        <v>91</v>
      </c>
      <c r="G328" s="12" t="s">
        <v>123</v>
      </c>
      <c r="H328" s="12" t="str">
        <f>INDEX('ei names mapping'!$B$71:$BK$100,MATCH(B297,'ei names mapping'!$A$4:$A$33,0),MATCH(G328,'ei names mapping'!$B$3:$BK$3,0))</f>
        <v>maintenance, electric scooter, without battery</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-6.3939999999999993E-6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-3.0894999999999998E-6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t="s">
        <v>31</v>
      </c>
      <c r="H331" s="12" t="str">
        <f>INDEX('ei names mapping'!$B$71:$BK$100,MATCH(B297,'ei names mapping'!$A$4:$A$33,0),MATCH(G331,'ei names mapping'!$B$3:$BK$3,0))</f>
        <v>brake wear emissions, passenger car</v>
      </c>
    </row>
    <row r="333" spans="1:8" ht="15.6" x14ac:dyDescent="0.3">
      <c r="A333" s="11" t="s">
        <v>72</v>
      </c>
      <c r="B333" s="9" t="str">
        <f>"transport, "&amp;B335&amp;", "&amp;B337&amp;", label-certified electricity"</f>
        <v>transport, Scooter, electric, 4-11kW, 2020, label-certified electricity</v>
      </c>
    </row>
    <row r="334" spans="1:8" x14ac:dyDescent="0.3">
      <c r="A334" t="s">
        <v>73</v>
      </c>
      <c r="B334" t="s">
        <v>37</v>
      </c>
    </row>
    <row r="335" spans="1:8" x14ac:dyDescent="0.3">
      <c r="A335" t="s">
        <v>87</v>
      </c>
      <c r="B335" s="21" t="s">
        <v>631</v>
      </c>
    </row>
    <row r="336" spans="1:8" x14ac:dyDescent="0.3">
      <c r="A336" t="s">
        <v>88</v>
      </c>
      <c r="B336" s="12"/>
    </row>
    <row r="337" spans="1:2" x14ac:dyDescent="0.3">
      <c r="A337" t="s">
        <v>89</v>
      </c>
      <c r="B337" s="12">
        <v>2020</v>
      </c>
    </row>
    <row r="338" spans="1:2" x14ac:dyDescent="0.3">
      <c r="A338" t="s">
        <v>131</v>
      </c>
      <c r="B338" s="12" t="str">
        <f>B335&amp;" - "&amp;B337&amp;" - "&amp;B334</f>
        <v>Scooter, electric, 4-11kW - 2020 - CH</v>
      </c>
    </row>
    <row r="339" spans="1:2" x14ac:dyDescent="0.3">
      <c r="A339" t="s">
        <v>74</v>
      </c>
      <c r="B339" s="12" t="str">
        <f>"transport, "&amp;B335</f>
        <v>transport, Scooter, electric, 4-11kW</v>
      </c>
    </row>
    <row r="340" spans="1:2" x14ac:dyDescent="0.3">
      <c r="A340" t="s">
        <v>75</v>
      </c>
      <c r="B340" t="s">
        <v>76</v>
      </c>
    </row>
    <row r="341" spans="1:2" x14ac:dyDescent="0.3">
      <c r="A341" t="s">
        <v>77</v>
      </c>
      <c r="B341" t="s">
        <v>172</v>
      </c>
    </row>
    <row r="342" spans="1:2" x14ac:dyDescent="0.3">
      <c r="A342" t="s">
        <v>79</v>
      </c>
      <c r="B342" t="s">
        <v>90</v>
      </c>
    </row>
    <row r="343" spans="1:2" x14ac:dyDescent="0.3">
      <c r="A343" t="s">
        <v>132</v>
      </c>
      <c r="B343">
        <f>INDEX('vehicles specifications'!$B$3:$CK$86,MATCH(B338,'vehicles specifications'!$A$3:$A$86,0),MATCH("Lifetime [km]",'vehicles specifications'!$B$2:$CK$2,0))</f>
        <v>39800</v>
      </c>
    </row>
    <row r="344" spans="1:2" x14ac:dyDescent="0.3">
      <c r="A344" t="s">
        <v>133</v>
      </c>
      <c r="B344">
        <f>INDEX('vehicles specifications'!$B$3:$CK$86,MATCH(B338,'vehicles specifications'!$A$3:$A$86,0),MATCH("Passengers [unit]",'vehicles specifications'!$B$2:$CK$2,0))</f>
        <v>1</v>
      </c>
    </row>
    <row r="345" spans="1:2" x14ac:dyDescent="0.3">
      <c r="A345" t="s">
        <v>134</v>
      </c>
      <c r="B345">
        <f>INDEX('vehicles specifications'!$B$3:$CK$86,MATCH(B338,'vehicles specifications'!$A$3:$A$86,0),MATCH("Servicing [unit]",'vehicles specifications'!$B$2:$CK$2,0))</f>
        <v>1</v>
      </c>
    </row>
    <row r="346" spans="1:2" x14ac:dyDescent="0.3">
      <c r="A346" t="s">
        <v>135</v>
      </c>
      <c r="B346">
        <f>INDEX('vehicles specifications'!$B$3:$CK$86,MATCH(B338,'vehicles specifications'!$A$3:$A$86,0),MATCH("Energy battery replacement [unit]",'vehicles specifications'!$B$2:$CK$2,0))</f>
        <v>1</v>
      </c>
    </row>
    <row r="347" spans="1:2" x14ac:dyDescent="0.3">
      <c r="A347" t="s">
        <v>136</v>
      </c>
      <c r="B347">
        <f>INDEX('vehicles specifications'!$B$3:$CK$86,MATCH(B338,'vehicles specifications'!$A$3:$A$86,0),MATCH("Annual kilometers [km]",'vehicles specifications'!$B$2:$CK$2,0))</f>
        <v>2731</v>
      </c>
    </row>
    <row r="348" spans="1:2" x14ac:dyDescent="0.3">
      <c r="A348" t="s">
        <v>137</v>
      </c>
      <c r="B348" s="2">
        <f>INDEX('vehicles specifications'!$B$3:$CK$86,MATCH(B338,'vehicles specifications'!$A$3:$A$86,0),MATCH("Curb mass [kg]",'vehicles specifications'!$B$2:$CK$2,0))</f>
        <v>129.80000000000001</v>
      </c>
    </row>
    <row r="349" spans="1:2" x14ac:dyDescent="0.3">
      <c r="A349" t="s">
        <v>138</v>
      </c>
      <c r="B349">
        <f>INDEX('vehicles specifications'!$B$3:$CK$86,MATCH(B338,'vehicles specifications'!$A$3:$A$86,0),MATCH("Power [kW]",'vehicles specifications'!$B$2:$CK$2,0))</f>
        <v>6.1</v>
      </c>
    </row>
    <row r="350" spans="1:2" x14ac:dyDescent="0.3">
      <c r="A350" t="s">
        <v>139</v>
      </c>
      <c r="B350">
        <f>INDEX('vehicles specifications'!$B$3:$CK$86,MATCH(B338,'vehicles specifications'!$A$3:$A$86,0),MATCH("Energy battery mass [kg]",'vehicles specifications'!$B$2:$CK$2,0))</f>
        <v>19.799999999999997</v>
      </c>
    </row>
    <row r="351" spans="1:2" x14ac:dyDescent="0.3">
      <c r="A351" t="s">
        <v>140</v>
      </c>
      <c r="B351">
        <f>INDEX('vehicles specifications'!$B$3:$CK$86,MATCH(B338,'vehicles specifications'!$A$3:$A$86,0),MATCH("Electric energy stored [kWh]",'vehicles specifications'!$B$2:$CK$2,0))</f>
        <v>3.3</v>
      </c>
    </row>
    <row r="352" spans="1:2" s="21" customFormat="1" x14ac:dyDescent="0.3">
      <c r="A352" s="21" t="s">
        <v>654</v>
      </c>
      <c r="B352" s="21">
        <f>INDEX('vehicles specifications'!$B$3:$CK$86,MATCH(B338,'vehicles specifications'!$A$3:$A$86,0),MATCH("Electric energy available [kWh]",'vehicles specifications'!$B$2:$CK$2,0))</f>
        <v>2.64</v>
      </c>
    </row>
    <row r="353" spans="1:8" x14ac:dyDescent="0.3">
      <c r="A353" t="s">
        <v>143</v>
      </c>
      <c r="B353" s="2">
        <f>INDEX('vehicles specifications'!$B$3:$CK$86,MATCH(B338,'vehicles specifications'!$A$3:$A$86,0),MATCH("Oxydation energy stored [kWh]",'vehicles specifications'!$B$2:$CK$2,0))</f>
        <v>0</v>
      </c>
    </row>
    <row r="354" spans="1:8" x14ac:dyDescent="0.3">
      <c r="A354" t="s">
        <v>145</v>
      </c>
      <c r="B354">
        <f>INDEX('vehicles specifications'!$B$3:$CK$86,MATCH(B338,'vehicles specifications'!$A$3:$A$86,0),MATCH("Fuel mass [kg]",'vehicles specifications'!$B$2:$CK$2,0))</f>
        <v>0</v>
      </c>
    </row>
    <row r="355" spans="1:8" x14ac:dyDescent="0.3">
      <c r="A355" t="s">
        <v>141</v>
      </c>
      <c r="B355" s="2">
        <f>INDEX('vehicles specifications'!$B$3:$CK$86,MATCH(B338,'vehicles specifications'!$A$3:$A$86,0),MATCH("Range [km]",'vehicles specifications'!$B$2:$CK$2,0))</f>
        <v>50.175550663414057</v>
      </c>
    </row>
    <row r="356" spans="1:8" x14ac:dyDescent="0.3">
      <c r="A356" t="s">
        <v>142</v>
      </c>
      <c r="B356" t="str">
        <f>INDEX('vehicles specifications'!$B$3:$CK$86,MATCH(B338,'vehicles specifications'!$A$3:$A$86,0),MATCH("Emission standard",'vehicles specifications'!$B$2:$CK$2,0))</f>
        <v>None</v>
      </c>
    </row>
    <row r="357" spans="1:8" x14ac:dyDescent="0.3">
      <c r="A357" t="s">
        <v>144</v>
      </c>
      <c r="B357" s="6">
        <f>INDEX('vehicles specifications'!$B$3:$CK$86,MATCH(B338,'vehicles specifications'!$A$3:$A$86,0),MATCH("Lightweighting rate [%]",'vehicles specifications'!$B$2:$CK$2,0))</f>
        <v>0</v>
      </c>
    </row>
    <row r="358" spans="1:8" x14ac:dyDescent="0.3">
      <c r="A358" t="s">
        <v>84</v>
      </c>
      <c r="B358" s="21" t="str">
        <f>"Power: "&amp;B349&amp;" kW. Lifetime: "&amp;B343&amp;" km. Annual kilometers: "&amp;B347&amp;" km. Number of passengers: "&amp;B344&amp;". Curb mass: "&amp;ROUND(B348,1)&amp;" kg. Lightweighting of glider: "&amp;ROUND(B357*100,0)&amp;"%. Emission standard: "&amp;B356&amp;". Service visits throughout lifetime: "&amp;ROUND(B345,1)&amp;". Range: "&amp;ROUND(B355,0)&amp;" km. Battery capacity: "&amp;ROUND(B351,1)&amp;" kWh. Available battery capacity: "&amp;B352&amp;" kWh. Battery mass: "&amp;ROUND(B350,1)&amp; " kg. Battery replacement throughout lifetime: "&amp;ROUND(B346,1)&amp;". Fuel tank capacity: "&amp;ROUND(B353,1)&amp;" kWh. Fuel mass: "&amp;ROUND(B354,1)&amp;" kg. Documentation: "&amp;Readmefirst!$B$2&amp;", "&amp;Readmefirst!$B$3&amp;". "&amp;B342</f>
        <v>Power: 6.1 kW. Lifetime: 39800 km. Annual kilometers: 2731 km. Number of passengers: 1. Curb mass: 129.8 kg. Lightweighting of glider: 0%. Emission standard: None. Service visits throughout lifetime: 1. Range: 50 km. Battery capacity: 3.3 kWh. Available battery capacity: 2.64 kWh. Battery mass: 19.8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9" spans="1:8" ht="15.6" x14ac:dyDescent="0.3">
      <c r="A359" s="11" t="s">
        <v>80</v>
      </c>
    </row>
    <row r="360" spans="1:8" x14ac:dyDescent="0.3">
      <c r="A360" t="s">
        <v>81</v>
      </c>
      <c r="B360" t="s">
        <v>82</v>
      </c>
      <c r="C360" t="s">
        <v>73</v>
      </c>
      <c r="D360" t="s">
        <v>77</v>
      </c>
      <c r="E360" t="s">
        <v>83</v>
      </c>
      <c r="F360" t="s">
        <v>75</v>
      </c>
      <c r="G360" t="s">
        <v>84</v>
      </c>
      <c r="H360" t="s">
        <v>74</v>
      </c>
    </row>
    <row r="361" spans="1:8" x14ac:dyDescent="0.3">
      <c r="A361" s="12" t="str">
        <f>B333</f>
        <v>transport, Scooter, electric, 4-11kW, 2020, label-certified electricity</v>
      </c>
      <c r="B361" s="12">
        <v>1</v>
      </c>
      <c r="C361" s="12" t="str">
        <f>B334</f>
        <v>CH</v>
      </c>
      <c r="D361" s="12" t="s">
        <v>172</v>
      </c>
      <c r="E361" s="12"/>
      <c r="F361" s="12" t="s">
        <v>85</v>
      </c>
      <c r="G361" s="12" t="s">
        <v>86</v>
      </c>
      <c r="H361" s="12" t="str">
        <f>B339</f>
        <v>transport, Scooter, electric, 4-11kW</v>
      </c>
    </row>
    <row r="362" spans="1:8" x14ac:dyDescent="0.3">
      <c r="A362" s="12" t="str">
        <f>B335&amp;", "&amp;B337</f>
        <v>Scooter, electric, 4-11kW, 2020</v>
      </c>
      <c r="B362" s="15">
        <f>1/B343</f>
        <v>2.5125628140703518E-5</v>
      </c>
      <c r="C362" s="12" t="str">
        <f>B334</f>
        <v>CH</v>
      </c>
      <c r="D362" s="12" t="s">
        <v>77</v>
      </c>
      <c r="E362" s="12"/>
      <c r="F362" s="12" t="s">
        <v>91</v>
      </c>
      <c r="G362" s="12"/>
      <c r="H362" s="12" t="str">
        <f>RIGHT(H361,LEN(H361)-11)</f>
        <v>Scooter, electric, 4-11kW</v>
      </c>
    </row>
    <row r="363" spans="1:8" s="21" customFormat="1" x14ac:dyDescent="0.3">
      <c r="A363" s="12" t="str">
        <f>INDEX('ei names mapping'!$B$4:$R$33,MATCH(B335,'ei names mapping'!$A$4:$A$33,0),MATCH(G363,'ei names mapping'!$B$3:$R$3,0))</f>
        <v>road construction</v>
      </c>
      <c r="B363" s="16">
        <f>INDEX('vehicles specifications'!$B$3:$CK$86,MATCH(B338,'vehicles specifications'!$A$3:$A$86,0),MATCH(G363,'vehicles specifications'!$B$2:$CK$2,0))*INDEX('ei names mapping'!$B$137:$BK$220,MATCH(B338,'ei names mapping'!$A$137:$A$220,0),MATCH(G363,'ei names mapping'!$B$136:$BK$136,0))</f>
        <v>1.0944060000000001E-4</v>
      </c>
      <c r="C363" s="12" t="str">
        <f>INDEX('ei names mapping'!$B$38:$R$67,MATCH(B335,'ei names mapping'!$A$4:$A$33,0),MATCH(G363,'ei names mapping'!$B$3:$R$3,0))</f>
        <v>CH</v>
      </c>
      <c r="D363" s="12" t="str">
        <f>INDEX('ei names mapping'!$B$104:$BK$133,MATCH(B335,'ei names mapping'!$A$4:$A$33,0),MATCH(G363,'ei names mapping'!$B$3:$BK$3,0))</f>
        <v>meter-year</v>
      </c>
      <c r="E363" s="12"/>
      <c r="F363" s="12" t="s">
        <v>91</v>
      </c>
      <c r="G363" s="21" t="s">
        <v>108</v>
      </c>
      <c r="H363" s="12" t="str">
        <f>INDEX('ei names mapping'!$B$71:$BK$100,MATCH(B335,'ei names mapping'!$A$4:$A$33,0),MATCH(G363,'ei names mapping'!$B$3:$BK$3,0))</f>
        <v>road</v>
      </c>
    </row>
    <row r="364" spans="1:8" x14ac:dyDescent="0.3">
      <c r="A364" s="12" t="str">
        <f>INDEX('ei names mapping'!$B$4:$R$33,MATCH(B335,'ei names mapping'!$A$4:$A$33,0),MATCH(G364,'ei names mapping'!$B$3:$R$3,0))</f>
        <v>road maintenance</v>
      </c>
      <c r="B364" s="16">
        <f>INDEX('vehicles specifications'!$B$3:$CK$86,MATCH(B338,'vehicles specifications'!$A$3:$A$86,0),MATCH(G364,'vehicles specifications'!$B$2:$CK$2,0))*INDEX('ei names mapping'!$B$137:$BK$220,MATCH(B338,'ei names mapping'!$A$137:$A$220,0),MATCH(G364,'ei names mapping'!$B$136:$BK$136,0))</f>
        <v>1.2899999999999999E-3</v>
      </c>
      <c r="C364" s="12" t="str">
        <f>INDEX('ei names mapping'!$B$38:$R$67,MATCH(B335,'ei names mapping'!$A$4:$A$33,0),MATCH(G364,'ei names mapping'!$B$3:$R$3,0))</f>
        <v>CH</v>
      </c>
      <c r="D364" s="12" t="str">
        <f>INDEX('ei names mapping'!$B$104:$BK$133,MATCH(B335,'ei names mapping'!$A$4:$A$33,0),MATCH(G364,'ei names mapping'!$B$3:$BK$3,0))</f>
        <v>meter-year</v>
      </c>
      <c r="E364" s="12"/>
      <c r="F364" s="12" t="s">
        <v>91</v>
      </c>
      <c r="G364" t="s">
        <v>117</v>
      </c>
      <c r="H364" s="12" t="str">
        <f>INDEX('ei names mapping'!$B$71:$BK$100,MATCH(B335,'ei names mapping'!$A$4:$A$33,0),MATCH(G364,'ei names mapping'!$B$3:$BK$3,0))</f>
        <v>road maintenance</v>
      </c>
    </row>
    <row r="365" spans="1:8" x14ac:dyDescent="0.3">
      <c r="A365" s="12" t="s">
        <v>114</v>
      </c>
      <c r="B365" s="14">
        <f>INDEX('vehicles specifications'!$B$3:$CK$86,MATCH(B338,'vehicles specifications'!$A$3:$A$86,0),MATCH(G365,'vehicles specifications'!$B$2:$CK$2,0))*INDEX('ei names mapping'!$B$137:$BK$220,MATCH(B338,'ei names mapping'!$A$137:$A$220,0),MATCH(G365,'ei names mapping'!$B$136:$BK$136,0))</f>
        <v>5.7876793809010993E-2</v>
      </c>
      <c r="C365" s="12" t="str">
        <f>INDEX('ei names mapping'!$B$38:$R$67,MATCH($B$3,'ei names mapping'!$A$4:$A$33,0),MATCH(G365,'ei names mapping'!$B$3:$R$3,0))</f>
        <v>CH</v>
      </c>
      <c r="D365" s="12" t="str">
        <f>INDEX('ei names mapping'!$B$104:$R$133,MATCH($B$3,'ei names mapping'!$A$4:$A$33,0),MATCH(G365,'ei names mapping'!$B$3:$R$3,0))</f>
        <v>kilowatt hour</v>
      </c>
      <c r="E365" s="12"/>
      <c r="F365" s="12" t="s">
        <v>91</v>
      </c>
      <c r="G365" t="s">
        <v>28</v>
      </c>
      <c r="H365" s="12" t="s">
        <v>116</v>
      </c>
    </row>
    <row r="366" spans="1:8" x14ac:dyDescent="0.3">
      <c r="A366" s="12" t="str">
        <f>INDEX('ei names mapping'!$B$4:$R$33,MATCH(B335,'ei names mapping'!$A$4:$A$33,0),MATCH(G366,'ei names mapping'!$B$3:$R$3,0))</f>
        <v>market for maintenance, electric scooter, without battery</v>
      </c>
      <c r="B366" s="16">
        <f>INDEX('vehicles specifications'!$B$3:$CK$86,MATCH(B338,'vehicles specifications'!$A$3:$A$86,0),MATCH(G366,'vehicles specifications'!$B$2:$CK$2,0))*INDEX('ei names mapping'!$B$137:$BK$220,MATCH(B338,'ei names mapping'!$A$137:$A$220,0),MATCH(G366,'ei names mapping'!$B$136:$BK$136,0))</f>
        <v>2.5125628140703518E-5</v>
      </c>
      <c r="C366" s="12" t="str">
        <f>INDEX('ei names mapping'!$B$38:$BK$67,MATCH(B335,'ei names mapping'!$A$4:$A$33,0),MATCH(G366,'ei names mapping'!$B$3:$BK$3,0))</f>
        <v>GLO</v>
      </c>
      <c r="D366" s="12" t="str">
        <f>INDEX('ei names mapping'!$B$104:$BK$133,MATCH(B335,'ei names mapping'!$A$4:$A$33,0),MATCH(G366,'ei names mapping'!$B$3:$BK$3,0))</f>
        <v>unit</v>
      </c>
      <c r="F366" s="12" t="s">
        <v>91</v>
      </c>
      <c r="G366" s="12" t="s">
        <v>123</v>
      </c>
      <c r="H366" s="12" t="str">
        <f>INDEX('ei names mapping'!$B$71:$BK$100,MATCH(B335,'ei names mapping'!$A$4:$A$33,0),MATCH(G366,'ei names mapping'!$B$3:$BK$3,0))</f>
        <v>maintenance, electric scooter, without battery</v>
      </c>
    </row>
    <row r="367" spans="1:8" x14ac:dyDescent="0.3">
      <c r="A367" s="12" t="str">
        <f>INDEX('ei names mapping'!$B$4:$BK$33,MATCH(B335,'ei names mapping'!$A$4:$A$33,0),MATCH(G367,'ei names mapping'!$B$3:$BK$3,0))</f>
        <v>treatment of road wear emissions, passenger car</v>
      </c>
      <c r="B367" s="16">
        <f>INDEX('vehicles specifications'!$B$3:$CK$86,MATCH(B338,'vehicles specifications'!$A$3:$A$86,0),MATCH(G367,'vehicles specifications'!$B$2:$CK$2,0))*INDEX('ei names mapping'!$B$137:$BK$220,MATCH(B338,'ei names mapping'!$A$137:$A$220,0),MATCH(G367,'ei names mapping'!$B$136:$BK$136,0))</f>
        <v>-6.0000000000000002E-6</v>
      </c>
      <c r="C367" s="12" t="str">
        <f>INDEX('ei names mapping'!$B$38:$BK$67,MATCH(B335,'ei names mapping'!$A$4:$A$33,0),MATCH(G367,'ei names mapping'!$B$3:$BK$3,0))</f>
        <v>RER</v>
      </c>
      <c r="D367" s="12" t="str">
        <f>INDEX('ei names mapping'!$B$104:$BK$133,MATCH(B335,'ei names mapping'!$A$4:$A$33,0),MATCH(G367,'ei names mapping'!$B$3:$BK$3,0))</f>
        <v>kilogram</v>
      </c>
      <c r="E367" s="12"/>
      <c r="F367" s="12" t="s">
        <v>91</v>
      </c>
      <c r="G367" t="s">
        <v>29</v>
      </c>
      <c r="H367" s="12" t="str">
        <f>INDEX('ei names mapping'!$B$71:$BK$100,MATCH(B335,'ei names mapping'!$A$4:$A$33,0),MATCH(G367,'ei names mapping'!$B$3:$BK$3,0))</f>
        <v>road wear emissions, passenger car</v>
      </c>
    </row>
    <row r="368" spans="1:8" x14ac:dyDescent="0.3">
      <c r="A368" s="12" t="str">
        <f>INDEX('ei names mapping'!$B$4:$BK$33,MATCH(B335,'ei names mapping'!$A$4:$A$33,0),MATCH(G368,'ei names mapping'!$B$3:$BK$3,0))</f>
        <v>treatment of tyre wear emissions, passenger car</v>
      </c>
      <c r="B368" s="16">
        <f>INDEX('vehicles specifications'!$B$3:$CK$86,MATCH(B338,'vehicles specifications'!$A$3:$A$86,0),MATCH(G368,'vehicles specifications'!$B$2:$CK$2,0))*INDEX('ei names mapping'!$B$137:$BK$220,MATCH(B338,'ei names mapping'!$A$137:$A$220,0),MATCH(G368,'ei names mapping'!$B$136:$BK$136,0))</f>
        <v>-6.3939999999999993E-6</v>
      </c>
      <c r="C368" s="12" t="str">
        <f>INDEX('ei names mapping'!$B$38:$BK$67,MATCH(B335,'ei names mapping'!$A$4:$A$33,0),MATCH(G368,'ei names mapping'!$B$3:$BK$3,0))</f>
        <v>RER</v>
      </c>
      <c r="D368" s="12" t="str">
        <f>INDEX('ei names mapping'!$B$104:$BK$133,MATCH(B335,'ei names mapping'!$A$4:$A$33,0),MATCH(G368,'ei names mapping'!$B$3:$BK$3,0))</f>
        <v>kilogram</v>
      </c>
      <c r="E368" s="12"/>
      <c r="F368" s="12" t="s">
        <v>91</v>
      </c>
      <c r="G368" t="s">
        <v>30</v>
      </c>
      <c r="H368" s="12" t="str">
        <f>INDEX('ei names mapping'!$B$71:$BK$100,MATCH(B335,'ei names mapping'!$A$4:$A$33,0),MATCH(G368,'ei names mapping'!$B$3:$BK$3,0))</f>
        <v>tyre wear emissions, passenger car</v>
      </c>
    </row>
    <row r="369" spans="1:8" x14ac:dyDescent="0.3">
      <c r="A369" s="12" t="str">
        <f>INDEX('ei names mapping'!$B$4:$BK$33,MATCH(B335,'ei names mapping'!$A$4:$A$33,0),MATCH(G369,'ei names mapping'!$B$3:$BK$3,0))</f>
        <v>treatment of brake wear emissions, passenger car</v>
      </c>
      <c r="B369" s="16">
        <f>INDEX('vehicles specifications'!$B$3:$CK$86,MATCH(B338,'vehicles specifications'!$A$3:$A$86,0),MATCH(G369,'vehicles specifications'!$B$2:$CK$2,0))*INDEX('ei names mapping'!$B$137:$BK$220,MATCH(B338,'ei names mapping'!$A$137:$A$220,0),MATCH(G369,'ei names mapping'!$B$136:$BK$136,0))</f>
        <v>-3.0894999999999998E-6</v>
      </c>
      <c r="C369" s="12" t="str">
        <f>INDEX('ei names mapping'!$B$38:$BK$67,MATCH(B335,'ei names mapping'!$A$4:$A$33,0),MATCH(G369,'ei names mapping'!$B$3:$BK$3,0))</f>
        <v>RER</v>
      </c>
      <c r="D369" s="12" t="str">
        <f>INDEX('ei names mapping'!$B$104:$BK$133,MATCH(B335,'ei names mapping'!$A$4:$A$33,0),MATCH(G369,'ei names mapping'!$B$3:$BK$3,0))</f>
        <v>kilogram</v>
      </c>
      <c r="E369" s="12"/>
      <c r="F369" s="12" t="s">
        <v>91</v>
      </c>
      <c r="G369" t="s">
        <v>31</v>
      </c>
      <c r="H369" s="12" t="str">
        <f>INDEX('ei names mapping'!$B$71:$BK$100,MATCH(B335,'ei names mapping'!$A$4:$A$33,0),MATCH(G369,'ei names mapping'!$B$3:$BK$3,0))</f>
        <v>brake wear emissions, passenger car</v>
      </c>
    </row>
    <row r="370" spans="1:8" x14ac:dyDescent="0.3">
      <c r="B370" s="6"/>
    </row>
    <row r="371" spans="1:8" ht="15.6" x14ac:dyDescent="0.3">
      <c r="A371" s="11" t="s">
        <v>72</v>
      </c>
      <c r="B371" s="9" t="str">
        <f>"transport, "&amp;B373&amp;", "&amp;B375&amp;", label-certified electricity"</f>
        <v>transport, Scooter, electric, 4-11kW, 2030, label-certified electricity</v>
      </c>
    </row>
    <row r="372" spans="1:8" x14ac:dyDescent="0.3">
      <c r="A372" t="s">
        <v>73</v>
      </c>
      <c r="B372" t="s">
        <v>37</v>
      </c>
    </row>
    <row r="373" spans="1:8" x14ac:dyDescent="0.3">
      <c r="A373" t="s">
        <v>87</v>
      </c>
      <c r="B373" s="21" t="s">
        <v>631</v>
      </c>
    </row>
    <row r="374" spans="1:8" x14ac:dyDescent="0.3">
      <c r="A374" t="s">
        <v>88</v>
      </c>
      <c r="B374" s="12"/>
    </row>
    <row r="375" spans="1:8" x14ac:dyDescent="0.3">
      <c r="A375" t="s">
        <v>89</v>
      </c>
      <c r="B375" s="12">
        <v>2030</v>
      </c>
    </row>
    <row r="376" spans="1:8" x14ac:dyDescent="0.3">
      <c r="A376" t="s">
        <v>131</v>
      </c>
      <c r="B376" s="12" t="str">
        <f>B373&amp;" - "&amp;B375&amp;" - "&amp;B372</f>
        <v>Scooter, electric, 4-11kW - 2030 - CH</v>
      </c>
    </row>
    <row r="377" spans="1:8" x14ac:dyDescent="0.3">
      <c r="A377" t="s">
        <v>74</v>
      </c>
      <c r="B377" s="12" t="str">
        <f>"transport, "&amp;B373</f>
        <v>transport, Scooter, electric, 4-11kW</v>
      </c>
    </row>
    <row r="378" spans="1:8" x14ac:dyDescent="0.3">
      <c r="A378" t="s">
        <v>75</v>
      </c>
      <c r="B378" t="s">
        <v>76</v>
      </c>
    </row>
    <row r="379" spans="1:8" x14ac:dyDescent="0.3">
      <c r="A379" t="s">
        <v>77</v>
      </c>
      <c r="B379" t="s">
        <v>172</v>
      </c>
    </row>
    <row r="380" spans="1:8" x14ac:dyDescent="0.3">
      <c r="A380" t="s">
        <v>79</v>
      </c>
      <c r="B380" t="s">
        <v>90</v>
      </c>
    </row>
    <row r="381" spans="1:8" x14ac:dyDescent="0.3">
      <c r="A381" t="s">
        <v>132</v>
      </c>
      <c r="B381">
        <f>INDEX('vehicles specifications'!$B$3:$CK$86,MATCH(B376,'vehicles specifications'!$A$3:$A$86,0),MATCH("Lifetime [km]",'vehicles specifications'!$B$2:$CK$2,0))</f>
        <v>39800</v>
      </c>
    </row>
    <row r="382" spans="1:8" x14ac:dyDescent="0.3">
      <c r="A382" t="s">
        <v>133</v>
      </c>
      <c r="B382">
        <f>INDEX('vehicles specifications'!$B$3:$CK$86,MATCH(B376,'vehicles specifications'!$A$3:$A$86,0),MATCH("Passengers [unit]",'vehicles specifications'!$B$2:$CK$2,0))</f>
        <v>1</v>
      </c>
    </row>
    <row r="383" spans="1:8" x14ac:dyDescent="0.3">
      <c r="A383" t="s">
        <v>134</v>
      </c>
      <c r="B383">
        <f>INDEX('vehicles specifications'!$B$3:$CK$86,MATCH(B376,'vehicles specifications'!$A$3:$A$86,0),MATCH("Servicing [unit]",'vehicles specifications'!$B$2:$CK$2,0))</f>
        <v>1</v>
      </c>
    </row>
    <row r="384" spans="1:8" x14ac:dyDescent="0.3">
      <c r="A384" t="s">
        <v>135</v>
      </c>
      <c r="B384">
        <f>INDEX('vehicles specifications'!$B$3:$CK$86,MATCH(B376,'vehicles specifications'!$A$3:$A$86,0),MATCH("Energy battery replacement [unit]",'vehicles specifications'!$B$2:$CK$2,0))</f>
        <v>0.5</v>
      </c>
    </row>
    <row r="385" spans="1:8" x14ac:dyDescent="0.3">
      <c r="A385" t="s">
        <v>136</v>
      </c>
      <c r="B385">
        <f>INDEX('vehicles specifications'!$B$3:$CK$86,MATCH(B376,'vehicles specifications'!$A$3:$A$86,0),MATCH("Annual kilometers [km]",'vehicles specifications'!$B$2:$CK$2,0))</f>
        <v>2731</v>
      </c>
    </row>
    <row r="386" spans="1:8" x14ac:dyDescent="0.3">
      <c r="A386" t="s">
        <v>137</v>
      </c>
      <c r="B386" s="2">
        <f>INDEX('vehicles specifications'!$B$3:$CK$86,MATCH(B376,'vehicles specifications'!$A$3:$A$86,0),MATCH("Curb mass [kg]",'vehicles specifications'!$B$2:$CK$2,0))</f>
        <v>130.28</v>
      </c>
    </row>
    <row r="387" spans="1:8" x14ac:dyDescent="0.3">
      <c r="A387" t="s">
        <v>138</v>
      </c>
      <c r="B387">
        <f>INDEX('vehicles specifications'!$B$3:$CK$86,MATCH(B376,'vehicles specifications'!$A$3:$A$86,0),MATCH("Power [kW]",'vehicles specifications'!$B$2:$CK$2,0))</f>
        <v>6.1</v>
      </c>
    </row>
    <row r="388" spans="1:8" x14ac:dyDescent="0.3">
      <c r="A388" t="s">
        <v>139</v>
      </c>
      <c r="B388">
        <f>INDEX('vehicles specifications'!$B$3:$CK$86,MATCH(B376,'vehicles specifications'!$A$3:$A$86,0),MATCH("Energy battery mass [kg]",'vehicles specifications'!$B$2:$CK$2,0))</f>
        <v>22.8</v>
      </c>
    </row>
    <row r="389" spans="1:8" x14ac:dyDescent="0.3">
      <c r="A389" t="s">
        <v>140</v>
      </c>
      <c r="B389">
        <f>INDEX('vehicles specifications'!$B$3:$CK$86,MATCH(B376,'vehicles specifications'!$A$3:$A$86,0),MATCH("Electric energy stored [kWh]",'vehicles specifications'!$B$2:$CK$2,0))</f>
        <v>5.7</v>
      </c>
    </row>
    <row r="390" spans="1:8" s="21" customFormat="1" x14ac:dyDescent="0.3">
      <c r="A390" s="21" t="s">
        <v>654</v>
      </c>
      <c r="B390" s="21">
        <f>INDEX('vehicles specifications'!$B$3:$CK$86,MATCH(B376,'vehicles specifications'!$A$3:$A$86,0),MATCH("Electric energy available [kWh]",'vehicles specifications'!$B$2:$CK$2,0))</f>
        <v>4.5600000000000005</v>
      </c>
    </row>
    <row r="391" spans="1:8" x14ac:dyDescent="0.3">
      <c r="A391" t="s">
        <v>143</v>
      </c>
      <c r="B391" s="2">
        <f>INDEX('vehicles specifications'!$B$3:$CK$86,MATCH(B376,'vehicles specifications'!$A$3:$A$86,0),MATCH("Oxydation energy stored [kWh]",'vehicles specifications'!$B$2:$CK$2,0))</f>
        <v>0</v>
      </c>
    </row>
    <row r="392" spans="1:8" x14ac:dyDescent="0.3">
      <c r="A392" t="s">
        <v>145</v>
      </c>
      <c r="B392">
        <f>INDEX('vehicles specifications'!$B$3:$CK$86,MATCH(B376,'vehicles specifications'!$A$3:$A$86,0),MATCH("Fuel mass [kg]",'vehicles specifications'!$B$2:$CK$2,0))</f>
        <v>0</v>
      </c>
    </row>
    <row r="393" spans="1:8" x14ac:dyDescent="0.3">
      <c r="A393" t="s">
        <v>141</v>
      </c>
      <c r="B393" s="2">
        <f>INDEX('vehicles specifications'!$B$3:$CK$86,MATCH(B376,'vehicles specifications'!$A$3:$A$86,0),MATCH("Range [km]",'vehicles specifications'!$B$2:$CK$2,0))</f>
        <v>86.666860236806102</v>
      </c>
    </row>
    <row r="394" spans="1:8" x14ac:dyDescent="0.3">
      <c r="A394" t="s">
        <v>142</v>
      </c>
      <c r="B394" t="str">
        <f>INDEX('vehicles specifications'!$B$3:$CK$86,MATCH(B376,'vehicles specifications'!$A$3:$A$86,0),MATCH("Emission standard",'vehicles specifications'!$B$2:$CK$2,0))</f>
        <v>None</v>
      </c>
    </row>
    <row r="395" spans="1:8" x14ac:dyDescent="0.3">
      <c r="A395" t="s">
        <v>144</v>
      </c>
      <c r="B395" s="6">
        <f>INDEX('vehicles specifications'!$B$3:$CK$86,MATCH(B376,'vehicles specifications'!$A$3:$A$86,0),MATCH("Lightweighting rate [%]",'vehicles specifications'!$B$2:$CK$2,0))</f>
        <v>0.03</v>
      </c>
    </row>
    <row r="396" spans="1:8" x14ac:dyDescent="0.3">
      <c r="A396" t="s">
        <v>84</v>
      </c>
      <c r="B396" s="21" t="str">
        <f>"Power: "&amp;B387&amp;" kW. Lifetime: "&amp;B381&amp;" km. Annual kilometers: "&amp;B385&amp;" km. Number of passengers: "&amp;B382&amp;". Curb mass: "&amp;ROUND(B386,1)&amp;" kg. Lightweighting of glider: "&amp;ROUND(B395*100,0)&amp;"%. Emission standard: "&amp;B394&amp;". Service visits throughout lifetime: "&amp;ROUND(B383,1)&amp;". Range: "&amp;ROUND(B393,0)&amp;" km. Battery capacity: "&amp;ROUND(B389,1)&amp;" kWh. Available battery capacity: "&amp;B390&amp;" kWh. Battery mass: "&amp;ROUND(B388,1)&amp; " kg. Battery replacement throughout lifetime: "&amp;ROUND(B384,1)&amp;". Fuel tank capacity: "&amp;ROUND(B391,1)&amp;" kWh. Fuel mass: "&amp;ROUND(B392,1)&amp;" kg. Documentation: "&amp;Readmefirst!$B$2&amp;", "&amp;Readmefirst!$B$3&amp;". "&amp;B380</f>
        <v>Power: 6.1 kW. Lifetime: 39800 km. Annual kilometers: 2731 km. Number of passengers: 1. Curb mass: 130.3 kg. Lightweighting of glider: 3%. Emission standard: None. Service visits throughout lifetime: 1. Range: 87 km. Battery capacity: 5.7 kWh. Available battery capacity: 4.56 kWh. Battery mass: 22.8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97" spans="1:8" ht="15.6" x14ac:dyDescent="0.3">
      <c r="A397" s="11" t="s">
        <v>80</v>
      </c>
    </row>
    <row r="398" spans="1:8" x14ac:dyDescent="0.3">
      <c r="A398" t="s">
        <v>81</v>
      </c>
      <c r="B398" t="s">
        <v>82</v>
      </c>
      <c r="C398" t="s">
        <v>73</v>
      </c>
      <c r="D398" t="s">
        <v>77</v>
      </c>
      <c r="E398" t="s">
        <v>83</v>
      </c>
      <c r="F398" t="s">
        <v>75</v>
      </c>
      <c r="G398" t="s">
        <v>84</v>
      </c>
      <c r="H398" t="s">
        <v>74</v>
      </c>
    </row>
    <row r="399" spans="1:8" x14ac:dyDescent="0.3">
      <c r="A399" s="12" t="str">
        <f>B371</f>
        <v>transport, Scooter, electric, 4-11kW, 2030, label-certified electricity</v>
      </c>
      <c r="B399" s="12">
        <v>1</v>
      </c>
      <c r="C399" s="12" t="str">
        <f>B372</f>
        <v>CH</v>
      </c>
      <c r="D399" s="12" t="s">
        <v>172</v>
      </c>
      <c r="E399" s="12"/>
      <c r="F399" s="12" t="s">
        <v>85</v>
      </c>
      <c r="G399" s="12" t="s">
        <v>86</v>
      </c>
      <c r="H399" s="12" t="str">
        <f>B377</f>
        <v>transport, Scooter, electric, 4-11kW</v>
      </c>
    </row>
    <row r="400" spans="1:8" x14ac:dyDescent="0.3">
      <c r="A400" s="12" t="str">
        <f>B373&amp;", "&amp;B375</f>
        <v>Scooter, electric, 4-11kW, 2030</v>
      </c>
      <c r="B400" s="12">
        <f>1/B381</f>
        <v>2.5125628140703518E-5</v>
      </c>
      <c r="C400" s="12" t="str">
        <f>B372</f>
        <v>CH</v>
      </c>
      <c r="D400" s="12" t="s">
        <v>77</v>
      </c>
      <c r="E400" s="12"/>
      <c r="F400" s="12" t="s">
        <v>91</v>
      </c>
      <c r="G400" s="12"/>
      <c r="H400" s="12" t="str">
        <f>RIGHT(H399,LEN(H399)-11)</f>
        <v>Scooter, electric, 4-11kW</v>
      </c>
    </row>
    <row r="401" spans="1:8" s="21" customFormat="1" x14ac:dyDescent="0.3">
      <c r="A401" s="12" t="str">
        <f>INDEX('ei names mapping'!$B$4:$R$33,MATCH(B373,'ei names mapping'!$A$4:$A$33,0),MATCH(G401,'ei names mapping'!$B$3:$R$3,0))</f>
        <v>road construction</v>
      </c>
      <c r="B401" s="16">
        <f>INDEX('vehicles specifications'!$B$3:$CK$86,MATCH(B376,'vehicles specifications'!$A$3:$A$86,0),MATCH(G401,'vehicles specifications'!$B$2:$CK$2,0))*INDEX('ei names mapping'!$B$137:$BK$220,MATCH(B376,'ei names mapping'!$A$137:$A$220,0),MATCH(G401,'ei names mapping'!$B$136:$BK$136,0))</f>
        <v>1.0969836E-4</v>
      </c>
      <c r="C401" s="12" t="str">
        <f>INDEX('ei names mapping'!$B$38:$R$67,MATCH(B373,'ei names mapping'!$A$4:$A$33,0),MATCH(G401,'ei names mapping'!$B$3:$R$3,0))</f>
        <v>CH</v>
      </c>
      <c r="D401" s="12" t="str">
        <f>INDEX('ei names mapping'!$B$104:$BK$133,MATCH(B373,'ei names mapping'!$A$4:$A$33,0),MATCH(G401,'ei names mapping'!$B$3:$BK$3,0))</f>
        <v>meter-year</v>
      </c>
      <c r="E401" s="12"/>
      <c r="F401" s="12" t="s">
        <v>91</v>
      </c>
      <c r="G401" s="21" t="s">
        <v>108</v>
      </c>
      <c r="H401" s="12" t="str">
        <f>INDEX('ei names mapping'!$B$71:$BK$100,MATCH(B373,'ei names mapping'!$A$4:$A$33,0),MATCH(G401,'ei names mapping'!$B$3:$BK$3,0))</f>
        <v>road</v>
      </c>
    </row>
    <row r="402" spans="1:8" x14ac:dyDescent="0.3">
      <c r="A402" s="12" t="str">
        <f>INDEX('ei names mapping'!$B$4:$R$33,MATCH(B373,'ei names mapping'!$A$4:$A$33,0),MATCH(G402,'ei names mapping'!$B$3:$R$3,0))</f>
        <v>road maintenance</v>
      </c>
      <c r="B402" s="16">
        <f>INDEX('vehicles specifications'!$B$3:$CK$86,MATCH(B376,'vehicles specifications'!$A$3:$A$86,0),MATCH(G402,'vehicles specifications'!$B$2:$CK$2,0))*INDEX('ei names mapping'!$B$137:$BK$220,MATCH(B376,'ei names mapping'!$A$137:$A$220,0),MATCH(G402,'ei names mapping'!$B$136:$BK$136,0))</f>
        <v>1.2899999999999999E-3</v>
      </c>
      <c r="C402" s="12" t="str">
        <f>INDEX('ei names mapping'!$B$38:$R$67,MATCH(B373,'ei names mapping'!$A$4:$A$33,0),MATCH(G402,'ei names mapping'!$B$3:$R$3,0))</f>
        <v>CH</v>
      </c>
      <c r="D402" s="12" t="str">
        <f>INDEX('ei names mapping'!$B$104:$BK$133,MATCH(B373,'ei names mapping'!$A$4:$A$33,0),MATCH(G402,'ei names mapping'!$B$3:$BK$3,0))</f>
        <v>meter-year</v>
      </c>
      <c r="E402" s="12"/>
      <c r="F402" s="12" t="s">
        <v>91</v>
      </c>
      <c r="G402" t="s">
        <v>117</v>
      </c>
      <c r="H402" s="12" t="str">
        <f>INDEX('ei names mapping'!$B$71:$BK$100,MATCH(B373,'ei names mapping'!$A$4:$A$33,0),MATCH(G402,'ei names mapping'!$B$3:$BK$3,0))</f>
        <v>road maintenance</v>
      </c>
    </row>
    <row r="403" spans="1:8" x14ac:dyDescent="0.3">
      <c r="A403" s="12" t="s">
        <v>114</v>
      </c>
      <c r="B403" s="14">
        <f>INDEX('vehicles specifications'!$B$3:$CK$86,MATCH(B376,'vehicles specifications'!$A$3:$A$86,0),MATCH(G403,'vehicles specifications'!$B$2:$CK$2,0))*INDEX('ei names mapping'!$B$137:$BK$220,MATCH(B376,'ei names mapping'!$A$137:$A$220,0),MATCH(G403,'ei names mapping'!$B$136:$BK$136,0))</f>
        <v>5.7876793809010993E-2</v>
      </c>
      <c r="C403" s="12" t="str">
        <f>INDEX('ei names mapping'!$B$38:$R$67,MATCH($B$3,'ei names mapping'!$A$4:$A$33,0),MATCH(G403,'ei names mapping'!$B$3:$R$3,0))</f>
        <v>CH</v>
      </c>
      <c r="D403" s="12" t="str">
        <f>INDEX('ei names mapping'!$B$104:$R$133,MATCH($B$3,'ei names mapping'!$A$4:$A$33,0),MATCH(G403,'ei names mapping'!$B$3:$R$3,0))</f>
        <v>kilowatt hour</v>
      </c>
      <c r="E403" s="12"/>
      <c r="F403" s="12" t="s">
        <v>91</v>
      </c>
      <c r="G403" t="s">
        <v>28</v>
      </c>
      <c r="H403" s="12" t="s">
        <v>116</v>
      </c>
    </row>
    <row r="404" spans="1:8" x14ac:dyDescent="0.3">
      <c r="A404" s="12" t="str">
        <f>INDEX('ei names mapping'!$B$4:$R$33,MATCH(B373,'ei names mapping'!$A$4:$A$33,0),MATCH(G404,'ei names mapping'!$B$3:$R$3,0))</f>
        <v>market for maintenance, electric scooter, without battery</v>
      </c>
      <c r="B404" s="16">
        <f>INDEX('vehicles specifications'!$B$3:$CK$86,MATCH(B376,'vehicles specifications'!$A$3:$A$86,0),MATCH(G404,'vehicles specifications'!$B$2:$CK$2,0))*INDEX('ei names mapping'!$B$137:$BK$220,MATCH(B376,'ei names mapping'!$A$137:$A$220,0),MATCH(G404,'ei names mapping'!$B$136:$BK$136,0))</f>
        <v>2.5125628140703518E-5</v>
      </c>
      <c r="C404" s="12" t="str">
        <f>INDEX('ei names mapping'!$B$38:$BK$67,MATCH(B373,'ei names mapping'!$A$4:$A$33,0),MATCH(G404,'ei names mapping'!$B$3:$BK$3,0))</f>
        <v>GLO</v>
      </c>
      <c r="D404" s="12" t="str">
        <f>INDEX('ei names mapping'!$B$104:$BK$133,MATCH(B373,'ei names mapping'!$A$4:$A$33,0),MATCH(G404,'ei names mapping'!$B$3:$BK$3,0))</f>
        <v>unit</v>
      </c>
      <c r="F404" s="12" t="s">
        <v>91</v>
      </c>
      <c r="G404" s="12" t="s">
        <v>123</v>
      </c>
      <c r="H404" s="12" t="str">
        <f>INDEX('ei names mapping'!$B$71:$BK$100,MATCH(B373,'ei names mapping'!$A$4:$A$33,0),MATCH(G404,'ei names mapping'!$B$3:$BK$3,0))</f>
        <v>maintenance, electric scooter, without battery</v>
      </c>
    </row>
    <row r="405" spans="1:8" x14ac:dyDescent="0.3">
      <c r="A405" s="12" t="str">
        <f>INDEX('ei names mapping'!$B$4:$BK$33,MATCH(B373,'ei names mapping'!$A$4:$A$33,0),MATCH(G405,'ei names mapping'!$B$3:$BK$3,0))</f>
        <v>treatment of road wear emissions, passenger car</v>
      </c>
      <c r="B405" s="16">
        <f>INDEX('vehicles specifications'!$B$3:$CK$86,MATCH(B376,'vehicles specifications'!$A$3:$A$86,0),MATCH(G405,'vehicles specifications'!$B$2:$CK$2,0))*INDEX('ei names mapping'!$B$137:$BK$220,MATCH(B376,'ei names mapping'!$A$137:$A$220,0),MATCH(G405,'ei names mapping'!$B$136:$BK$136,0))</f>
        <v>-6.0000000000000002E-6</v>
      </c>
      <c r="C405" s="12" t="str">
        <f>INDEX('ei names mapping'!$B$38:$BK$67,MATCH(B373,'ei names mapping'!$A$4:$A$33,0),MATCH(G405,'ei names mapping'!$B$3:$BK$3,0))</f>
        <v>RER</v>
      </c>
      <c r="D405" s="12" t="str">
        <f>INDEX('ei names mapping'!$B$104:$BK$133,MATCH(B373,'ei names mapping'!$A$4:$A$33,0),MATCH(G405,'ei names mapping'!$B$3:$BK$3,0))</f>
        <v>kilogram</v>
      </c>
      <c r="E405" s="12"/>
      <c r="F405" s="12" t="s">
        <v>91</v>
      </c>
      <c r="G405" t="s">
        <v>29</v>
      </c>
      <c r="H405" s="12" t="str">
        <f>INDEX('ei names mapping'!$B$71:$BK$100,MATCH(B373,'ei names mapping'!$A$4:$A$33,0),MATCH(G405,'ei names mapping'!$B$3:$BK$3,0))</f>
        <v>road wear emissions, passenger car</v>
      </c>
    </row>
    <row r="406" spans="1:8" x14ac:dyDescent="0.3">
      <c r="A406" s="12" t="str">
        <f>INDEX('ei names mapping'!$B$4:$BK$33,MATCH(B373,'ei names mapping'!$A$4:$A$33,0),MATCH(G406,'ei names mapping'!$B$3:$BK$3,0))</f>
        <v>treatment of tyre wear emissions, passenger car</v>
      </c>
      <c r="B406" s="16">
        <f>INDEX('vehicles specifications'!$B$3:$CK$86,MATCH(B376,'vehicles specifications'!$A$3:$A$86,0),MATCH(G406,'vehicles specifications'!$B$2:$CK$2,0))*INDEX('ei names mapping'!$B$137:$BK$220,MATCH(B376,'ei names mapping'!$A$137:$A$220,0),MATCH(G406,'ei names mapping'!$B$136:$BK$136,0))</f>
        <v>-6.3939999999999993E-6</v>
      </c>
      <c r="C406" s="12" t="str">
        <f>INDEX('ei names mapping'!$B$38:$BK$67,MATCH(B373,'ei names mapping'!$A$4:$A$33,0),MATCH(G406,'ei names mapping'!$B$3:$BK$3,0))</f>
        <v>RER</v>
      </c>
      <c r="D406" s="12" t="str">
        <f>INDEX('ei names mapping'!$B$104:$BK$133,MATCH(B373,'ei names mapping'!$A$4:$A$33,0),MATCH(G406,'ei names mapping'!$B$3:$BK$3,0))</f>
        <v>kilogram</v>
      </c>
      <c r="E406" s="12"/>
      <c r="F406" s="12" t="s">
        <v>91</v>
      </c>
      <c r="G406" t="s">
        <v>30</v>
      </c>
      <c r="H406" s="12" t="str">
        <f>INDEX('ei names mapping'!$B$71:$BK$100,MATCH(B373,'ei names mapping'!$A$4:$A$33,0),MATCH(G406,'ei names mapping'!$B$3:$BK$3,0))</f>
        <v>tyre wear emissions, passenger car</v>
      </c>
    </row>
    <row r="407" spans="1:8" x14ac:dyDescent="0.3">
      <c r="A407" s="12" t="str">
        <f>INDEX('ei names mapping'!$B$4:$BK$33,MATCH(B373,'ei names mapping'!$A$4:$A$33,0),MATCH(G407,'ei names mapping'!$B$3:$BK$3,0))</f>
        <v>treatment of brake wear emissions, passenger car</v>
      </c>
      <c r="B407" s="16">
        <f>INDEX('vehicles specifications'!$B$3:$CK$86,MATCH(B376,'vehicles specifications'!$A$3:$A$86,0),MATCH(G407,'vehicles specifications'!$B$2:$CK$2,0))*INDEX('ei names mapping'!$B$137:$BK$220,MATCH(B376,'ei names mapping'!$A$137:$A$220,0),MATCH(G407,'ei names mapping'!$B$136:$BK$136,0))</f>
        <v>-3.0894999999999998E-6</v>
      </c>
      <c r="C407" s="12" t="str">
        <f>INDEX('ei names mapping'!$B$38:$BK$67,MATCH(B373,'ei names mapping'!$A$4:$A$33,0),MATCH(G407,'ei names mapping'!$B$3:$BK$3,0))</f>
        <v>RER</v>
      </c>
      <c r="D407" s="12" t="str">
        <f>INDEX('ei names mapping'!$B$104:$BK$133,MATCH(B373,'ei names mapping'!$A$4:$A$33,0),MATCH(G407,'ei names mapping'!$B$3:$BK$3,0))</f>
        <v>kilogram</v>
      </c>
      <c r="E407" s="12"/>
      <c r="F407" s="12" t="s">
        <v>91</v>
      </c>
      <c r="G407" t="s">
        <v>31</v>
      </c>
      <c r="H407" s="12" t="str">
        <f>INDEX('ei names mapping'!$B$71:$BK$100,MATCH(B373,'ei names mapping'!$A$4:$A$33,0),MATCH(G407,'ei names mapping'!$B$3:$BK$3,0))</f>
        <v>brake wear emissions, passenger car</v>
      </c>
    </row>
    <row r="409" spans="1:8" ht="15.6" x14ac:dyDescent="0.3">
      <c r="A409" s="11" t="s">
        <v>72</v>
      </c>
      <c r="B409" s="9" t="str">
        <f>"transport, "&amp;B411&amp;", "&amp;B413&amp;", label-certified electricity"</f>
        <v>transport, Scooter, electric, 4-11kW, 2040, label-certified electricity</v>
      </c>
    </row>
    <row r="410" spans="1:8" x14ac:dyDescent="0.3">
      <c r="A410" t="s">
        <v>73</v>
      </c>
      <c r="B410" t="s">
        <v>37</v>
      </c>
    </row>
    <row r="411" spans="1:8" x14ac:dyDescent="0.3">
      <c r="A411" t="s">
        <v>87</v>
      </c>
      <c r="B411" s="21" t="s">
        <v>631</v>
      </c>
    </row>
    <row r="412" spans="1:8" x14ac:dyDescent="0.3">
      <c r="A412" t="s">
        <v>88</v>
      </c>
      <c r="B412" s="12"/>
    </row>
    <row r="413" spans="1:8" x14ac:dyDescent="0.3">
      <c r="A413" t="s">
        <v>89</v>
      </c>
      <c r="B413" s="12">
        <v>2040</v>
      </c>
    </row>
    <row r="414" spans="1:8" x14ac:dyDescent="0.3">
      <c r="A414" t="s">
        <v>131</v>
      </c>
      <c r="B414" s="12" t="str">
        <f>B411&amp;" - "&amp;B413&amp;" - "&amp;B410</f>
        <v>Scooter, electric, 4-11kW - 2040 - CH</v>
      </c>
    </row>
    <row r="415" spans="1:8" x14ac:dyDescent="0.3">
      <c r="A415" t="s">
        <v>74</v>
      </c>
      <c r="B415" s="12" t="str">
        <f>"transport, "&amp;B411</f>
        <v>transport, Scooter, electric, 4-11kW</v>
      </c>
    </row>
    <row r="416" spans="1:8" x14ac:dyDescent="0.3">
      <c r="A416" t="s">
        <v>75</v>
      </c>
      <c r="B416" t="s">
        <v>76</v>
      </c>
    </row>
    <row r="417" spans="1:2" x14ac:dyDescent="0.3">
      <c r="A417" t="s">
        <v>77</v>
      </c>
      <c r="B417" t="s">
        <v>172</v>
      </c>
    </row>
    <row r="418" spans="1:2" x14ac:dyDescent="0.3">
      <c r="A418" t="s">
        <v>79</v>
      </c>
      <c r="B418" t="s">
        <v>90</v>
      </c>
    </row>
    <row r="419" spans="1:2" x14ac:dyDescent="0.3">
      <c r="A419" t="s">
        <v>132</v>
      </c>
      <c r="B419">
        <f>INDEX('vehicles specifications'!$B$3:$CK$86,MATCH(B414,'vehicles specifications'!$A$3:$A$86,0),MATCH("Lifetime [km]",'vehicles specifications'!$B$2:$CK$2,0))</f>
        <v>39800</v>
      </c>
    </row>
    <row r="420" spans="1:2" x14ac:dyDescent="0.3">
      <c r="A420" t="s">
        <v>133</v>
      </c>
      <c r="B420">
        <f>INDEX('vehicles specifications'!$B$3:$CK$86,MATCH(B414,'vehicles specifications'!$A$3:$A$86,0),MATCH("Passengers [unit]",'vehicles specifications'!$B$2:$CK$2,0))</f>
        <v>1</v>
      </c>
    </row>
    <row r="421" spans="1:2" x14ac:dyDescent="0.3">
      <c r="A421" t="s">
        <v>134</v>
      </c>
      <c r="B421">
        <f>INDEX('vehicles specifications'!$B$3:$CK$86,MATCH(B414,'vehicles specifications'!$A$3:$A$86,0),MATCH("Servicing [unit]",'vehicles specifications'!$B$2:$CK$2,0))</f>
        <v>1</v>
      </c>
    </row>
    <row r="422" spans="1:2" x14ac:dyDescent="0.3">
      <c r="A422" t="s">
        <v>135</v>
      </c>
      <c r="B422">
        <f>INDEX('vehicles specifications'!$B$3:$CK$86,MATCH(B414,'vehicles specifications'!$A$3:$A$86,0),MATCH("Energy battery replacement [unit]",'vehicles specifications'!$B$2:$CK$2,0))</f>
        <v>0.25</v>
      </c>
    </row>
    <row r="423" spans="1:2" x14ac:dyDescent="0.3">
      <c r="A423" t="s">
        <v>136</v>
      </c>
      <c r="B423">
        <f>INDEX('vehicles specifications'!$B$3:$CK$86,MATCH(B414,'vehicles specifications'!$A$3:$A$86,0),MATCH("Annual kilometers [km]",'vehicles specifications'!$B$2:$CK$2,0))</f>
        <v>2731</v>
      </c>
    </row>
    <row r="424" spans="1:2" x14ac:dyDescent="0.3">
      <c r="A424" t="s">
        <v>137</v>
      </c>
      <c r="B424" s="2">
        <f>INDEX('vehicles specifications'!$B$3:$CK$86,MATCH(B414,'vehicles specifications'!$A$3:$A$86,0),MATCH("Curb mass [kg]",'vehicles specifications'!$B$2:$CK$2,0))</f>
        <v>130.39999999999998</v>
      </c>
    </row>
    <row r="425" spans="1:2" x14ac:dyDescent="0.3">
      <c r="A425" t="s">
        <v>138</v>
      </c>
      <c r="B425">
        <f>INDEX('vehicles specifications'!$B$3:$CK$86,MATCH(B414,'vehicles specifications'!$A$3:$A$86,0),MATCH("Power [kW]",'vehicles specifications'!$B$2:$CK$2,0))</f>
        <v>6.1</v>
      </c>
    </row>
    <row r="426" spans="1:2" x14ac:dyDescent="0.3">
      <c r="A426" t="s">
        <v>139</v>
      </c>
      <c r="B426">
        <f>INDEX('vehicles specifications'!$B$3:$CK$86,MATCH(B414,'vehicles specifications'!$A$3:$A$86,0),MATCH("Energy battery mass [kg]",'vehicles specifications'!$B$2:$CK$2,0))</f>
        <v>24.599999999999994</v>
      </c>
    </row>
    <row r="427" spans="1:2" x14ac:dyDescent="0.3">
      <c r="A427" t="s">
        <v>140</v>
      </c>
      <c r="B427">
        <f>INDEX('vehicles specifications'!$B$3:$CK$86,MATCH(B414,'vehicles specifications'!$A$3:$A$86,0),MATCH("Electric energy stored [kWh]",'vehicles specifications'!$B$2:$CK$2,0))</f>
        <v>8.1999999999999993</v>
      </c>
    </row>
    <row r="428" spans="1:2" s="21" customFormat="1" x14ac:dyDescent="0.3">
      <c r="A428" s="21" t="s">
        <v>654</v>
      </c>
      <c r="B428" s="21">
        <f>INDEX('vehicles specifications'!$B$3:$CK$86,MATCH(B414,'vehicles specifications'!$A$3:$A$86,0),MATCH("Electric energy available [kWh]",'vehicles specifications'!$B$2:$CK$2,0))</f>
        <v>6.56</v>
      </c>
    </row>
    <row r="429" spans="1:2" x14ac:dyDescent="0.3">
      <c r="A429" t="s">
        <v>143</v>
      </c>
      <c r="B429" s="2">
        <f>INDEX('vehicles specifications'!$B$3:$CK$86,MATCH(B414,'vehicles specifications'!$A$3:$A$86,0),MATCH("Oxydation energy stored [kWh]",'vehicles specifications'!$B$2:$CK$2,0))</f>
        <v>0</v>
      </c>
    </row>
    <row r="430" spans="1:2" x14ac:dyDescent="0.3">
      <c r="A430" t="s">
        <v>145</v>
      </c>
      <c r="B430">
        <f>INDEX('vehicles specifications'!$B$3:$CK$86,MATCH(B414,'vehicles specifications'!$A$3:$A$86,0),MATCH("Fuel mass [kg]",'vehicles specifications'!$B$2:$CK$2,0))</f>
        <v>0</v>
      </c>
    </row>
    <row r="431" spans="1:2" x14ac:dyDescent="0.3">
      <c r="A431" t="s">
        <v>141</v>
      </c>
      <c r="B431" s="2">
        <f>INDEX('vehicles specifications'!$B$3:$CK$86,MATCH(B414,'vehicles specifications'!$A$3:$A$86,0),MATCH("Range [km]",'vehicles specifications'!$B$2:$CK$2,0))</f>
        <v>124.6786410424228</v>
      </c>
    </row>
    <row r="432" spans="1:2" x14ac:dyDescent="0.3">
      <c r="A432" t="s">
        <v>142</v>
      </c>
      <c r="B432" t="str">
        <f>INDEX('vehicles specifications'!$B$3:$CK$86,MATCH(B414,'vehicles specifications'!$A$3:$A$86,0),MATCH("Emission standard",'vehicles specifications'!$B$2:$CK$2,0))</f>
        <v>None</v>
      </c>
    </row>
    <row r="433" spans="1:8" x14ac:dyDescent="0.3">
      <c r="A433" t="s">
        <v>144</v>
      </c>
      <c r="B433" s="6">
        <f>INDEX('vehicles specifications'!$B$3:$CK$86,MATCH(B414,'vehicles specifications'!$A$3:$A$86,0),MATCH("Lightweighting rate [%]",'vehicles specifications'!$B$2:$CK$2,0))</f>
        <v>0.05</v>
      </c>
    </row>
    <row r="434" spans="1:8" x14ac:dyDescent="0.3">
      <c r="A434" t="s">
        <v>84</v>
      </c>
      <c r="B434" s="21" t="str">
        <f>"Power: "&amp;B425&amp;" kW. Lifetime: "&amp;B419&amp;" km. Annual kilometers: "&amp;B423&amp;" km. Number of passengers: "&amp;B420&amp;". Curb mass: "&amp;ROUND(B424,1)&amp;" kg. Lightweighting of glider: "&amp;ROUND(B433*100,0)&amp;"%. Emission standard: "&amp;B432&amp;". Service visits throughout lifetime: "&amp;ROUND(B421,1)&amp;". Range: "&amp;ROUND(B431,0)&amp;" km. Battery capacity: "&amp;ROUND(B427,1)&amp;" kWh. Available battery capacity: "&amp;B428&amp;" kWh. Battery mass: "&amp;ROUND(B426,1)&amp; " kg. Battery replacement throughout lifetime: "&amp;ROUND(B422,1)&amp;". Fuel tank capacity: "&amp;ROUND(B429,1)&amp;" kWh. Fuel mass: "&amp;ROUND(B430,1)&amp;" kg. Documentation: "&amp;Readmefirst!$B$2&amp;", "&amp;Readmefirst!$B$3&amp;". "&amp;B418</f>
        <v>Power: 6.1 kW. Lifetime: 39800 km. Annual kilometers: 2731 km. Number of passengers: 1. Curb mass: 130.4 kg. Lightweighting of glider: 5%. Emission standard: None. Service visits throughout lifetime: 1. Range: 125 km. Battery capacity: 8.2 kWh. Available battery capacity: 6.56 kWh. Battery mass: 24.6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35" spans="1:8" ht="15.6" x14ac:dyDescent="0.3">
      <c r="A435" s="11" t="s">
        <v>80</v>
      </c>
    </row>
    <row r="436" spans="1:8" x14ac:dyDescent="0.3">
      <c r="A436" t="s">
        <v>81</v>
      </c>
      <c r="B436" t="s">
        <v>82</v>
      </c>
      <c r="C436" t="s">
        <v>73</v>
      </c>
      <c r="D436" t="s">
        <v>77</v>
      </c>
      <c r="E436" t="s">
        <v>83</v>
      </c>
      <c r="F436" t="s">
        <v>75</v>
      </c>
      <c r="G436" t="s">
        <v>84</v>
      </c>
      <c r="H436" t="s">
        <v>74</v>
      </c>
    </row>
    <row r="437" spans="1:8" x14ac:dyDescent="0.3">
      <c r="A437" s="12" t="str">
        <f>B409</f>
        <v>transport, Scooter, electric, 4-11kW, 2040, label-certified electricity</v>
      </c>
      <c r="B437" s="12">
        <v>1</v>
      </c>
      <c r="C437" s="12" t="str">
        <f>B410</f>
        <v>CH</v>
      </c>
      <c r="D437" s="12" t="s">
        <v>172</v>
      </c>
      <c r="E437" s="12"/>
      <c r="F437" s="12" t="s">
        <v>85</v>
      </c>
      <c r="G437" s="12" t="s">
        <v>86</v>
      </c>
      <c r="H437" s="12" t="str">
        <f>B415</f>
        <v>transport, Scooter, electric, 4-11kW</v>
      </c>
    </row>
    <row r="438" spans="1:8" x14ac:dyDescent="0.3">
      <c r="A438" s="12" t="str">
        <f>B411&amp;", "&amp;B413</f>
        <v>Scooter, electric, 4-11kW, 2040</v>
      </c>
      <c r="B438" s="12">
        <f>1/B419</f>
        <v>2.5125628140703518E-5</v>
      </c>
      <c r="C438" s="12" t="str">
        <f>B410</f>
        <v>CH</v>
      </c>
      <c r="D438" s="12" t="s">
        <v>77</v>
      </c>
      <c r="E438" s="12"/>
      <c r="F438" s="12" t="s">
        <v>91</v>
      </c>
      <c r="G438" s="12"/>
      <c r="H438" s="12" t="str">
        <f>RIGHT(H437,LEN(H437)-11)</f>
        <v>Scooter, electric, 4-11kW</v>
      </c>
    </row>
    <row r="439" spans="1:8" s="21" customFormat="1" x14ac:dyDescent="0.3">
      <c r="A439" s="12" t="str">
        <f>INDEX('ei names mapping'!$B$4:$R$33,MATCH(B411,'ei names mapping'!$A$4:$A$33,0),MATCH(G439,'ei names mapping'!$B$3:$R$3,0))</f>
        <v>road construction</v>
      </c>
      <c r="B439" s="16">
        <f>INDEX('vehicles specifications'!$B$3:$CK$86,MATCH(B414,'vehicles specifications'!$A$3:$A$86,0),MATCH(G439,'vehicles specifications'!$B$2:$CK$2,0))*INDEX('ei names mapping'!$B$137:$BK$220,MATCH(B414,'ei names mapping'!$A$137:$A$220,0),MATCH(G439,'ei names mapping'!$B$136:$BK$136,0))</f>
        <v>1.0976279999999999E-4</v>
      </c>
      <c r="C439" s="12" t="str">
        <f>INDEX('ei names mapping'!$B$38:$R$67,MATCH(B411,'ei names mapping'!$A$4:$A$33,0),MATCH(G439,'ei names mapping'!$B$3:$R$3,0))</f>
        <v>CH</v>
      </c>
      <c r="D439" s="12" t="str">
        <f>INDEX('ei names mapping'!$B$104:$BK$133,MATCH(B411,'ei names mapping'!$A$4:$A$33,0),MATCH(G439,'ei names mapping'!$B$3:$BK$3,0))</f>
        <v>meter-year</v>
      </c>
      <c r="E439" s="12"/>
      <c r="F439" s="12" t="s">
        <v>91</v>
      </c>
      <c r="G439" s="21" t="s">
        <v>108</v>
      </c>
      <c r="H439" s="12" t="str">
        <f>INDEX('ei names mapping'!$B$71:$BK$100,MATCH(B411,'ei names mapping'!$A$4:$A$33,0),MATCH(G439,'ei names mapping'!$B$3:$BK$3,0))</f>
        <v>road</v>
      </c>
    </row>
    <row r="440" spans="1:8" x14ac:dyDescent="0.3">
      <c r="A440" s="12" t="str">
        <f>INDEX('ei names mapping'!$B$4:$R$33,MATCH(B411,'ei names mapping'!$A$4:$A$33,0),MATCH(G440,'ei names mapping'!$B$3:$R$3,0))</f>
        <v>road maintenance</v>
      </c>
      <c r="B440" s="16">
        <f>INDEX('vehicles specifications'!$B$3:$CK$86,MATCH(B414,'vehicles specifications'!$A$3:$A$86,0),MATCH(G440,'vehicles specifications'!$B$2:$CK$2,0))*INDEX('ei names mapping'!$B$137:$BK$220,MATCH(B414,'ei names mapping'!$A$137:$A$220,0),MATCH(G440,'ei names mapping'!$B$136:$BK$136,0))</f>
        <v>1.2899999999999999E-3</v>
      </c>
      <c r="C440" s="12" t="str">
        <f>INDEX('ei names mapping'!$B$38:$R$67,MATCH(B411,'ei names mapping'!$A$4:$A$33,0),MATCH(G440,'ei names mapping'!$B$3:$R$3,0))</f>
        <v>CH</v>
      </c>
      <c r="D440" s="12" t="str">
        <f>INDEX('ei names mapping'!$B$104:$BK$133,MATCH(B411,'ei names mapping'!$A$4:$A$33,0),MATCH(G440,'ei names mapping'!$B$3:$BK$3,0))</f>
        <v>meter-year</v>
      </c>
      <c r="E440" s="12"/>
      <c r="F440" s="12" t="s">
        <v>91</v>
      </c>
      <c r="G440" t="s">
        <v>117</v>
      </c>
      <c r="H440" s="12" t="str">
        <f>INDEX('ei names mapping'!$B$71:$BK$100,MATCH(B411,'ei names mapping'!$A$4:$A$33,0),MATCH(G440,'ei names mapping'!$B$3:$BK$3,0))</f>
        <v>road maintenance</v>
      </c>
    </row>
    <row r="441" spans="1:8" x14ac:dyDescent="0.3">
      <c r="A441" s="12" t="s">
        <v>114</v>
      </c>
      <c r="B441" s="14">
        <f>INDEX('vehicles specifications'!$B$3:$CK$86,MATCH(B414,'vehicles specifications'!$A$3:$A$86,0),MATCH(G441,'vehicles specifications'!$B$2:$CK$2,0))*INDEX('ei names mapping'!$B$137:$BK$220,MATCH(B414,'ei names mapping'!$A$137:$A$220,0),MATCH(G441,'ei names mapping'!$B$136:$BK$136,0))</f>
        <v>5.7876793809010993E-2</v>
      </c>
      <c r="C441" s="12" t="str">
        <f>INDEX('ei names mapping'!$B$38:$R$67,MATCH($B$3,'ei names mapping'!$A$4:$A$33,0),MATCH(G441,'ei names mapping'!$B$3:$R$3,0))</f>
        <v>CH</v>
      </c>
      <c r="D441" s="12" t="str">
        <f>INDEX('ei names mapping'!$B$104:$R$133,MATCH($B$3,'ei names mapping'!$A$4:$A$33,0),MATCH(G441,'ei names mapping'!$B$3:$R$3,0))</f>
        <v>kilowatt hour</v>
      </c>
      <c r="E441" s="12"/>
      <c r="F441" s="12" t="s">
        <v>91</v>
      </c>
      <c r="G441" t="s">
        <v>28</v>
      </c>
      <c r="H441" s="12" t="s">
        <v>116</v>
      </c>
    </row>
    <row r="442" spans="1:8" x14ac:dyDescent="0.3">
      <c r="A442" s="12" t="str">
        <f>INDEX('ei names mapping'!$B$4:$R$33,MATCH(B411,'ei names mapping'!$A$4:$A$33,0),MATCH(G442,'ei names mapping'!$B$3:$R$3,0))</f>
        <v>market for maintenance, electric scooter, without battery</v>
      </c>
      <c r="B442" s="16">
        <f>INDEX('vehicles specifications'!$B$3:$CK$86,MATCH(B414,'vehicles specifications'!$A$3:$A$86,0),MATCH(G442,'vehicles specifications'!$B$2:$CK$2,0))*INDEX('ei names mapping'!$B$137:$BK$220,MATCH(B414,'ei names mapping'!$A$137:$A$220,0),MATCH(G442,'ei names mapping'!$B$136:$BK$136,0))</f>
        <v>2.5125628140703518E-5</v>
      </c>
      <c r="C442" s="12" t="str">
        <f>INDEX('ei names mapping'!$B$38:$BK$67,MATCH(B411,'ei names mapping'!$A$4:$A$33,0),MATCH(G442,'ei names mapping'!$B$3:$BK$3,0))</f>
        <v>GLO</v>
      </c>
      <c r="D442" s="12" t="str">
        <f>INDEX('ei names mapping'!$B$104:$BK$133,MATCH(B411,'ei names mapping'!$A$4:$A$33,0),MATCH(G442,'ei names mapping'!$B$3:$BK$3,0))</f>
        <v>unit</v>
      </c>
      <c r="F442" s="12" t="s">
        <v>91</v>
      </c>
      <c r="G442" s="12" t="s">
        <v>123</v>
      </c>
      <c r="H442" s="12" t="str">
        <f>INDEX('ei names mapping'!$B$71:$BK$100,MATCH(B411,'ei names mapping'!$A$4:$A$33,0),MATCH(G442,'ei names mapping'!$B$3:$BK$3,0))</f>
        <v>maintenance, electric scooter, without battery</v>
      </c>
    </row>
    <row r="443" spans="1:8" x14ac:dyDescent="0.3">
      <c r="A443" s="12" t="str">
        <f>INDEX('ei names mapping'!$B$4:$BK$33,MATCH(B411,'ei names mapping'!$A$4:$A$33,0),MATCH(G443,'ei names mapping'!$B$3:$BK$3,0))</f>
        <v>treatment of road wear emissions, passenger car</v>
      </c>
      <c r="B443" s="16">
        <f>INDEX('vehicles specifications'!$B$3:$CK$86,MATCH(B414,'vehicles specifications'!$A$3:$A$86,0),MATCH(G443,'vehicles specifications'!$B$2:$CK$2,0))*INDEX('ei names mapping'!$B$137:$BK$220,MATCH(B414,'ei names mapping'!$A$137:$A$220,0),MATCH(G443,'ei names mapping'!$B$136:$BK$136,0))</f>
        <v>-6.0000000000000002E-6</v>
      </c>
      <c r="C443" s="12" t="str">
        <f>INDEX('ei names mapping'!$B$38:$BK$67,MATCH(B411,'ei names mapping'!$A$4:$A$33,0),MATCH(G443,'ei names mapping'!$B$3:$BK$3,0))</f>
        <v>RER</v>
      </c>
      <c r="D443" s="12" t="str">
        <f>INDEX('ei names mapping'!$B$104:$BK$133,MATCH(B411,'ei names mapping'!$A$4:$A$33,0),MATCH(G443,'ei names mapping'!$B$3:$BK$3,0))</f>
        <v>kilogram</v>
      </c>
      <c r="E443" s="12"/>
      <c r="F443" s="12" t="s">
        <v>91</v>
      </c>
      <c r="G443" t="s">
        <v>29</v>
      </c>
      <c r="H443" s="12" t="str">
        <f>INDEX('ei names mapping'!$B$71:$BK$100,MATCH(B411,'ei names mapping'!$A$4:$A$33,0),MATCH(G443,'ei names mapping'!$B$3:$BK$3,0))</f>
        <v>road wear emissions, passenger car</v>
      </c>
    </row>
    <row r="444" spans="1:8" x14ac:dyDescent="0.3">
      <c r="A444" s="12" t="str">
        <f>INDEX('ei names mapping'!$B$4:$BK$33,MATCH(B411,'ei names mapping'!$A$4:$A$33,0),MATCH(G444,'ei names mapping'!$B$3:$BK$3,0))</f>
        <v>treatment of tyre wear emissions, passenger car</v>
      </c>
      <c r="B444" s="16">
        <f>INDEX('vehicles specifications'!$B$3:$CK$86,MATCH(B414,'vehicles specifications'!$A$3:$A$86,0),MATCH(G444,'vehicles specifications'!$B$2:$CK$2,0))*INDEX('ei names mapping'!$B$137:$BK$220,MATCH(B414,'ei names mapping'!$A$137:$A$220,0),MATCH(G444,'ei names mapping'!$B$136:$BK$136,0))</f>
        <v>-6.3939999999999993E-6</v>
      </c>
      <c r="C444" s="12" t="str">
        <f>INDEX('ei names mapping'!$B$38:$BK$67,MATCH(B411,'ei names mapping'!$A$4:$A$33,0),MATCH(G444,'ei names mapping'!$B$3:$BK$3,0))</f>
        <v>RER</v>
      </c>
      <c r="D444" s="12" t="str">
        <f>INDEX('ei names mapping'!$B$104:$BK$133,MATCH(B411,'ei names mapping'!$A$4:$A$33,0),MATCH(G444,'ei names mapping'!$B$3:$BK$3,0))</f>
        <v>kilogram</v>
      </c>
      <c r="E444" s="12"/>
      <c r="F444" s="12" t="s">
        <v>91</v>
      </c>
      <c r="G444" t="s">
        <v>30</v>
      </c>
      <c r="H444" s="12" t="str">
        <f>INDEX('ei names mapping'!$B$71:$BK$100,MATCH(B411,'ei names mapping'!$A$4:$A$33,0),MATCH(G444,'ei names mapping'!$B$3:$BK$3,0))</f>
        <v>tyre wear emissions, passenger car</v>
      </c>
    </row>
    <row r="445" spans="1:8" x14ac:dyDescent="0.3">
      <c r="A445" s="12" t="str">
        <f>INDEX('ei names mapping'!$B$4:$BK$33,MATCH(B411,'ei names mapping'!$A$4:$A$33,0),MATCH(G445,'ei names mapping'!$B$3:$BK$3,0))</f>
        <v>treatment of brake wear emissions, passenger car</v>
      </c>
      <c r="B445" s="16">
        <f>INDEX('vehicles specifications'!$B$3:$CK$86,MATCH(B414,'vehicles specifications'!$A$3:$A$86,0),MATCH(G445,'vehicles specifications'!$B$2:$CK$2,0))*INDEX('ei names mapping'!$B$137:$BK$220,MATCH(B414,'ei names mapping'!$A$137:$A$220,0),MATCH(G445,'ei names mapping'!$B$136:$BK$136,0))</f>
        <v>-3.0894999999999998E-6</v>
      </c>
      <c r="C445" s="12" t="str">
        <f>INDEX('ei names mapping'!$B$38:$BK$67,MATCH(B411,'ei names mapping'!$A$4:$A$33,0),MATCH(G445,'ei names mapping'!$B$3:$BK$3,0))</f>
        <v>RER</v>
      </c>
      <c r="D445" s="12" t="str">
        <f>INDEX('ei names mapping'!$B$104:$BK$133,MATCH(B411,'ei names mapping'!$A$4:$A$33,0),MATCH(G445,'ei names mapping'!$B$3:$BK$3,0))</f>
        <v>kilogram</v>
      </c>
      <c r="E445" s="12"/>
      <c r="F445" s="12" t="s">
        <v>91</v>
      </c>
      <c r="G445" t="s">
        <v>31</v>
      </c>
      <c r="H445" s="12" t="str">
        <f>INDEX('ei names mapping'!$B$71:$BK$100,MATCH(B411,'ei names mapping'!$A$4:$A$33,0),MATCH(G445,'ei names mapping'!$B$3:$BK$3,0))</f>
        <v>brake wear emissions, passenger car</v>
      </c>
    </row>
    <row r="447" spans="1:8" ht="15.6" x14ac:dyDescent="0.3">
      <c r="A447" s="11" t="s">
        <v>72</v>
      </c>
      <c r="B447" s="9" t="str">
        <f>"transport, "&amp;B449&amp;", "&amp;B451&amp;", label-certified electricity"</f>
        <v>transport, Scooter, electric, 4-11kW, 2050, label-certified electricity</v>
      </c>
    </row>
    <row r="448" spans="1:8" x14ac:dyDescent="0.3">
      <c r="A448" t="s">
        <v>73</v>
      </c>
      <c r="B448" t="s">
        <v>37</v>
      </c>
    </row>
    <row r="449" spans="1:2" x14ac:dyDescent="0.3">
      <c r="A449" t="s">
        <v>87</v>
      </c>
      <c r="B449" s="21" t="s">
        <v>631</v>
      </c>
    </row>
    <row r="450" spans="1:2" x14ac:dyDescent="0.3">
      <c r="A450" t="s">
        <v>88</v>
      </c>
      <c r="B450" s="12"/>
    </row>
    <row r="451" spans="1:2" x14ac:dyDescent="0.3">
      <c r="A451" t="s">
        <v>89</v>
      </c>
      <c r="B451" s="12">
        <v>2050</v>
      </c>
    </row>
    <row r="452" spans="1:2" x14ac:dyDescent="0.3">
      <c r="A452" t="s">
        <v>131</v>
      </c>
      <c r="B452" s="12" t="str">
        <f>B449&amp;" - "&amp;B451&amp;" - "&amp;B448</f>
        <v>Scooter, electric, 4-11kW - 2050 - CH</v>
      </c>
    </row>
    <row r="453" spans="1:2" x14ac:dyDescent="0.3">
      <c r="A453" t="s">
        <v>74</v>
      </c>
      <c r="B453" s="12" t="str">
        <f>"transport, "&amp;B449</f>
        <v>transport, Scooter, electric, 4-11kW</v>
      </c>
    </row>
    <row r="454" spans="1:2" x14ac:dyDescent="0.3">
      <c r="A454" t="s">
        <v>75</v>
      </c>
      <c r="B454" t="s">
        <v>76</v>
      </c>
    </row>
    <row r="455" spans="1:2" x14ac:dyDescent="0.3">
      <c r="A455" t="s">
        <v>77</v>
      </c>
      <c r="B455" t="s">
        <v>172</v>
      </c>
    </row>
    <row r="456" spans="1:2" x14ac:dyDescent="0.3">
      <c r="A456" t="s">
        <v>79</v>
      </c>
      <c r="B456" t="s">
        <v>90</v>
      </c>
    </row>
    <row r="457" spans="1:2" x14ac:dyDescent="0.3">
      <c r="A457" t="s">
        <v>132</v>
      </c>
      <c r="B457">
        <f>INDEX('vehicles specifications'!$B$3:$CK$86,MATCH(B452,'vehicles specifications'!$A$3:$A$86,0),MATCH("Lifetime [km]",'vehicles specifications'!$B$2:$CK$2,0))</f>
        <v>39800</v>
      </c>
    </row>
    <row r="458" spans="1:2" x14ac:dyDescent="0.3">
      <c r="A458" t="s">
        <v>133</v>
      </c>
      <c r="B458">
        <f>INDEX('vehicles specifications'!$B$3:$CK$86,MATCH(B452,'vehicles specifications'!$A$3:$A$86,0),MATCH("Passengers [unit]",'vehicles specifications'!$B$2:$CK$2,0))</f>
        <v>1</v>
      </c>
    </row>
    <row r="459" spans="1:2" x14ac:dyDescent="0.3">
      <c r="A459" t="s">
        <v>134</v>
      </c>
      <c r="B459">
        <f>INDEX('vehicles specifications'!$B$3:$CK$86,MATCH(B452,'vehicles specifications'!$A$3:$A$86,0),MATCH("Servicing [unit]",'vehicles specifications'!$B$2:$CK$2,0))</f>
        <v>1</v>
      </c>
    </row>
    <row r="460" spans="1:2" x14ac:dyDescent="0.3">
      <c r="A460" t="s">
        <v>135</v>
      </c>
      <c r="B460">
        <f>INDEX('vehicles specifications'!$B$3:$CK$86,MATCH(B452,'vehicles specifications'!$A$3:$A$86,0),MATCH("Energy battery replacement [unit]",'vehicles specifications'!$B$2:$CK$2,0))</f>
        <v>0</v>
      </c>
    </row>
    <row r="461" spans="1:2" x14ac:dyDescent="0.3">
      <c r="A461" t="s">
        <v>136</v>
      </c>
      <c r="B461">
        <f>INDEX('vehicles specifications'!$B$3:$CK$86,MATCH(B452,'vehicles specifications'!$A$3:$A$86,0),MATCH("Annual kilometers [km]",'vehicles specifications'!$B$2:$CK$2,0))</f>
        <v>2731</v>
      </c>
    </row>
    <row r="462" spans="1:2" x14ac:dyDescent="0.3">
      <c r="A462" t="s">
        <v>137</v>
      </c>
      <c r="B462" s="2">
        <f>INDEX('vehicles specifications'!$B$3:$CK$86,MATCH(B452,'vehicles specifications'!$A$3:$A$86,0),MATCH("Curb mass [kg]",'vehicles specifications'!$B$2:$CK$2,0))</f>
        <v>130.04</v>
      </c>
    </row>
    <row r="463" spans="1:2" x14ac:dyDescent="0.3">
      <c r="A463" t="s">
        <v>138</v>
      </c>
      <c r="B463">
        <f>INDEX('vehicles specifications'!$B$3:$CK$86,MATCH(B452,'vehicles specifications'!$A$3:$A$86,0),MATCH("Power [kW]",'vehicles specifications'!$B$2:$CK$2,0))</f>
        <v>6.1</v>
      </c>
    </row>
    <row r="464" spans="1:2" x14ac:dyDescent="0.3">
      <c r="A464" t="s">
        <v>139</v>
      </c>
      <c r="B464">
        <f>INDEX('vehicles specifications'!$B$3:$CK$86,MATCH(B452,'vehicles specifications'!$A$3:$A$86,0),MATCH("Energy battery mass [kg]",'vehicles specifications'!$B$2:$CK$2,0))</f>
        <v>25.92</v>
      </c>
    </row>
    <row r="465" spans="1:8" x14ac:dyDescent="0.3">
      <c r="A465" t="s">
        <v>140</v>
      </c>
      <c r="B465">
        <f>INDEX('vehicles specifications'!$B$3:$CK$86,MATCH(B452,'vehicles specifications'!$A$3:$A$86,0),MATCH("Electric energy stored [kWh]",'vehicles specifications'!$B$2:$CK$2,0))</f>
        <v>10.8</v>
      </c>
    </row>
    <row r="466" spans="1:8" s="21" customFormat="1" x14ac:dyDescent="0.3">
      <c r="A466" s="21" t="s">
        <v>654</v>
      </c>
      <c r="B466" s="21">
        <f>INDEX('vehicles specifications'!$B$3:$CK$86,MATCH(B452,'vehicles specifications'!$A$3:$A$86,0),MATCH("Electric energy available [kWh]",'vehicles specifications'!$B$2:$CK$2,0))</f>
        <v>8.64</v>
      </c>
    </row>
    <row r="467" spans="1:8" x14ac:dyDescent="0.3">
      <c r="A467" t="s">
        <v>143</v>
      </c>
      <c r="B467" s="2">
        <f>INDEX('vehicles specifications'!$B$3:$CK$86,MATCH(B452,'vehicles specifications'!$A$3:$A$86,0),MATCH("Oxydation energy stored [kWh]",'vehicles specifications'!$B$2:$CK$2,0))</f>
        <v>0</v>
      </c>
    </row>
    <row r="468" spans="1:8" x14ac:dyDescent="0.3">
      <c r="A468" t="s">
        <v>145</v>
      </c>
      <c r="B468">
        <f>INDEX('vehicles specifications'!$B$3:$CK$86,MATCH(B452,'vehicles specifications'!$A$3:$A$86,0),MATCH("Fuel mass [kg]",'vehicles specifications'!$B$2:$CK$2,0))</f>
        <v>0</v>
      </c>
    </row>
    <row r="469" spans="1:8" x14ac:dyDescent="0.3">
      <c r="A469" t="s">
        <v>141</v>
      </c>
      <c r="B469" s="2">
        <f>INDEX('vehicles specifications'!$B$3:$CK$86,MATCH(B452,'vehicles specifications'!$A$3:$A$86,0),MATCH("Range [km]",'vehicles specifications'!$B$2:$CK$2,0))</f>
        <v>164.21089308026419</v>
      </c>
    </row>
    <row r="470" spans="1:8" x14ac:dyDescent="0.3">
      <c r="A470" t="s">
        <v>142</v>
      </c>
      <c r="B470" t="str">
        <f>INDEX('vehicles specifications'!$B$3:$CK$86,MATCH(B452,'vehicles specifications'!$A$3:$A$86,0),MATCH("Emission standard",'vehicles specifications'!$B$2:$CK$2,0))</f>
        <v>None</v>
      </c>
    </row>
    <row r="471" spans="1:8" x14ac:dyDescent="0.3">
      <c r="A471" t="s">
        <v>144</v>
      </c>
      <c r="B471" s="6">
        <f>INDEX('vehicles specifications'!$B$3:$CK$86,MATCH(B452,'vehicles specifications'!$A$3:$A$86,0),MATCH("Lightweighting rate [%]",'vehicles specifications'!$B$2:$CK$2,0))</f>
        <v>7.0000000000000007E-2</v>
      </c>
    </row>
    <row r="472" spans="1:8" x14ac:dyDescent="0.3">
      <c r="A472" t="s">
        <v>84</v>
      </c>
      <c r="B472" s="21" t="str">
        <f>"Power: "&amp;B463&amp;" kW. Lifetime: "&amp;B457&amp;" km. Annual kilometers: "&amp;B461&amp;" km. Number of passengers: "&amp;B458&amp;". Curb mass: "&amp;ROUND(B462,1)&amp;" kg. Lightweighting of glider: "&amp;ROUND(B471*100,0)&amp;"%. Emission standard: "&amp;B470&amp;". Service visits throughout lifetime: "&amp;ROUND(B459,1)&amp;". Range: "&amp;ROUND(B469,0)&amp;" km. Battery capacity: "&amp;ROUND(B465,1)&amp;" kWh. Available battery capacity: "&amp;B466&amp;" kWh. Battery mass: "&amp;ROUND(B464,1)&amp; " kg. Battery replacement throughout lifetime: "&amp;ROUND(B460,1)&amp;". Fuel tank capacity: "&amp;ROUND(B467,1)&amp;" kWh. Fuel mass: "&amp;ROUND(B468,1)&amp;" kg. Documentation: "&amp;Readmefirst!$B$2&amp;", "&amp;Readmefirst!$B$3&amp;". "&amp;B456</f>
        <v>Power: 6.1 kW. Lifetime: 39800 km. Annual kilometers: 2731 km. Number of passengers: 1. Curb mass: 130 kg. Lightweighting of glider: 7%. Emission standard: None. Service visits throughout lifetime: 1. Range: 164 km. Battery capacity: 10.8 kWh. Available battery capacity: 8.64 kWh. Battery mass: 25.9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73" spans="1:8" ht="15.6" x14ac:dyDescent="0.3">
      <c r="A473" s="11" t="s">
        <v>80</v>
      </c>
    </row>
    <row r="474" spans="1:8" x14ac:dyDescent="0.3">
      <c r="A474" t="s">
        <v>81</v>
      </c>
      <c r="B474" t="s">
        <v>82</v>
      </c>
      <c r="C474" t="s">
        <v>73</v>
      </c>
      <c r="D474" t="s">
        <v>77</v>
      </c>
      <c r="E474" t="s">
        <v>83</v>
      </c>
      <c r="F474" t="s">
        <v>75</v>
      </c>
      <c r="G474" t="s">
        <v>84</v>
      </c>
      <c r="H474" t="s">
        <v>74</v>
      </c>
    </row>
    <row r="475" spans="1:8" x14ac:dyDescent="0.3">
      <c r="A475" s="12" t="str">
        <f>B447</f>
        <v>transport, Scooter, electric, 4-11kW, 2050, label-certified electricity</v>
      </c>
      <c r="B475" s="12">
        <v>1</v>
      </c>
      <c r="C475" s="12" t="str">
        <f>B448</f>
        <v>CH</v>
      </c>
      <c r="D475" s="12" t="s">
        <v>172</v>
      </c>
      <c r="E475" s="12"/>
      <c r="F475" s="12" t="s">
        <v>85</v>
      </c>
      <c r="G475" s="12" t="s">
        <v>86</v>
      </c>
      <c r="H475" s="12" t="str">
        <f>B453</f>
        <v>transport, Scooter, electric, 4-11kW</v>
      </c>
    </row>
    <row r="476" spans="1:8" x14ac:dyDescent="0.3">
      <c r="A476" s="12" t="str">
        <f>B449&amp;", "&amp;B451</f>
        <v>Scooter, electric, 4-11kW, 2050</v>
      </c>
      <c r="B476" s="12">
        <f>1/B457</f>
        <v>2.5125628140703518E-5</v>
      </c>
      <c r="C476" s="12" t="str">
        <f>B448</f>
        <v>CH</v>
      </c>
      <c r="D476" s="12" t="s">
        <v>77</v>
      </c>
      <c r="E476" s="12"/>
      <c r="F476" s="12" t="s">
        <v>91</v>
      </c>
      <c r="G476" s="12"/>
      <c r="H476" s="12" t="str">
        <f>RIGHT(H475,LEN(H475)-11)</f>
        <v>Scooter, electric, 4-11kW</v>
      </c>
    </row>
    <row r="477" spans="1:8" s="21" customFormat="1" x14ac:dyDescent="0.3">
      <c r="A477" s="12" t="str">
        <f>INDEX('ei names mapping'!$B$4:$R$33,MATCH(B449,'ei names mapping'!$A$4:$A$33,0),MATCH(G477,'ei names mapping'!$B$3:$R$3,0))</f>
        <v>road construction</v>
      </c>
      <c r="B477" s="16">
        <f>INDEX('vehicles specifications'!$B$3:$CK$86,MATCH(B452,'vehicles specifications'!$A$3:$A$86,0),MATCH(G477,'vehicles specifications'!$B$2:$CK$2,0))*INDEX('ei names mapping'!$B$137:$BK$220,MATCH(B452,'ei names mapping'!$A$137:$A$220,0),MATCH(G477,'ei names mapping'!$B$136:$BK$136,0))</f>
        <v>1.0956948E-4</v>
      </c>
      <c r="C477" s="12" t="str">
        <f>INDEX('ei names mapping'!$B$38:$R$67,MATCH(B449,'ei names mapping'!$A$4:$A$33,0),MATCH(G477,'ei names mapping'!$B$3:$R$3,0))</f>
        <v>CH</v>
      </c>
      <c r="D477" s="12" t="str">
        <f>INDEX('ei names mapping'!$B$104:$BK$133,MATCH(B449,'ei names mapping'!$A$4:$A$33,0),MATCH(G477,'ei names mapping'!$B$3:$BK$3,0))</f>
        <v>meter-year</v>
      </c>
      <c r="E477" s="12"/>
      <c r="F477" s="12" t="s">
        <v>91</v>
      </c>
      <c r="G477" s="21" t="s">
        <v>108</v>
      </c>
      <c r="H477" s="12" t="str">
        <f>INDEX('ei names mapping'!$B$71:$BK$100,MATCH(B449,'ei names mapping'!$A$4:$A$33,0),MATCH(G477,'ei names mapping'!$B$3:$BK$3,0))</f>
        <v>road</v>
      </c>
    </row>
    <row r="478" spans="1:8" x14ac:dyDescent="0.3">
      <c r="A478" s="12" t="str">
        <f>INDEX('ei names mapping'!$B$4:$R$33,MATCH(B449,'ei names mapping'!$A$4:$A$33,0),MATCH(G478,'ei names mapping'!$B$3:$R$3,0))</f>
        <v>road maintenance</v>
      </c>
      <c r="B478" s="16">
        <f>INDEX('vehicles specifications'!$B$3:$CK$86,MATCH(B452,'vehicles specifications'!$A$3:$A$86,0),MATCH(G478,'vehicles specifications'!$B$2:$CK$2,0))*INDEX('ei names mapping'!$B$137:$BK$220,MATCH(B452,'ei names mapping'!$A$137:$A$220,0),MATCH(G478,'ei names mapping'!$B$136:$BK$136,0))</f>
        <v>1.2899999999999999E-3</v>
      </c>
      <c r="C478" s="12" t="str">
        <f>INDEX('ei names mapping'!$B$38:$R$67,MATCH(B449,'ei names mapping'!$A$4:$A$33,0),MATCH(G478,'ei names mapping'!$B$3:$R$3,0))</f>
        <v>CH</v>
      </c>
      <c r="D478" s="12" t="str">
        <f>INDEX('ei names mapping'!$B$104:$BK$133,MATCH(B449,'ei names mapping'!$A$4:$A$33,0),MATCH(G478,'ei names mapping'!$B$3:$BK$3,0))</f>
        <v>meter-year</v>
      </c>
      <c r="E478" s="12"/>
      <c r="F478" s="12" t="s">
        <v>91</v>
      </c>
      <c r="G478" t="s">
        <v>117</v>
      </c>
      <c r="H478" s="12" t="str">
        <f>INDEX('ei names mapping'!$B$71:$BK$100,MATCH(B449,'ei names mapping'!$A$4:$A$33,0),MATCH(G478,'ei names mapping'!$B$3:$BK$3,0))</f>
        <v>road maintenance</v>
      </c>
    </row>
    <row r="479" spans="1:8" x14ac:dyDescent="0.3">
      <c r="A479" s="12" t="s">
        <v>114</v>
      </c>
      <c r="B479" s="14">
        <f>INDEX('vehicles specifications'!$B$3:$CK$86,MATCH(B452,'vehicles specifications'!$A$3:$A$86,0),MATCH(G479,'vehicles specifications'!$B$2:$CK$2,0))*INDEX('ei names mapping'!$B$137:$BK$220,MATCH(B452,'ei names mapping'!$A$137:$A$220,0),MATCH(G479,'ei names mapping'!$B$136:$BK$136,0))</f>
        <v>5.7876793809010993E-2</v>
      </c>
      <c r="C479" s="12" t="str">
        <f>INDEX('ei names mapping'!$B$38:$R$67,MATCH($B$3,'ei names mapping'!$A$4:$A$33,0),MATCH(G479,'ei names mapping'!$B$3:$R$3,0))</f>
        <v>CH</v>
      </c>
      <c r="D479" s="12" t="str">
        <f>INDEX('ei names mapping'!$B$104:$R$133,MATCH($B$3,'ei names mapping'!$A$4:$A$33,0),MATCH(G479,'ei names mapping'!$B$3:$R$3,0))</f>
        <v>kilowatt hour</v>
      </c>
      <c r="E479" s="12"/>
      <c r="F479" s="12" t="s">
        <v>91</v>
      </c>
      <c r="G479" t="s">
        <v>28</v>
      </c>
      <c r="H479" s="12" t="s">
        <v>116</v>
      </c>
    </row>
    <row r="480" spans="1:8" x14ac:dyDescent="0.3">
      <c r="A480" s="12" t="str">
        <f>INDEX('ei names mapping'!$B$4:$R$33,MATCH(B449,'ei names mapping'!$A$4:$A$33,0),MATCH(G480,'ei names mapping'!$B$3:$R$3,0))</f>
        <v>market for maintenance, electric scooter, without battery</v>
      </c>
      <c r="B480" s="16">
        <f>INDEX('vehicles specifications'!$B$3:$CK$86,MATCH(B452,'vehicles specifications'!$A$3:$A$86,0),MATCH(G480,'vehicles specifications'!$B$2:$CK$2,0))*INDEX('ei names mapping'!$B$137:$BK$220,MATCH(B452,'ei names mapping'!$A$137:$A$220,0),MATCH(G480,'ei names mapping'!$B$136:$BK$136,0))</f>
        <v>2.5125628140703518E-5</v>
      </c>
      <c r="C480" s="12" t="str">
        <f>INDEX('ei names mapping'!$B$38:$BK$67,MATCH(B449,'ei names mapping'!$A$4:$A$33,0),MATCH(G480,'ei names mapping'!$B$3:$BK$3,0))</f>
        <v>GLO</v>
      </c>
      <c r="D480" s="12" t="str">
        <f>INDEX('ei names mapping'!$B$104:$BK$133,MATCH(B449,'ei names mapping'!$A$4:$A$33,0),MATCH(G480,'ei names mapping'!$B$3:$BK$3,0))</f>
        <v>unit</v>
      </c>
      <c r="F480" s="12" t="s">
        <v>91</v>
      </c>
      <c r="G480" s="12" t="s">
        <v>123</v>
      </c>
      <c r="H480" s="12" t="str">
        <f>INDEX('ei names mapping'!$B$71:$BK$100,MATCH(B449,'ei names mapping'!$A$4:$A$33,0),MATCH(G480,'ei names mapping'!$B$3:$BK$3,0))</f>
        <v>maintenance, electric scooter, without battery</v>
      </c>
    </row>
    <row r="481" spans="1:8" x14ac:dyDescent="0.3">
      <c r="A481" s="12" t="str">
        <f>INDEX('ei names mapping'!$B$4:$BK$33,MATCH(B449,'ei names mapping'!$A$4:$A$33,0),MATCH(G481,'ei names mapping'!$B$3:$BK$3,0))</f>
        <v>treatment of road wear emissions, passenger car</v>
      </c>
      <c r="B481" s="16">
        <f>INDEX('vehicles specifications'!$B$3:$CK$86,MATCH(B452,'vehicles specifications'!$A$3:$A$86,0),MATCH(G481,'vehicles specifications'!$B$2:$CK$2,0))*INDEX('ei names mapping'!$B$137:$BK$220,MATCH(B452,'ei names mapping'!$A$137:$A$220,0),MATCH(G481,'ei names mapping'!$B$136:$BK$136,0))</f>
        <v>-6.0000000000000002E-6</v>
      </c>
      <c r="C481" s="12" t="str">
        <f>INDEX('ei names mapping'!$B$38:$BK$67,MATCH(B449,'ei names mapping'!$A$4:$A$33,0),MATCH(G481,'ei names mapping'!$B$3:$BK$3,0))</f>
        <v>RER</v>
      </c>
      <c r="D481" s="12" t="str">
        <f>INDEX('ei names mapping'!$B$104:$BK$133,MATCH(B449,'ei names mapping'!$A$4:$A$33,0),MATCH(G481,'ei names mapping'!$B$3:$BK$3,0))</f>
        <v>kilogram</v>
      </c>
      <c r="E481" s="12"/>
      <c r="F481" s="12" t="s">
        <v>91</v>
      </c>
      <c r="G481" t="s">
        <v>29</v>
      </c>
      <c r="H481" s="12" t="str">
        <f>INDEX('ei names mapping'!$B$71:$BK$100,MATCH(B449,'ei names mapping'!$A$4:$A$33,0),MATCH(G481,'ei names mapping'!$B$3:$BK$3,0))</f>
        <v>road wear emissions, passenger car</v>
      </c>
    </row>
    <row r="482" spans="1:8" x14ac:dyDescent="0.3">
      <c r="A482" s="12" t="str">
        <f>INDEX('ei names mapping'!$B$4:$BK$33,MATCH(B449,'ei names mapping'!$A$4:$A$33,0),MATCH(G482,'ei names mapping'!$B$3:$BK$3,0))</f>
        <v>treatment of tyre wear emissions, passenger car</v>
      </c>
      <c r="B482" s="16">
        <f>INDEX('vehicles specifications'!$B$3:$CK$86,MATCH(B452,'vehicles specifications'!$A$3:$A$86,0),MATCH(G482,'vehicles specifications'!$B$2:$CK$2,0))*INDEX('ei names mapping'!$B$137:$BK$220,MATCH(B452,'ei names mapping'!$A$137:$A$220,0),MATCH(G482,'ei names mapping'!$B$136:$BK$136,0))</f>
        <v>-6.3939999999999993E-6</v>
      </c>
      <c r="C482" s="12" t="str">
        <f>INDEX('ei names mapping'!$B$38:$BK$67,MATCH(B449,'ei names mapping'!$A$4:$A$33,0),MATCH(G482,'ei names mapping'!$B$3:$BK$3,0))</f>
        <v>RER</v>
      </c>
      <c r="D482" s="12" t="str">
        <f>INDEX('ei names mapping'!$B$104:$BK$133,MATCH(B449,'ei names mapping'!$A$4:$A$33,0),MATCH(G482,'ei names mapping'!$B$3:$BK$3,0))</f>
        <v>kilogram</v>
      </c>
      <c r="E482" s="12"/>
      <c r="F482" s="12" t="s">
        <v>91</v>
      </c>
      <c r="G482" t="s">
        <v>30</v>
      </c>
      <c r="H482" s="12" t="str">
        <f>INDEX('ei names mapping'!$B$71:$BK$100,MATCH(B449,'ei names mapping'!$A$4:$A$33,0),MATCH(G482,'ei names mapping'!$B$3:$BK$3,0))</f>
        <v>tyre wear emissions, passenger car</v>
      </c>
    </row>
    <row r="483" spans="1:8" x14ac:dyDescent="0.3">
      <c r="A483" s="12" t="str">
        <f>INDEX('ei names mapping'!$B$4:$BK$33,MATCH(B449,'ei names mapping'!$A$4:$A$33,0),MATCH(G483,'ei names mapping'!$B$3:$BK$3,0))</f>
        <v>treatment of brake wear emissions, passenger car</v>
      </c>
      <c r="B483" s="16">
        <f>INDEX('vehicles specifications'!$B$3:$CK$86,MATCH(B452,'vehicles specifications'!$A$3:$A$86,0),MATCH(G483,'vehicles specifications'!$B$2:$CK$2,0))*INDEX('ei names mapping'!$B$137:$BK$220,MATCH(B452,'ei names mapping'!$A$137:$A$220,0),MATCH(G483,'ei names mapping'!$B$136:$BK$136,0))</f>
        <v>-3.0894999999999998E-6</v>
      </c>
      <c r="C483" s="12" t="str">
        <f>INDEX('ei names mapping'!$B$38:$BK$67,MATCH(B449,'ei names mapping'!$A$4:$A$33,0),MATCH(G483,'ei names mapping'!$B$3:$BK$3,0))</f>
        <v>RER</v>
      </c>
      <c r="D483" s="12" t="str">
        <f>INDEX('ei names mapping'!$B$104:$BK$133,MATCH(B449,'ei names mapping'!$A$4:$A$33,0),MATCH(G483,'ei names mapping'!$B$3:$BK$3,0))</f>
        <v>kilogram</v>
      </c>
      <c r="E483" s="12"/>
      <c r="F483" s="12" t="s">
        <v>91</v>
      </c>
      <c r="G483" t="s">
        <v>31</v>
      </c>
      <c r="H483" s="12" t="str">
        <f>INDEX('ei names mapping'!$B$71:$BK$100,MATCH(B449,'ei names mapping'!$A$4:$A$33,0),MATCH(G483,'ei names mapping'!$B$3:$BK$3,0))</f>
        <v>brake wear emissions, passenger car</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K87"/>
  <sheetViews>
    <sheetView tabSelected="1" workbookViewId="0">
      <pane xSplit="2" topLeftCell="C1" activePane="topRight" state="frozen"/>
      <selection pane="topRight" activeCell="I60" sqref="I60"/>
    </sheetView>
  </sheetViews>
  <sheetFormatPr defaultRowHeight="14.4" x14ac:dyDescent="0.3"/>
  <cols>
    <col min="1" max="1" width="68.5546875" customWidth="1"/>
    <col min="2" max="2" width="13.6640625" customWidth="1"/>
    <col min="3" max="3" width="4.5546875" customWidth="1"/>
    <col min="4" max="4" width="5" customWidth="1"/>
    <col min="5" max="5" width="8.109375" customWidth="1"/>
    <col min="6" max="6" width="16.33203125" customWidth="1"/>
    <col min="7" max="7" width="8.109375" customWidth="1"/>
    <col min="8" max="8" width="10" customWidth="1"/>
    <col min="9" max="9" width="16.88671875" customWidth="1"/>
    <col min="10" max="10" width="11.88671875" customWidth="1"/>
    <col min="11" max="11" width="20" customWidth="1"/>
    <col min="12" max="12" width="13.88671875" customWidth="1"/>
    <col min="13" max="13" width="14.88671875" customWidth="1"/>
    <col min="14" max="14" width="17.44140625" customWidth="1"/>
    <col min="15" max="15" width="14" customWidth="1"/>
    <col min="16" max="16" width="12.88671875" customWidth="1"/>
    <col min="17" max="17" width="14.77734375" customWidth="1"/>
    <col min="18" max="18" width="10.6640625" bestFit="1" customWidth="1"/>
    <col min="19" max="19" width="18.33203125" bestFit="1" customWidth="1"/>
    <col min="20" max="20" width="19.88671875" bestFit="1" customWidth="1"/>
    <col min="21" max="21" width="14" bestFit="1" customWidth="1"/>
    <col min="22" max="22" width="11.88671875" customWidth="1"/>
    <col min="23" max="23" width="9.44140625" customWidth="1"/>
    <col min="24" max="24" width="24.33203125" bestFit="1" customWidth="1"/>
    <col min="25" max="26" width="24.33203125" customWidth="1"/>
    <col min="27" max="27" width="24.44140625" bestFit="1" customWidth="1"/>
    <col min="28" max="28" width="24.88671875" style="3" bestFit="1" customWidth="1"/>
    <col min="29" max="29" width="21.109375" bestFit="1" customWidth="1"/>
    <col min="30" max="30" width="28.77734375" bestFit="1" customWidth="1"/>
    <col min="31" max="31" width="13.109375" bestFit="1" customWidth="1"/>
    <col min="32" max="32" width="12.44140625" bestFit="1" customWidth="1"/>
    <col min="33" max="33" width="26.77734375" bestFit="1" customWidth="1"/>
    <col min="34" max="34" width="16.5546875" bestFit="1" customWidth="1"/>
    <col min="35" max="35" width="24.5546875" bestFit="1" customWidth="1"/>
    <col min="36" max="36" width="25.77734375" bestFit="1" customWidth="1"/>
    <col min="37" max="39" width="25.77734375" customWidth="1"/>
    <col min="40" max="40" width="18.77734375" bestFit="1" customWidth="1"/>
    <col min="41" max="41" width="23.44140625" bestFit="1" customWidth="1"/>
    <col min="42" max="42" width="20.21875" bestFit="1" customWidth="1"/>
    <col min="43" max="43" width="26.77734375" bestFit="1" customWidth="1"/>
    <col min="44" max="44" width="27.77734375" bestFit="1" customWidth="1"/>
    <col min="45" max="45" width="10.21875" bestFit="1" customWidth="1"/>
    <col min="46" max="46" width="5.5546875" bestFit="1" customWidth="1"/>
    <col min="47" max="47" width="8.88671875" customWidth="1"/>
    <col min="48" max="48" width="14.77734375" bestFit="1" customWidth="1"/>
    <col min="49" max="49" width="11.109375" bestFit="1" customWidth="1"/>
    <col min="50" max="50" width="10.21875" bestFit="1" customWidth="1"/>
    <col min="51" max="51" width="11.44140625" bestFit="1" customWidth="1"/>
    <col min="52" max="53" width="11.33203125" bestFit="1" customWidth="1"/>
    <col min="54" max="54" width="13.5546875" bestFit="1" customWidth="1"/>
    <col min="55" max="86" width="13.5546875" style="21" customWidth="1"/>
    <col min="87" max="87" width="16.6640625" bestFit="1" customWidth="1"/>
    <col min="88" max="88" width="15.5546875" bestFit="1" customWidth="1"/>
    <col min="89" max="89" width="17.21875" bestFit="1" customWidth="1"/>
  </cols>
  <sheetData>
    <row r="1" spans="1:89" x14ac:dyDescent="0.3">
      <c r="A1" t="s">
        <v>69</v>
      </c>
    </row>
    <row r="2" spans="1:89" s="9" customFormat="1" x14ac:dyDescent="0.3">
      <c r="A2" s="9" t="s">
        <v>130</v>
      </c>
      <c r="B2" s="9" t="s">
        <v>0</v>
      </c>
      <c r="C2" s="9" t="s">
        <v>1</v>
      </c>
      <c r="D2" s="9" t="s">
        <v>2</v>
      </c>
      <c r="E2" s="9" t="s">
        <v>36</v>
      </c>
      <c r="F2" s="9" t="s">
        <v>66</v>
      </c>
      <c r="G2" s="9" t="s">
        <v>38</v>
      </c>
      <c r="H2" s="9" t="s">
        <v>3</v>
      </c>
      <c r="I2" s="9" t="s">
        <v>42</v>
      </c>
      <c r="J2" s="9" t="s">
        <v>4</v>
      </c>
      <c r="K2" s="9" t="s">
        <v>6</v>
      </c>
      <c r="L2" s="9" t="s">
        <v>5</v>
      </c>
      <c r="M2" s="9" t="s">
        <v>7</v>
      </c>
      <c r="N2" s="9" t="s">
        <v>8</v>
      </c>
      <c r="O2" s="9" t="s">
        <v>9</v>
      </c>
      <c r="P2" s="9" t="s">
        <v>11</v>
      </c>
      <c r="Q2" s="9" t="s">
        <v>10</v>
      </c>
      <c r="R2" s="9" t="s">
        <v>12</v>
      </c>
      <c r="S2" s="9" t="s">
        <v>15</v>
      </c>
      <c r="T2" s="9" t="s">
        <v>14</v>
      </c>
      <c r="U2" s="9" t="s">
        <v>13</v>
      </c>
      <c r="V2" s="9" t="s">
        <v>16</v>
      </c>
      <c r="W2" s="9" t="s">
        <v>557</v>
      </c>
      <c r="X2" s="9" t="s">
        <v>17</v>
      </c>
      <c r="Y2" s="9" t="s">
        <v>64</v>
      </c>
      <c r="Z2" s="9" t="s">
        <v>65</v>
      </c>
      <c r="AA2" s="9" t="s">
        <v>19</v>
      </c>
      <c r="AB2" s="10" t="s">
        <v>20</v>
      </c>
      <c r="AC2" s="9" t="s">
        <v>18</v>
      </c>
      <c r="AD2" s="9" t="s">
        <v>21</v>
      </c>
      <c r="AE2" s="9" t="s">
        <v>51</v>
      </c>
      <c r="AF2" s="9" t="s">
        <v>22</v>
      </c>
      <c r="AG2" s="9" t="s">
        <v>23</v>
      </c>
      <c r="AH2" s="9" t="s">
        <v>24</v>
      </c>
      <c r="AI2" s="9" t="s">
        <v>25</v>
      </c>
      <c r="AJ2" s="9" t="s">
        <v>53</v>
      </c>
      <c r="AK2" s="9" t="s">
        <v>123</v>
      </c>
      <c r="AL2" s="9" t="s">
        <v>108</v>
      </c>
      <c r="AM2" s="9" t="s">
        <v>117</v>
      </c>
      <c r="AN2" s="9" t="s">
        <v>150</v>
      </c>
      <c r="AO2" s="9" t="s">
        <v>151</v>
      </c>
      <c r="AP2" s="9" t="s">
        <v>152</v>
      </c>
      <c r="AQ2" s="9" t="s">
        <v>27</v>
      </c>
      <c r="AR2" s="9" t="s">
        <v>28</v>
      </c>
      <c r="AS2" s="9" t="s">
        <v>26</v>
      </c>
      <c r="AT2" s="9" t="s">
        <v>67</v>
      </c>
      <c r="AU2" s="9" t="s">
        <v>68</v>
      </c>
      <c r="AV2" s="9" t="s">
        <v>56</v>
      </c>
      <c r="AW2" s="9" t="s">
        <v>57</v>
      </c>
      <c r="AX2" s="9" t="s">
        <v>58</v>
      </c>
      <c r="AY2" s="9" t="s">
        <v>59</v>
      </c>
      <c r="AZ2" s="9" t="s">
        <v>60</v>
      </c>
      <c r="BA2" s="9" t="s">
        <v>61</v>
      </c>
      <c r="BB2" s="9" t="s">
        <v>63</v>
      </c>
      <c r="BC2" s="9" t="s">
        <v>659</v>
      </c>
      <c r="BD2" s="9" t="s">
        <v>603</v>
      </c>
      <c r="BE2" s="9" t="s">
        <v>604</v>
      </c>
      <c r="BF2" s="9" t="s">
        <v>605</v>
      </c>
      <c r="BG2" s="9" t="s">
        <v>606</v>
      </c>
      <c r="BH2" s="9" t="s">
        <v>607</v>
      </c>
      <c r="BI2" s="9" t="s">
        <v>608</v>
      </c>
      <c r="BJ2" s="9" t="s">
        <v>609</v>
      </c>
      <c r="BK2" s="9" t="s">
        <v>610</v>
      </c>
      <c r="BL2" s="9" t="s">
        <v>611</v>
      </c>
      <c r="BM2" s="9" t="s">
        <v>612</v>
      </c>
      <c r="BN2" s="9" t="s">
        <v>56</v>
      </c>
      <c r="BO2" s="9" t="s">
        <v>613</v>
      </c>
      <c r="BP2" s="9" t="s">
        <v>614</v>
      </c>
      <c r="BQ2" s="9" t="s">
        <v>615</v>
      </c>
      <c r="BR2" s="9" t="s">
        <v>616</v>
      </c>
      <c r="BS2" s="9" t="s">
        <v>617</v>
      </c>
      <c r="BT2" s="9" t="s">
        <v>618</v>
      </c>
      <c r="BU2" s="9" t="s">
        <v>619</v>
      </c>
      <c r="BV2" s="9" t="s">
        <v>622</v>
      </c>
      <c r="BW2" s="9" t="s">
        <v>620</v>
      </c>
      <c r="BX2" s="9" t="s">
        <v>621</v>
      </c>
      <c r="BY2" s="9" t="s">
        <v>623</v>
      </c>
      <c r="BZ2" s="9" t="s">
        <v>624</v>
      </c>
      <c r="CA2" s="9" t="s">
        <v>625</v>
      </c>
      <c r="CB2" s="9" t="s">
        <v>626</v>
      </c>
      <c r="CC2" s="9" t="s">
        <v>581</v>
      </c>
      <c r="CD2" s="9" t="s">
        <v>583</v>
      </c>
      <c r="CE2" s="9" t="s">
        <v>582</v>
      </c>
      <c r="CF2" s="9" t="s">
        <v>629</v>
      </c>
      <c r="CG2" s="9" t="s">
        <v>627</v>
      </c>
      <c r="CH2" s="9" t="s">
        <v>628</v>
      </c>
      <c r="CI2" s="9" t="s">
        <v>29</v>
      </c>
      <c r="CJ2" s="9" t="s">
        <v>30</v>
      </c>
      <c r="CK2" s="9" t="s">
        <v>31</v>
      </c>
    </row>
    <row r="3" spans="1:89" x14ac:dyDescent="0.3">
      <c r="A3" t="str">
        <f>B3&amp;" - "&amp;D3&amp;" - "&amp;E3</f>
        <v>Kick Scooter, electric, &lt;1kW - 2020 - CH</v>
      </c>
      <c r="B3" t="s">
        <v>688</v>
      </c>
      <c r="D3">
        <v>2020</v>
      </c>
      <c r="E3" t="s">
        <v>37</v>
      </c>
      <c r="F3" t="s">
        <v>146</v>
      </c>
      <c r="G3" t="s">
        <v>39</v>
      </c>
      <c r="H3" t="s">
        <v>32</v>
      </c>
      <c r="I3" t="s">
        <v>43</v>
      </c>
      <c r="J3">
        <v>1785</v>
      </c>
      <c r="K3">
        <v>890</v>
      </c>
      <c r="L3" s="2">
        <f>J3/K3</f>
        <v>2.00561797752809</v>
      </c>
      <c r="M3">
        <v>1</v>
      </c>
      <c r="N3">
        <v>70</v>
      </c>
      <c r="O3">
        <v>0</v>
      </c>
      <c r="P3" s="2">
        <f t="shared" ref="P3:P26" si="0">SUM(U3,V3,W3,AC3,AF3,AH3)</f>
        <v>12.274999999999999</v>
      </c>
      <c r="Q3" s="2">
        <f>P3+(M3*N3)+O3</f>
        <v>82.275000000000006</v>
      </c>
      <c r="R3">
        <v>0.25</v>
      </c>
      <c r="S3" s="2">
        <v>7</v>
      </c>
      <c r="T3" s="1">
        <v>0</v>
      </c>
      <c r="U3" s="2">
        <f>S3*(1-T3)</f>
        <v>7</v>
      </c>
      <c r="V3">
        <v>0</v>
      </c>
      <c r="W3">
        <v>3</v>
      </c>
      <c r="X3" s="3">
        <v>0.35</v>
      </c>
      <c r="Y3" s="1">
        <v>0.8</v>
      </c>
      <c r="Z3" s="3">
        <f>Y3*X3</f>
        <v>0.27999999999999997</v>
      </c>
      <c r="AA3" s="3">
        <f>X3/'energy battery'!B$3</f>
        <v>1.7499999999999998</v>
      </c>
      <c r="AB3" s="3">
        <f>0.3*AA3</f>
        <v>0.52499999999999991</v>
      </c>
      <c r="AC3" s="3">
        <f>AB3+AA3</f>
        <v>2.2749999999999995</v>
      </c>
      <c r="AD3">
        <v>0</v>
      </c>
      <c r="AE3">
        <v>0</v>
      </c>
      <c r="AF3">
        <v>0</v>
      </c>
      <c r="AG3">
        <v>0</v>
      </c>
      <c r="AH3">
        <v>0</v>
      </c>
      <c r="AI3">
        <v>0.5</v>
      </c>
      <c r="AJ3">
        <v>1</v>
      </c>
      <c r="AK3">
        <f>J3/4000</f>
        <v>0.44624999999999998</v>
      </c>
      <c r="AL3">
        <f>0.000537/1000*Q3</f>
        <v>4.4181675000000002E-5</v>
      </c>
      <c r="AM3">
        <v>0</v>
      </c>
      <c r="AN3" s="2">
        <f>U3</f>
        <v>7</v>
      </c>
      <c r="AO3" s="2">
        <f>SUM(V3:W3)</f>
        <v>3</v>
      </c>
      <c r="AP3" s="2">
        <f>AC3</f>
        <v>2.2749999999999995</v>
      </c>
      <c r="AQ3" s="6" t="s">
        <v>86</v>
      </c>
      <c r="AR3" s="5">
        <v>8.6126327557294588E-2</v>
      </c>
      <c r="AS3" s="2">
        <f>SUM(Z3,AG3)/(SUM(AQ3:AR3)/3.6)</f>
        <v>11.703738317757008</v>
      </c>
      <c r="AT3" s="5">
        <v>0</v>
      </c>
      <c r="AU3" s="7">
        <v>0</v>
      </c>
      <c r="AV3" s="7">
        <v>0</v>
      </c>
      <c r="AW3" s="7">
        <v>0</v>
      </c>
      <c r="AX3" s="7">
        <v>0</v>
      </c>
      <c r="AY3" s="7">
        <v>0</v>
      </c>
      <c r="AZ3" s="7">
        <v>0</v>
      </c>
      <c r="BA3" s="7">
        <v>0</v>
      </c>
      <c r="BB3" s="7">
        <v>0</v>
      </c>
      <c r="BC3" s="7">
        <v>0</v>
      </c>
      <c r="BD3" s="7">
        <v>0</v>
      </c>
      <c r="BE3" s="7">
        <v>0</v>
      </c>
      <c r="BF3" s="7">
        <v>0</v>
      </c>
      <c r="BG3" s="7">
        <v>0</v>
      </c>
      <c r="BH3" s="7">
        <v>0</v>
      </c>
      <c r="BI3" s="7">
        <v>0</v>
      </c>
      <c r="BJ3" s="7">
        <v>0</v>
      </c>
      <c r="BK3" s="7">
        <v>0</v>
      </c>
      <c r="BL3" s="7">
        <v>0</v>
      </c>
      <c r="BM3" s="7">
        <v>0</v>
      </c>
      <c r="BN3" s="7">
        <v>0</v>
      </c>
      <c r="BO3" s="7">
        <v>0</v>
      </c>
      <c r="BP3" s="7">
        <v>0</v>
      </c>
      <c r="BQ3" s="7">
        <v>0</v>
      </c>
      <c r="BR3" s="7">
        <v>0</v>
      </c>
      <c r="BS3" s="7">
        <v>0</v>
      </c>
      <c r="BT3" s="7">
        <v>0</v>
      </c>
      <c r="BU3" s="7">
        <v>0</v>
      </c>
      <c r="BV3" s="7">
        <v>0</v>
      </c>
      <c r="BW3" s="7">
        <v>0</v>
      </c>
      <c r="BX3" s="7">
        <v>0</v>
      </c>
      <c r="BY3" s="7">
        <v>0</v>
      </c>
      <c r="BZ3" s="7">
        <v>0</v>
      </c>
      <c r="CA3" s="7">
        <v>0</v>
      </c>
      <c r="CB3" s="7">
        <v>0</v>
      </c>
      <c r="CC3" s="7">
        <v>0</v>
      </c>
      <c r="CD3" s="7">
        <v>0</v>
      </c>
      <c r="CE3" s="7">
        <v>0</v>
      </c>
      <c r="CF3" s="7">
        <v>0</v>
      </c>
      <c r="CG3" s="7">
        <v>0</v>
      </c>
      <c r="CH3" s="7">
        <v>0</v>
      </c>
      <c r="CI3" s="7">
        <f>VLOOKUP(B3,'abrasion emissions'!$A$4:$D$32,4,FALSE)</f>
        <v>3.0000000000000001E-6</v>
      </c>
      <c r="CJ3" s="7">
        <f>VLOOKUP(B3,'abrasion emissions'!$A$4:$D$32,2,FALSE)</f>
        <v>2.9189999999999999E-6</v>
      </c>
      <c r="CK3" s="7">
        <f>VLOOKUP(B3,'abrasion emissions'!$A$4:$D$32,3,FALSE)</f>
        <v>1.8370000000000002E-6</v>
      </c>
    </row>
    <row r="4" spans="1:89" x14ac:dyDescent="0.3">
      <c r="A4" t="str">
        <f t="shared" ref="A4:A57" si="1">B4&amp;" - "&amp;D4&amp;" - "&amp;E4</f>
        <v>Kick Scooter, electric, &lt;1kW - 2030 - CH</v>
      </c>
      <c r="B4" t="s">
        <v>688</v>
      </c>
      <c r="D4">
        <v>2030</v>
      </c>
      <c r="E4" t="s">
        <v>37</v>
      </c>
      <c r="F4" t="s">
        <v>146</v>
      </c>
      <c r="G4" t="s">
        <v>39</v>
      </c>
      <c r="H4" t="s">
        <v>32</v>
      </c>
      <c r="I4" t="s">
        <v>43</v>
      </c>
      <c r="J4" s="21">
        <v>1785</v>
      </c>
      <c r="K4" s="21">
        <v>890</v>
      </c>
      <c r="L4" s="2">
        <f t="shared" ref="L4:L57" si="2">J4/K4</f>
        <v>2.00561797752809</v>
      </c>
      <c r="M4">
        <v>1</v>
      </c>
      <c r="N4">
        <v>70</v>
      </c>
      <c r="O4">
        <v>0</v>
      </c>
      <c r="P4" s="2">
        <f t="shared" si="0"/>
        <v>11.856666666666666</v>
      </c>
      <c r="Q4" s="2">
        <f t="shared" ref="Q4:Q57" si="3">P4+(M4*N4)+O4</f>
        <v>81.856666666666669</v>
      </c>
      <c r="R4">
        <v>0.25</v>
      </c>
      <c r="S4" s="2">
        <v>7</v>
      </c>
      <c r="T4" s="1">
        <v>0.03</v>
      </c>
      <c r="U4" s="2">
        <f t="shared" ref="U4:U52" si="4">S4*(1-T4)</f>
        <v>6.79</v>
      </c>
      <c r="V4">
        <v>0</v>
      </c>
      <c r="W4">
        <v>2.9</v>
      </c>
      <c r="X4" s="3">
        <v>0.5</v>
      </c>
      <c r="Y4" s="1">
        <v>0.8</v>
      </c>
      <c r="Z4" s="3">
        <f t="shared" ref="Z4:Z57" si="5">Y4*X4</f>
        <v>0.4</v>
      </c>
      <c r="AA4" s="3">
        <f>X4/'energy battery'!B$4</f>
        <v>1.6666666666666667</v>
      </c>
      <c r="AB4" s="3">
        <f t="shared" ref="AB4:AB22" si="6">0.3*AA4</f>
        <v>0.5</v>
      </c>
      <c r="AC4" s="3">
        <f t="shared" ref="AC4:AC57" si="7">AB4+AA4</f>
        <v>2.166666666666667</v>
      </c>
      <c r="AD4">
        <v>0</v>
      </c>
      <c r="AE4">
        <v>0</v>
      </c>
      <c r="AF4">
        <v>0</v>
      </c>
      <c r="AG4">
        <v>0</v>
      </c>
      <c r="AH4">
        <v>0</v>
      </c>
      <c r="AI4">
        <v>0.5</v>
      </c>
      <c r="AJ4">
        <v>1</v>
      </c>
      <c r="AK4">
        <f>J4/4000</f>
        <v>0.44624999999999998</v>
      </c>
      <c r="AL4">
        <f t="shared" ref="AL4:AL22" si="8">0.000537/1000*Q4</f>
        <v>4.3957030000000002E-5</v>
      </c>
      <c r="AM4">
        <v>0</v>
      </c>
      <c r="AN4" s="2">
        <f t="shared" ref="AN4:AN57" si="9">U4</f>
        <v>6.79</v>
      </c>
      <c r="AO4" s="2">
        <f t="shared" ref="AO4:AO57" si="10">SUM(V4:W4)</f>
        <v>2.9</v>
      </c>
      <c r="AP4" s="2">
        <f t="shared" ref="AP4:AP57" si="11">AC4</f>
        <v>2.166666666666667</v>
      </c>
      <c r="AQ4" s="6" t="s">
        <v>86</v>
      </c>
      <c r="AR4" s="5">
        <v>8.6126327557294588E-2</v>
      </c>
      <c r="AS4" s="2">
        <f>SUM(Z4,AG4)/(SUM(AQ4:AR4)/3.6)</f>
        <v>16.719626168224298</v>
      </c>
      <c r="AT4" s="5">
        <v>0</v>
      </c>
      <c r="AU4" s="7">
        <v>0</v>
      </c>
      <c r="AV4" s="7">
        <v>0</v>
      </c>
      <c r="AW4" s="7">
        <v>0</v>
      </c>
      <c r="AX4" s="7">
        <v>0</v>
      </c>
      <c r="AY4" s="7">
        <v>0</v>
      </c>
      <c r="AZ4" s="7">
        <v>0</v>
      </c>
      <c r="BA4" s="7">
        <v>0</v>
      </c>
      <c r="BB4" s="7">
        <v>0</v>
      </c>
      <c r="BC4" s="7">
        <v>0</v>
      </c>
      <c r="BD4" s="7">
        <v>0</v>
      </c>
      <c r="BE4" s="7">
        <v>0</v>
      </c>
      <c r="BF4" s="7">
        <v>0</v>
      </c>
      <c r="BG4" s="7">
        <v>0</v>
      </c>
      <c r="BH4" s="7">
        <v>0</v>
      </c>
      <c r="BI4" s="7">
        <v>0</v>
      </c>
      <c r="BJ4" s="7">
        <v>0</v>
      </c>
      <c r="BK4" s="7">
        <v>0</v>
      </c>
      <c r="BL4" s="7">
        <v>0</v>
      </c>
      <c r="BM4" s="7">
        <v>0</v>
      </c>
      <c r="BN4" s="7">
        <v>0</v>
      </c>
      <c r="BO4" s="7">
        <v>0</v>
      </c>
      <c r="BP4" s="7">
        <v>0</v>
      </c>
      <c r="BQ4" s="7">
        <v>0</v>
      </c>
      <c r="BR4" s="7">
        <v>0</v>
      </c>
      <c r="BS4" s="7">
        <v>0</v>
      </c>
      <c r="BT4" s="7">
        <v>0</v>
      </c>
      <c r="BU4" s="7">
        <v>0</v>
      </c>
      <c r="BV4" s="7">
        <v>0</v>
      </c>
      <c r="BW4" s="7">
        <v>0</v>
      </c>
      <c r="BX4" s="7">
        <v>0</v>
      </c>
      <c r="BY4" s="7">
        <v>0</v>
      </c>
      <c r="BZ4" s="7">
        <v>0</v>
      </c>
      <c r="CA4" s="7">
        <v>0</v>
      </c>
      <c r="CB4" s="7">
        <v>0</v>
      </c>
      <c r="CC4" s="7">
        <v>0</v>
      </c>
      <c r="CD4" s="7">
        <v>0</v>
      </c>
      <c r="CE4" s="7">
        <v>0</v>
      </c>
      <c r="CF4" s="7">
        <v>0</v>
      </c>
      <c r="CG4" s="7">
        <v>0</v>
      </c>
      <c r="CH4" s="7">
        <v>0</v>
      </c>
      <c r="CI4" s="7">
        <f>VLOOKUP(B4,'abrasion emissions'!$A$4:$D$32,4,FALSE)</f>
        <v>3.0000000000000001E-6</v>
      </c>
      <c r="CJ4" s="7">
        <f>VLOOKUP(B4,'abrasion emissions'!$A$4:$D$32,2,FALSE)</f>
        <v>2.9189999999999999E-6</v>
      </c>
      <c r="CK4" s="7">
        <f>VLOOKUP(B4,'abrasion emissions'!$A$4:$D$32,3,FALSE)</f>
        <v>1.8370000000000002E-6</v>
      </c>
    </row>
    <row r="5" spans="1:89" x14ac:dyDescent="0.3">
      <c r="A5" t="str">
        <f t="shared" si="1"/>
        <v>Kick Scooter, electric, &lt;1kW - 2040 - CH</v>
      </c>
      <c r="B5" t="s">
        <v>688</v>
      </c>
      <c r="D5">
        <v>2040</v>
      </c>
      <c r="E5" t="s">
        <v>37</v>
      </c>
      <c r="F5" t="s">
        <v>146</v>
      </c>
      <c r="G5" t="s">
        <v>39</v>
      </c>
      <c r="H5" t="s">
        <v>32</v>
      </c>
      <c r="I5" t="s">
        <v>43</v>
      </c>
      <c r="J5" s="21">
        <v>1785</v>
      </c>
      <c r="K5" s="21">
        <v>890</v>
      </c>
      <c r="L5" s="2">
        <f t="shared" si="2"/>
        <v>2.00561797752809</v>
      </c>
      <c r="M5">
        <v>1</v>
      </c>
      <c r="N5">
        <v>70</v>
      </c>
      <c r="O5">
        <v>0</v>
      </c>
      <c r="P5" s="2">
        <f t="shared" si="0"/>
        <v>12.049999999999999</v>
      </c>
      <c r="Q5" s="2">
        <f t="shared" si="3"/>
        <v>82.05</v>
      </c>
      <c r="R5">
        <v>0.25</v>
      </c>
      <c r="S5" s="2">
        <v>7</v>
      </c>
      <c r="T5" s="1">
        <v>0.05</v>
      </c>
      <c r="U5" s="2">
        <f t="shared" si="4"/>
        <v>6.6499999999999995</v>
      </c>
      <c r="V5">
        <v>0</v>
      </c>
      <c r="W5">
        <v>2.8</v>
      </c>
      <c r="X5" s="3">
        <v>0.8</v>
      </c>
      <c r="Y5" s="1">
        <v>0.8</v>
      </c>
      <c r="Z5" s="3">
        <f t="shared" si="5"/>
        <v>0.64000000000000012</v>
      </c>
      <c r="AA5" s="3">
        <f>X5/'energy battery'!B$5</f>
        <v>2</v>
      </c>
      <c r="AB5" s="3">
        <f t="shared" si="6"/>
        <v>0.6</v>
      </c>
      <c r="AC5" s="3">
        <f t="shared" si="7"/>
        <v>2.6</v>
      </c>
      <c r="AD5">
        <v>0</v>
      </c>
      <c r="AE5">
        <v>0</v>
      </c>
      <c r="AF5">
        <v>0</v>
      </c>
      <c r="AG5">
        <v>0</v>
      </c>
      <c r="AH5">
        <v>0</v>
      </c>
      <c r="AI5">
        <v>0.5</v>
      </c>
      <c r="AJ5">
        <v>1</v>
      </c>
      <c r="AK5">
        <f>J5/4000</f>
        <v>0.44624999999999998</v>
      </c>
      <c r="AL5">
        <f t="shared" si="8"/>
        <v>4.406085E-5</v>
      </c>
      <c r="AM5">
        <v>0</v>
      </c>
      <c r="AN5" s="2">
        <f t="shared" si="9"/>
        <v>6.6499999999999995</v>
      </c>
      <c r="AO5" s="2">
        <f t="shared" si="10"/>
        <v>2.8</v>
      </c>
      <c r="AP5" s="2">
        <f t="shared" si="11"/>
        <v>2.6</v>
      </c>
      <c r="AQ5" s="6" t="s">
        <v>86</v>
      </c>
      <c r="AR5" s="5">
        <v>8.6126327557294588E-2</v>
      </c>
      <c r="AS5" s="2">
        <f>SUM(Z5,AG5)/(SUM(AQ5:AR5)/3.6)</f>
        <v>26.751401869158883</v>
      </c>
      <c r="AT5" s="5">
        <v>0</v>
      </c>
      <c r="AU5" s="7">
        <v>0</v>
      </c>
      <c r="AV5" s="7">
        <v>0</v>
      </c>
      <c r="AW5" s="7">
        <v>0</v>
      </c>
      <c r="AX5" s="7">
        <v>0</v>
      </c>
      <c r="AY5" s="7">
        <v>0</v>
      </c>
      <c r="AZ5" s="7">
        <v>0</v>
      </c>
      <c r="BA5" s="7">
        <v>0</v>
      </c>
      <c r="BB5" s="7">
        <v>0</v>
      </c>
      <c r="BC5" s="7">
        <v>0</v>
      </c>
      <c r="BD5" s="7">
        <v>0</v>
      </c>
      <c r="BE5" s="7">
        <v>0</v>
      </c>
      <c r="BF5" s="7">
        <v>0</v>
      </c>
      <c r="BG5" s="7">
        <v>0</v>
      </c>
      <c r="BH5" s="7">
        <v>0</v>
      </c>
      <c r="BI5" s="7">
        <v>0</v>
      </c>
      <c r="BJ5" s="7">
        <v>0</v>
      </c>
      <c r="BK5" s="7">
        <v>0</v>
      </c>
      <c r="BL5" s="7">
        <v>0</v>
      </c>
      <c r="BM5" s="7">
        <v>0</v>
      </c>
      <c r="BN5" s="7">
        <v>0</v>
      </c>
      <c r="BO5" s="7">
        <v>0</v>
      </c>
      <c r="BP5" s="7">
        <v>0</v>
      </c>
      <c r="BQ5" s="7">
        <v>0</v>
      </c>
      <c r="BR5" s="7">
        <v>0</v>
      </c>
      <c r="BS5" s="7">
        <v>0</v>
      </c>
      <c r="BT5" s="7">
        <v>0</v>
      </c>
      <c r="BU5" s="7">
        <v>0</v>
      </c>
      <c r="BV5" s="7">
        <v>0</v>
      </c>
      <c r="BW5" s="7">
        <v>0</v>
      </c>
      <c r="BX5" s="7">
        <v>0</v>
      </c>
      <c r="BY5" s="7">
        <v>0</v>
      </c>
      <c r="BZ5" s="7">
        <v>0</v>
      </c>
      <c r="CA5" s="7">
        <v>0</v>
      </c>
      <c r="CB5" s="7">
        <v>0</v>
      </c>
      <c r="CC5" s="7">
        <v>0</v>
      </c>
      <c r="CD5" s="7">
        <v>0</v>
      </c>
      <c r="CE5" s="7">
        <v>0</v>
      </c>
      <c r="CF5" s="7">
        <v>0</v>
      </c>
      <c r="CG5" s="7">
        <v>0</v>
      </c>
      <c r="CH5" s="7">
        <v>0</v>
      </c>
      <c r="CI5" s="7">
        <f>VLOOKUP(B5,'abrasion emissions'!$A$4:$D$32,4,FALSE)</f>
        <v>3.0000000000000001E-6</v>
      </c>
      <c r="CJ5" s="7">
        <f>VLOOKUP(B5,'abrasion emissions'!$A$4:$D$32,2,FALSE)</f>
        <v>2.9189999999999999E-6</v>
      </c>
      <c r="CK5" s="7">
        <f>VLOOKUP(B5,'abrasion emissions'!$A$4:$D$32,3,FALSE)</f>
        <v>1.8370000000000002E-6</v>
      </c>
    </row>
    <row r="6" spans="1:89" x14ac:dyDescent="0.3">
      <c r="A6" t="str">
        <f t="shared" si="1"/>
        <v>Kick Scooter, electric, &lt;1kW - 2050 - CH</v>
      </c>
      <c r="B6" t="s">
        <v>688</v>
      </c>
      <c r="D6">
        <v>2050</v>
      </c>
      <c r="E6" t="s">
        <v>37</v>
      </c>
      <c r="F6" t="s">
        <v>146</v>
      </c>
      <c r="G6" t="s">
        <v>39</v>
      </c>
      <c r="H6" t="s">
        <v>32</v>
      </c>
      <c r="I6" t="s">
        <v>43</v>
      </c>
      <c r="J6" s="21">
        <v>1785</v>
      </c>
      <c r="K6" s="21">
        <v>890</v>
      </c>
      <c r="L6" s="2">
        <f t="shared" si="2"/>
        <v>2.00561797752809</v>
      </c>
      <c r="M6">
        <v>1</v>
      </c>
      <c r="N6">
        <v>70</v>
      </c>
      <c r="O6">
        <v>0</v>
      </c>
      <c r="P6" s="2">
        <f t="shared" si="0"/>
        <v>11.81</v>
      </c>
      <c r="Q6" s="2">
        <f t="shared" si="3"/>
        <v>81.81</v>
      </c>
      <c r="R6">
        <v>0.25</v>
      </c>
      <c r="S6" s="2">
        <v>7</v>
      </c>
      <c r="T6" s="1">
        <v>7.0000000000000007E-2</v>
      </c>
      <c r="U6" s="2">
        <f t="shared" si="4"/>
        <v>6.51</v>
      </c>
      <c r="V6">
        <v>0</v>
      </c>
      <c r="W6">
        <v>2.7</v>
      </c>
      <c r="X6" s="3">
        <v>1</v>
      </c>
      <c r="Y6" s="1">
        <v>0.8</v>
      </c>
      <c r="Z6" s="3">
        <f t="shared" si="5"/>
        <v>0.8</v>
      </c>
      <c r="AA6" s="3">
        <f>X6/'energy battery'!B$6</f>
        <v>2</v>
      </c>
      <c r="AB6" s="3">
        <f t="shared" si="6"/>
        <v>0.6</v>
      </c>
      <c r="AC6" s="3">
        <f t="shared" si="7"/>
        <v>2.6</v>
      </c>
      <c r="AD6">
        <v>0</v>
      </c>
      <c r="AE6">
        <v>0</v>
      </c>
      <c r="AF6">
        <v>0</v>
      </c>
      <c r="AG6">
        <v>0</v>
      </c>
      <c r="AH6">
        <v>0</v>
      </c>
      <c r="AI6">
        <v>0.5</v>
      </c>
      <c r="AJ6">
        <v>1</v>
      </c>
      <c r="AK6">
        <f>J6/4000</f>
        <v>0.44624999999999998</v>
      </c>
      <c r="AL6">
        <f t="shared" si="8"/>
        <v>4.3931970000000004E-5</v>
      </c>
      <c r="AM6">
        <v>0</v>
      </c>
      <c r="AN6" s="2">
        <f t="shared" si="9"/>
        <v>6.51</v>
      </c>
      <c r="AO6" s="2">
        <f t="shared" si="10"/>
        <v>2.7</v>
      </c>
      <c r="AP6" s="2">
        <f t="shared" si="11"/>
        <v>2.6</v>
      </c>
      <c r="AQ6" s="6" t="s">
        <v>86</v>
      </c>
      <c r="AR6" s="5">
        <v>8.6126327557294588E-2</v>
      </c>
      <c r="AS6" s="2">
        <f>SUM(Z6,AG6)/(SUM(AQ6:AR6)/3.6)</f>
        <v>33.439252336448597</v>
      </c>
      <c r="AT6" s="5">
        <v>0</v>
      </c>
      <c r="AU6" s="7">
        <v>0</v>
      </c>
      <c r="AV6" s="7">
        <v>0</v>
      </c>
      <c r="AW6" s="7">
        <v>0</v>
      </c>
      <c r="AX6" s="7">
        <v>0</v>
      </c>
      <c r="AY6" s="7">
        <v>0</v>
      </c>
      <c r="AZ6" s="7">
        <v>0</v>
      </c>
      <c r="BA6" s="7">
        <v>0</v>
      </c>
      <c r="BB6" s="7">
        <v>0</v>
      </c>
      <c r="BC6" s="7">
        <v>0</v>
      </c>
      <c r="BD6" s="7">
        <v>0</v>
      </c>
      <c r="BE6" s="7">
        <v>0</v>
      </c>
      <c r="BF6" s="7">
        <v>0</v>
      </c>
      <c r="BG6" s="7">
        <v>0</v>
      </c>
      <c r="BH6" s="7">
        <v>0</v>
      </c>
      <c r="BI6" s="7">
        <v>0</v>
      </c>
      <c r="BJ6" s="7">
        <v>0</v>
      </c>
      <c r="BK6" s="7">
        <v>0</v>
      </c>
      <c r="BL6" s="7">
        <v>0</v>
      </c>
      <c r="BM6" s="7">
        <v>0</v>
      </c>
      <c r="BN6" s="7">
        <v>0</v>
      </c>
      <c r="BO6" s="7">
        <v>0</v>
      </c>
      <c r="BP6" s="7">
        <v>0</v>
      </c>
      <c r="BQ6" s="7">
        <v>0</v>
      </c>
      <c r="BR6" s="7">
        <v>0</v>
      </c>
      <c r="BS6" s="7">
        <v>0</v>
      </c>
      <c r="BT6" s="7">
        <v>0</v>
      </c>
      <c r="BU6" s="7">
        <v>0</v>
      </c>
      <c r="BV6" s="7">
        <v>0</v>
      </c>
      <c r="BW6" s="7">
        <v>0</v>
      </c>
      <c r="BX6" s="7">
        <v>0</v>
      </c>
      <c r="BY6" s="7">
        <v>0</v>
      </c>
      <c r="BZ6" s="7">
        <v>0</v>
      </c>
      <c r="CA6" s="7">
        <v>0</v>
      </c>
      <c r="CB6" s="7">
        <v>0</v>
      </c>
      <c r="CC6" s="7">
        <v>0</v>
      </c>
      <c r="CD6" s="7">
        <v>0</v>
      </c>
      <c r="CE6" s="7">
        <v>0</v>
      </c>
      <c r="CF6" s="7">
        <v>0</v>
      </c>
      <c r="CG6" s="7">
        <v>0</v>
      </c>
      <c r="CH6" s="7">
        <v>0</v>
      </c>
      <c r="CI6" s="7">
        <f>VLOOKUP(B6,'abrasion emissions'!$A$4:$D$32,4,FALSE)</f>
        <v>3.0000000000000001E-6</v>
      </c>
      <c r="CJ6" s="7">
        <f>VLOOKUP(B6,'abrasion emissions'!$A$4:$D$32,2,FALSE)</f>
        <v>2.9189999999999999E-6</v>
      </c>
      <c r="CK6" s="7">
        <f>VLOOKUP(B6,'abrasion emissions'!$A$4:$D$32,3,FALSE)</f>
        <v>1.8370000000000002E-6</v>
      </c>
    </row>
    <row r="7" spans="1:89" x14ac:dyDescent="0.3">
      <c r="A7" t="str">
        <f t="shared" si="1"/>
        <v>Bicycle, conventional, urban - 2020 - CH</v>
      </c>
      <c r="B7" t="s">
        <v>33</v>
      </c>
      <c r="D7">
        <v>2020</v>
      </c>
      <c r="E7" t="s">
        <v>37</v>
      </c>
      <c r="F7" t="s">
        <v>146</v>
      </c>
      <c r="G7" t="s">
        <v>39</v>
      </c>
      <c r="J7">
        <v>10000</v>
      </c>
      <c r="K7">
        <v>1000</v>
      </c>
      <c r="L7" s="2">
        <f t="shared" si="2"/>
        <v>10</v>
      </c>
      <c r="M7">
        <v>1</v>
      </c>
      <c r="N7">
        <v>70</v>
      </c>
      <c r="O7">
        <v>1</v>
      </c>
      <c r="P7" s="2">
        <f t="shared" si="0"/>
        <v>12</v>
      </c>
      <c r="Q7" s="2">
        <f t="shared" si="3"/>
        <v>83</v>
      </c>
      <c r="R7">
        <v>0</v>
      </c>
      <c r="S7" s="2">
        <v>12</v>
      </c>
      <c r="T7" s="1">
        <v>0</v>
      </c>
      <c r="U7" s="2">
        <f t="shared" si="4"/>
        <v>12</v>
      </c>
      <c r="V7">
        <v>0</v>
      </c>
      <c r="W7">
        <v>0</v>
      </c>
      <c r="X7" s="3">
        <v>0</v>
      </c>
      <c r="Y7" s="1">
        <v>0.8</v>
      </c>
      <c r="Z7" s="3">
        <f t="shared" si="5"/>
        <v>0</v>
      </c>
      <c r="AA7" s="3">
        <f>X7/'energy battery'!B$3</f>
        <v>0</v>
      </c>
      <c r="AB7" s="3">
        <f t="shared" si="6"/>
        <v>0</v>
      </c>
      <c r="AC7" s="3">
        <f t="shared" si="7"/>
        <v>0</v>
      </c>
      <c r="AD7">
        <v>0</v>
      </c>
      <c r="AE7">
        <v>0</v>
      </c>
      <c r="AF7">
        <v>0</v>
      </c>
      <c r="AG7">
        <v>0</v>
      </c>
      <c r="AH7">
        <v>0</v>
      </c>
      <c r="AI7">
        <v>0</v>
      </c>
      <c r="AJ7">
        <v>0</v>
      </c>
      <c r="AK7">
        <f>J7/4000</f>
        <v>2.5</v>
      </c>
      <c r="AL7">
        <f t="shared" si="8"/>
        <v>4.4570999999999997E-5</v>
      </c>
      <c r="AM7">
        <v>0</v>
      </c>
      <c r="AN7" s="2">
        <f t="shared" si="9"/>
        <v>12</v>
      </c>
      <c r="AO7" s="2">
        <f t="shared" si="10"/>
        <v>0</v>
      </c>
      <c r="AP7" s="2">
        <f t="shared" si="11"/>
        <v>0</v>
      </c>
      <c r="AQ7" s="6" t="s">
        <v>86</v>
      </c>
      <c r="AR7" s="6" t="str">
        <f>IF($H7="BEV",SUMPRODUCT(#REF!,#REF!),"")</f>
        <v/>
      </c>
      <c r="AS7" s="2">
        <v>0</v>
      </c>
      <c r="AT7" s="5">
        <v>0</v>
      </c>
      <c r="AU7" s="7">
        <v>0</v>
      </c>
      <c r="AV7" s="7">
        <v>0</v>
      </c>
      <c r="AW7" s="7">
        <v>0</v>
      </c>
      <c r="AX7" s="7">
        <v>0</v>
      </c>
      <c r="AY7" s="7">
        <v>0</v>
      </c>
      <c r="AZ7" s="7">
        <v>0</v>
      </c>
      <c r="BA7" s="7">
        <v>0</v>
      </c>
      <c r="BB7" s="7">
        <v>0</v>
      </c>
      <c r="BC7" s="7">
        <v>0</v>
      </c>
      <c r="BD7" s="7">
        <v>0</v>
      </c>
      <c r="BE7" s="7">
        <v>0</v>
      </c>
      <c r="BF7" s="7">
        <v>0</v>
      </c>
      <c r="BG7" s="7">
        <v>0</v>
      </c>
      <c r="BH7" s="7">
        <v>0</v>
      </c>
      <c r="BI7" s="7">
        <v>0</v>
      </c>
      <c r="BJ7" s="7">
        <v>0</v>
      </c>
      <c r="BK7" s="7">
        <v>0</v>
      </c>
      <c r="BL7" s="7">
        <v>0</v>
      </c>
      <c r="BM7" s="7">
        <v>0</v>
      </c>
      <c r="BN7" s="7">
        <v>0</v>
      </c>
      <c r="BO7" s="7">
        <v>0</v>
      </c>
      <c r="BP7" s="7">
        <v>0</v>
      </c>
      <c r="BQ7" s="7">
        <v>0</v>
      </c>
      <c r="BR7" s="7">
        <v>0</v>
      </c>
      <c r="BS7" s="7">
        <v>0</v>
      </c>
      <c r="BT7" s="7">
        <v>0</v>
      </c>
      <c r="BU7" s="7">
        <v>0</v>
      </c>
      <c r="BV7" s="7">
        <v>0</v>
      </c>
      <c r="BW7" s="7">
        <v>0</v>
      </c>
      <c r="BX7" s="7">
        <v>0</v>
      </c>
      <c r="BY7" s="7">
        <v>0</v>
      </c>
      <c r="BZ7" s="7">
        <v>0</v>
      </c>
      <c r="CA7" s="7">
        <v>0</v>
      </c>
      <c r="CB7" s="7">
        <v>0</v>
      </c>
      <c r="CC7" s="7">
        <v>0</v>
      </c>
      <c r="CD7" s="7">
        <v>0</v>
      </c>
      <c r="CE7" s="7">
        <v>0</v>
      </c>
      <c r="CF7" s="7">
        <v>0</v>
      </c>
      <c r="CG7" s="7">
        <v>0</v>
      </c>
      <c r="CH7" s="7">
        <v>0</v>
      </c>
      <c r="CI7" s="7">
        <f>VLOOKUP(B7,'abrasion emissions'!$A$4:$D$32,4,FALSE)</f>
        <v>3.0000000000000001E-6</v>
      </c>
      <c r="CJ7" s="7">
        <f>VLOOKUP(B7,'abrasion emissions'!$A$4:$D$32,2,FALSE)</f>
        <v>2.9189999999999999E-6</v>
      </c>
      <c r="CK7" s="7">
        <f>VLOOKUP(B7,'abrasion emissions'!$A$4:$D$32,3,FALSE)</f>
        <v>1.8370000000000002E-6</v>
      </c>
    </row>
    <row r="8" spans="1:89" x14ac:dyDescent="0.3">
      <c r="A8" t="str">
        <f t="shared" si="1"/>
        <v>Bicycle, conventional, urban - 2030 - CH</v>
      </c>
      <c r="B8" t="s">
        <v>33</v>
      </c>
      <c r="D8">
        <v>2030</v>
      </c>
      <c r="E8" t="s">
        <v>37</v>
      </c>
      <c r="F8" t="s">
        <v>146</v>
      </c>
      <c r="G8" t="s">
        <v>39</v>
      </c>
      <c r="J8">
        <v>10000</v>
      </c>
      <c r="K8">
        <v>1000</v>
      </c>
      <c r="L8" s="2">
        <f t="shared" si="2"/>
        <v>10</v>
      </c>
      <c r="M8">
        <v>1</v>
      </c>
      <c r="N8">
        <v>70</v>
      </c>
      <c r="O8">
        <v>1</v>
      </c>
      <c r="P8" s="2">
        <f t="shared" si="0"/>
        <v>11.64</v>
      </c>
      <c r="Q8" s="2">
        <f t="shared" si="3"/>
        <v>82.64</v>
      </c>
      <c r="R8">
        <v>0</v>
      </c>
      <c r="S8" s="2">
        <v>12</v>
      </c>
      <c r="T8" s="1">
        <v>0.03</v>
      </c>
      <c r="U8" s="2">
        <f t="shared" si="4"/>
        <v>11.64</v>
      </c>
      <c r="V8">
        <v>0</v>
      </c>
      <c r="W8">
        <v>0</v>
      </c>
      <c r="X8" s="3">
        <v>0</v>
      </c>
      <c r="Y8" s="1">
        <v>0.8</v>
      </c>
      <c r="Z8" s="3">
        <f t="shared" si="5"/>
        <v>0</v>
      </c>
      <c r="AA8" s="3">
        <f>X8/'energy battery'!B$4</f>
        <v>0</v>
      </c>
      <c r="AB8" s="3">
        <f t="shared" si="6"/>
        <v>0</v>
      </c>
      <c r="AC8" s="3">
        <f t="shared" si="7"/>
        <v>0</v>
      </c>
      <c r="AD8">
        <v>0</v>
      </c>
      <c r="AE8">
        <v>0</v>
      </c>
      <c r="AF8">
        <v>0</v>
      </c>
      <c r="AG8">
        <v>0</v>
      </c>
      <c r="AH8">
        <v>0</v>
      </c>
      <c r="AI8">
        <v>0</v>
      </c>
      <c r="AJ8">
        <v>0</v>
      </c>
      <c r="AK8">
        <f t="shared" ref="AK8:AK22" si="12">J8/4000</f>
        <v>2.5</v>
      </c>
      <c r="AL8">
        <f t="shared" si="8"/>
        <v>4.4377679999999999E-5</v>
      </c>
      <c r="AM8">
        <v>0</v>
      </c>
      <c r="AN8" s="2">
        <f t="shared" si="9"/>
        <v>11.64</v>
      </c>
      <c r="AO8" s="2">
        <f t="shared" si="10"/>
        <v>0</v>
      </c>
      <c r="AP8" s="2">
        <f t="shared" si="11"/>
        <v>0</v>
      </c>
      <c r="AQ8" s="6" t="s">
        <v>86</v>
      </c>
      <c r="AR8" s="6" t="str">
        <f>IF($H8="BEV",SUMPRODUCT(#REF!,#REF!),"")</f>
        <v/>
      </c>
      <c r="AS8" s="2">
        <v>0</v>
      </c>
      <c r="AT8" s="5">
        <v>0</v>
      </c>
      <c r="AU8" s="7">
        <v>0</v>
      </c>
      <c r="AV8" s="7">
        <v>0</v>
      </c>
      <c r="AW8" s="7">
        <v>0</v>
      </c>
      <c r="AX8" s="7">
        <v>0</v>
      </c>
      <c r="AY8" s="7">
        <v>0</v>
      </c>
      <c r="AZ8" s="7">
        <v>0</v>
      </c>
      <c r="BA8" s="7">
        <v>0</v>
      </c>
      <c r="BB8" s="7">
        <v>0</v>
      </c>
      <c r="BC8" s="7">
        <v>0</v>
      </c>
      <c r="BD8" s="7">
        <v>0</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f>VLOOKUP(B8,'abrasion emissions'!$A$4:$D$32,4,FALSE)</f>
        <v>3.0000000000000001E-6</v>
      </c>
      <c r="CJ8" s="7">
        <f>VLOOKUP(B8,'abrasion emissions'!$A$4:$D$32,2,FALSE)</f>
        <v>2.9189999999999999E-6</v>
      </c>
      <c r="CK8" s="7">
        <f>VLOOKUP(B8,'abrasion emissions'!$A$4:$D$32,3,FALSE)</f>
        <v>1.8370000000000002E-6</v>
      </c>
    </row>
    <row r="9" spans="1:89" x14ac:dyDescent="0.3">
      <c r="A9" t="str">
        <f t="shared" si="1"/>
        <v>Bicycle, conventional, urban - 2040 - CH</v>
      </c>
      <c r="B9" t="s">
        <v>33</v>
      </c>
      <c r="D9">
        <v>2040</v>
      </c>
      <c r="E9" t="s">
        <v>37</v>
      </c>
      <c r="F9" t="s">
        <v>146</v>
      </c>
      <c r="G9" t="s">
        <v>39</v>
      </c>
      <c r="J9">
        <v>10000</v>
      </c>
      <c r="K9">
        <v>1000</v>
      </c>
      <c r="L9" s="2">
        <f t="shared" si="2"/>
        <v>10</v>
      </c>
      <c r="M9">
        <v>1</v>
      </c>
      <c r="N9">
        <v>70</v>
      </c>
      <c r="O9">
        <v>1</v>
      </c>
      <c r="P9" s="2">
        <f t="shared" si="0"/>
        <v>11.399999999999999</v>
      </c>
      <c r="Q9" s="2">
        <f t="shared" si="3"/>
        <v>82.4</v>
      </c>
      <c r="R9">
        <v>0</v>
      </c>
      <c r="S9" s="2">
        <v>12</v>
      </c>
      <c r="T9" s="1">
        <v>0.05</v>
      </c>
      <c r="U9" s="2">
        <f t="shared" si="4"/>
        <v>11.399999999999999</v>
      </c>
      <c r="V9">
        <v>0</v>
      </c>
      <c r="W9">
        <v>0</v>
      </c>
      <c r="X9" s="3">
        <v>0</v>
      </c>
      <c r="Y9" s="1">
        <v>0.8</v>
      </c>
      <c r="Z9" s="3">
        <f t="shared" si="5"/>
        <v>0</v>
      </c>
      <c r="AA9" s="3">
        <f>X9/'energy battery'!B$5</f>
        <v>0</v>
      </c>
      <c r="AB9" s="3">
        <f t="shared" si="6"/>
        <v>0</v>
      </c>
      <c r="AC9" s="3">
        <f t="shared" si="7"/>
        <v>0</v>
      </c>
      <c r="AD9">
        <v>0</v>
      </c>
      <c r="AE9">
        <v>0</v>
      </c>
      <c r="AF9">
        <v>0</v>
      </c>
      <c r="AG9">
        <v>0</v>
      </c>
      <c r="AH9">
        <v>0</v>
      </c>
      <c r="AI9">
        <v>0</v>
      </c>
      <c r="AJ9">
        <v>0</v>
      </c>
      <c r="AK9">
        <f t="shared" si="12"/>
        <v>2.5</v>
      </c>
      <c r="AL9">
        <f t="shared" si="8"/>
        <v>4.4248800000000002E-5</v>
      </c>
      <c r="AM9">
        <v>0</v>
      </c>
      <c r="AN9" s="2">
        <f t="shared" si="9"/>
        <v>11.399999999999999</v>
      </c>
      <c r="AO9" s="2">
        <f t="shared" si="10"/>
        <v>0</v>
      </c>
      <c r="AP9" s="2">
        <f t="shared" si="11"/>
        <v>0</v>
      </c>
      <c r="AQ9" s="6" t="s">
        <v>86</v>
      </c>
      <c r="AR9" s="6" t="str">
        <f>IF($H9="BEV",SUMPRODUCT(#REF!,#REF!),"")</f>
        <v/>
      </c>
      <c r="AS9" s="2">
        <v>0</v>
      </c>
      <c r="AT9" s="5">
        <v>0</v>
      </c>
      <c r="AU9" s="7">
        <v>0</v>
      </c>
      <c r="AV9" s="7">
        <v>0</v>
      </c>
      <c r="AW9" s="7">
        <v>0</v>
      </c>
      <c r="AX9" s="7">
        <v>0</v>
      </c>
      <c r="AY9" s="7">
        <v>0</v>
      </c>
      <c r="AZ9" s="7">
        <v>0</v>
      </c>
      <c r="BA9" s="7">
        <v>0</v>
      </c>
      <c r="BB9" s="7">
        <v>0</v>
      </c>
      <c r="BC9" s="7">
        <v>0</v>
      </c>
      <c r="BD9" s="7">
        <v>0</v>
      </c>
      <c r="BE9" s="7">
        <v>0</v>
      </c>
      <c r="BF9" s="7">
        <v>0</v>
      </c>
      <c r="BG9" s="7">
        <v>0</v>
      </c>
      <c r="BH9" s="7">
        <v>0</v>
      </c>
      <c r="BI9" s="7">
        <v>0</v>
      </c>
      <c r="BJ9" s="7">
        <v>0</v>
      </c>
      <c r="BK9" s="7">
        <v>0</v>
      </c>
      <c r="BL9" s="7">
        <v>0</v>
      </c>
      <c r="BM9" s="7">
        <v>0</v>
      </c>
      <c r="BN9" s="7">
        <v>0</v>
      </c>
      <c r="BO9" s="7">
        <v>0</v>
      </c>
      <c r="BP9" s="7">
        <v>0</v>
      </c>
      <c r="BQ9" s="7">
        <v>0</v>
      </c>
      <c r="BR9" s="7">
        <v>0</v>
      </c>
      <c r="BS9" s="7">
        <v>0</v>
      </c>
      <c r="BT9" s="7">
        <v>0</v>
      </c>
      <c r="BU9" s="7">
        <v>0</v>
      </c>
      <c r="BV9" s="7">
        <v>0</v>
      </c>
      <c r="BW9" s="7">
        <v>0</v>
      </c>
      <c r="BX9" s="7">
        <v>0</v>
      </c>
      <c r="BY9" s="7">
        <v>0</v>
      </c>
      <c r="BZ9" s="7">
        <v>0</v>
      </c>
      <c r="CA9" s="7">
        <v>0</v>
      </c>
      <c r="CB9" s="7">
        <v>0</v>
      </c>
      <c r="CC9" s="7">
        <v>0</v>
      </c>
      <c r="CD9" s="7">
        <v>0</v>
      </c>
      <c r="CE9" s="7">
        <v>0</v>
      </c>
      <c r="CF9" s="7">
        <v>0</v>
      </c>
      <c r="CG9" s="7">
        <v>0</v>
      </c>
      <c r="CH9" s="7">
        <v>0</v>
      </c>
      <c r="CI9" s="7">
        <f>VLOOKUP(B9,'abrasion emissions'!$A$4:$D$32,4,FALSE)</f>
        <v>3.0000000000000001E-6</v>
      </c>
      <c r="CJ9" s="7">
        <f>VLOOKUP(B9,'abrasion emissions'!$A$4:$D$32,2,FALSE)</f>
        <v>2.9189999999999999E-6</v>
      </c>
      <c r="CK9" s="7">
        <f>VLOOKUP(B9,'abrasion emissions'!$A$4:$D$32,3,FALSE)</f>
        <v>1.8370000000000002E-6</v>
      </c>
    </row>
    <row r="10" spans="1:89" x14ac:dyDescent="0.3">
      <c r="A10" t="str">
        <f t="shared" si="1"/>
        <v>Bicycle, conventional, urban - 2050 - CH</v>
      </c>
      <c r="B10" t="s">
        <v>33</v>
      </c>
      <c r="D10">
        <v>2050</v>
      </c>
      <c r="E10" t="s">
        <v>37</v>
      </c>
      <c r="F10" t="s">
        <v>146</v>
      </c>
      <c r="G10" t="s">
        <v>39</v>
      </c>
      <c r="J10">
        <v>10000</v>
      </c>
      <c r="K10">
        <v>1000</v>
      </c>
      <c r="L10" s="2">
        <f t="shared" si="2"/>
        <v>10</v>
      </c>
      <c r="M10">
        <v>1</v>
      </c>
      <c r="N10">
        <v>70</v>
      </c>
      <c r="O10">
        <v>1</v>
      </c>
      <c r="P10" s="2">
        <f t="shared" si="0"/>
        <v>11.16</v>
      </c>
      <c r="Q10" s="2">
        <f t="shared" si="3"/>
        <v>82.16</v>
      </c>
      <c r="R10">
        <v>0</v>
      </c>
      <c r="S10" s="2">
        <v>12</v>
      </c>
      <c r="T10" s="1">
        <v>7.0000000000000007E-2</v>
      </c>
      <c r="U10" s="2">
        <f t="shared" si="4"/>
        <v>11.16</v>
      </c>
      <c r="V10">
        <v>0</v>
      </c>
      <c r="W10">
        <v>0</v>
      </c>
      <c r="X10" s="3">
        <v>0</v>
      </c>
      <c r="Y10" s="1">
        <v>0.8</v>
      </c>
      <c r="Z10" s="3">
        <f t="shared" si="5"/>
        <v>0</v>
      </c>
      <c r="AA10" s="3">
        <f>X10/'energy battery'!B$6</f>
        <v>0</v>
      </c>
      <c r="AB10" s="3">
        <f t="shared" si="6"/>
        <v>0</v>
      </c>
      <c r="AC10" s="3">
        <f t="shared" si="7"/>
        <v>0</v>
      </c>
      <c r="AD10">
        <v>0</v>
      </c>
      <c r="AE10">
        <v>0</v>
      </c>
      <c r="AF10">
        <v>0</v>
      </c>
      <c r="AG10">
        <v>0</v>
      </c>
      <c r="AH10">
        <v>0</v>
      </c>
      <c r="AI10">
        <v>0</v>
      </c>
      <c r="AJ10">
        <v>0</v>
      </c>
      <c r="AK10">
        <f t="shared" si="12"/>
        <v>2.5</v>
      </c>
      <c r="AL10">
        <f t="shared" si="8"/>
        <v>4.4119919999999999E-5</v>
      </c>
      <c r="AM10">
        <v>0</v>
      </c>
      <c r="AN10" s="2">
        <f t="shared" si="9"/>
        <v>11.16</v>
      </c>
      <c r="AO10" s="2">
        <f t="shared" si="10"/>
        <v>0</v>
      </c>
      <c r="AP10" s="2">
        <f t="shared" si="11"/>
        <v>0</v>
      </c>
      <c r="AQ10" s="6" t="s">
        <v>86</v>
      </c>
      <c r="AR10" s="6" t="str">
        <f>IF($H10="BEV",SUMPRODUCT(#REF!,#REF!),"")</f>
        <v/>
      </c>
      <c r="AS10" s="2">
        <v>0</v>
      </c>
      <c r="AT10" s="5">
        <v>0</v>
      </c>
      <c r="AU10" s="7">
        <v>0</v>
      </c>
      <c r="AV10" s="7">
        <v>0</v>
      </c>
      <c r="AW10" s="7">
        <v>0</v>
      </c>
      <c r="AX10" s="7">
        <v>0</v>
      </c>
      <c r="AY10" s="7">
        <v>0</v>
      </c>
      <c r="AZ10" s="7">
        <v>0</v>
      </c>
      <c r="BA10" s="7">
        <v>0</v>
      </c>
      <c r="BB10" s="7">
        <v>0</v>
      </c>
      <c r="BC10" s="7">
        <v>0</v>
      </c>
      <c r="BD10" s="7">
        <v>0</v>
      </c>
      <c r="BE10" s="7">
        <v>0</v>
      </c>
      <c r="BF10" s="7">
        <v>0</v>
      </c>
      <c r="BG10" s="7">
        <v>0</v>
      </c>
      <c r="BH10" s="7">
        <v>0</v>
      </c>
      <c r="BI10" s="7">
        <v>0</v>
      </c>
      <c r="BJ10" s="7">
        <v>0</v>
      </c>
      <c r="BK10" s="7">
        <v>0</v>
      </c>
      <c r="BL10" s="7">
        <v>0</v>
      </c>
      <c r="BM10" s="7">
        <v>0</v>
      </c>
      <c r="BN10" s="7">
        <v>0</v>
      </c>
      <c r="BO10" s="7">
        <v>0</v>
      </c>
      <c r="BP10" s="7">
        <v>0</v>
      </c>
      <c r="BQ10" s="7">
        <v>0</v>
      </c>
      <c r="BR10" s="7">
        <v>0</v>
      </c>
      <c r="BS10" s="7">
        <v>0</v>
      </c>
      <c r="BT10" s="7">
        <v>0</v>
      </c>
      <c r="BU10" s="7">
        <v>0</v>
      </c>
      <c r="BV10" s="7">
        <v>0</v>
      </c>
      <c r="BW10" s="7">
        <v>0</v>
      </c>
      <c r="BX10" s="7">
        <v>0</v>
      </c>
      <c r="BY10" s="7">
        <v>0</v>
      </c>
      <c r="BZ10" s="7">
        <v>0</v>
      </c>
      <c r="CA10" s="7">
        <v>0</v>
      </c>
      <c r="CB10" s="7">
        <v>0</v>
      </c>
      <c r="CC10" s="7">
        <v>0</v>
      </c>
      <c r="CD10" s="7">
        <v>0</v>
      </c>
      <c r="CE10" s="7">
        <v>0</v>
      </c>
      <c r="CF10" s="7">
        <v>0</v>
      </c>
      <c r="CG10" s="7">
        <v>0</v>
      </c>
      <c r="CH10" s="7">
        <v>0</v>
      </c>
      <c r="CI10" s="7">
        <f>VLOOKUP(B10,'abrasion emissions'!$A$4:$D$32,4,FALSE)</f>
        <v>3.0000000000000001E-6</v>
      </c>
      <c r="CJ10" s="7">
        <f>VLOOKUP(B10,'abrasion emissions'!$A$4:$D$32,2,FALSE)</f>
        <v>2.9189999999999999E-6</v>
      </c>
      <c r="CK10" s="7">
        <f>VLOOKUP(B10,'abrasion emissions'!$A$4:$D$32,3,FALSE)</f>
        <v>1.8370000000000002E-6</v>
      </c>
    </row>
    <row r="11" spans="1:89" x14ac:dyDescent="0.3">
      <c r="A11" t="str">
        <f t="shared" si="1"/>
        <v>Bicycle, electric (&lt;25 km/h) - 2020 - CH</v>
      </c>
      <c r="B11" t="s">
        <v>517</v>
      </c>
      <c r="D11">
        <v>2020</v>
      </c>
      <c r="E11" t="s">
        <v>37</v>
      </c>
      <c r="F11" t="s">
        <v>146</v>
      </c>
      <c r="G11" t="s">
        <v>39</v>
      </c>
      <c r="H11" t="s">
        <v>32</v>
      </c>
      <c r="I11" t="s">
        <v>43</v>
      </c>
      <c r="J11">
        <v>20000</v>
      </c>
      <c r="K11">
        <v>2060</v>
      </c>
      <c r="L11" s="2">
        <f t="shared" si="2"/>
        <v>9.7087378640776691</v>
      </c>
      <c r="M11">
        <v>1</v>
      </c>
      <c r="N11">
        <v>70</v>
      </c>
      <c r="O11">
        <v>1</v>
      </c>
      <c r="P11" s="2">
        <f t="shared" si="0"/>
        <v>23.25</v>
      </c>
      <c r="Q11" s="2">
        <f t="shared" si="3"/>
        <v>94.25</v>
      </c>
      <c r="R11">
        <v>0.3</v>
      </c>
      <c r="S11" s="2">
        <v>16</v>
      </c>
      <c r="T11" s="1">
        <v>0</v>
      </c>
      <c r="U11" s="2">
        <f t="shared" si="4"/>
        <v>16</v>
      </c>
      <c r="V11">
        <v>0</v>
      </c>
      <c r="W11">
        <v>4</v>
      </c>
      <c r="X11" s="3">
        <v>0.5</v>
      </c>
      <c r="Y11" s="1">
        <v>0.8</v>
      </c>
      <c r="Z11" s="3">
        <f t="shared" si="5"/>
        <v>0.4</v>
      </c>
      <c r="AA11" s="3">
        <f>X11/'energy battery'!B$3</f>
        <v>2.5</v>
      </c>
      <c r="AB11" s="3">
        <f t="shared" si="6"/>
        <v>0.75</v>
      </c>
      <c r="AC11" s="3">
        <f t="shared" si="7"/>
        <v>3.25</v>
      </c>
      <c r="AD11">
        <v>1</v>
      </c>
      <c r="AE11">
        <v>0</v>
      </c>
      <c r="AF11">
        <v>0</v>
      </c>
      <c r="AG11">
        <v>0</v>
      </c>
      <c r="AH11">
        <v>0</v>
      </c>
      <c r="AI11">
        <v>0.5</v>
      </c>
      <c r="AJ11">
        <v>1</v>
      </c>
      <c r="AK11">
        <f t="shared" si="12"/>
        <v>5</v>
      </c>
      <c r="AL11">
        <f t="shared" si="8"/>
        <v>5.061225E-5</v>
      </c>
      <c r="AM11">
        <v>0</v>
      </c>
      <c r="AN11" s="2">
        <f t="shared" si="9"/>
        <v>16</v>
      </c>
      <c r="AO11" s="2">
        <f t="shared" si="10"/>
        <v>4</v>
      </c>
      <c r="AP11" s="2">
        <f t="shared" si="11"/>
        <v>3.25</v>
      </c>
      <c r="AQ11" s="6" t="s">
        <v>86</v>
      </c>
      <c r="AR11" s="5">
        <v>2.4670639149862349E-2</v>
      </c>
      <c r="AS11" s="2">
        <f>SUM(Z11,AG11)/(SUM(AQ11:AR11)/3.6)</f>
        <v>58.368978251949123</v>
      </c>
      <c r="AT11" s="5">
        <v>0</v>
      </c>
      <c r="AU11" s="7">
        <v>0</v>
      </c>
      <c r="AV11" s="7">
        <v>0</v>
      </c>
      <c r="AW11" s="7">
        <v>0</v>
      </c>
      <c r="AX11" s="7">
        <v>0</v>
      </c>
      <c r="AY11" s="7">
        <v>0</v>
      </c>
      <c r="AZ11" s="7">
        <v>0</v>
      </c>
      <c r="BA11" s="7">
        <v>0</v>
      </c>
      <c r="BB11" s="7">
        <v>0</v>
      </c>
      <c r="BC11" s="7">
        <v>0</v>
      </c>
      <c r="BD11" s="7">
        <v>0</v>
      </c>
      <c r="BE11" s="7">
        <v>0</v>
      </c>
      <c r="BF11" s="7">
        <v>0</v>
      </c>
      <c r="BG11" s="7">
        <v>0</v>
      </c>
      <c r="BH11" s="7">
        <v>0</v>
      </c>
      <c r="BI11" s="7">
        <v>0</v>
      </c>
      <c r="BJ11" s="7">
        <v>0</v>
      </c>
      <c r="BK11" s="7">
        <v>0</v>
      </c>
      <c r="BL11" s="7">
        <v>0</v>
      </c>
      <c r="BM11" s="7">
        <v>0</v>
      </c>
      <c r="BN11" s="7">
        <v>0</v>
      </c>
      <c r="BO11" s="7">
        <v>0</v>
      </c>
      <c r="BP11" s="7">
        <v>0</v>
      </c>
      <c r="BQ11" s="7">
        <v>0</v>
      </c>
      <c r="BR11" s="7">
        <v>0</v>
      </c>
      <c r="BS11" s="7">
        <v>0</v>
      </c>
      <c r="BT11" s="7">
        <v>0</v>
      </c>
      <c r="BU11" s="7">
        <v>0</v>
      </c>
      <c r="BV11" s="7">
        <v>0</v>
      </c>
      <c r="BW11" s="7">
        <v>0</v>
      </c>
      <c r="BX11" s="7">
        <v>0</v>
      </c>
      <c r="BY11" s="7">
        <v>0</v>
      </c>
      <c r="BZ11" s="7">
        <v>0</v>
      </c>
      <c r="CA11" s="7">
        <v>0</v>
      </c>
      <c r="CB11" s="7">
        <v>0</v>
      </c>
      <c r="CC11" s="7">
        <v>0</v>
      </c>
      <c r="CD11" s="7">
        <v>0</v>
      </c>
      <c r="CE11" s="7">
        <v>0</v>
      </c>
      <c r="CF11" s="7">
        <v>0</v>
      </c>
      <c r="CG11" s="7">
        <v>0</v>
      </c>
      <c r="CH11" s="7">
        <v>0</v>
      </c>
      <c r="CI11" s="7">
        <f>VLOOKUP(B11,'abrasion emissions'!$A$4:$D$32,4,FALSE)</f>
        <v>3.0000000000000001E-6</v>
      </c>
      <c r="CJ11" s="7">
        <f>VLOOKUP(B11,'abrasion emissions'!$A$4:$D$32,2,FALSE)</f>
        <v>2.9189999999999999E-6</v>
      </c>
      <c r="CK11" s="7">
        <f>VLOOKUP(B11,'abrasion emissions'!$A$4:$D$32,3,FALSE)</f>
        <v>1.8370000000000002E-6</v>
      </c>
    </row>
    <row r="12" spans="1:89" x14ac:dyDescent="0.3">
      <c r="A12" t="str">
        <f t="shared" si="1"/>
        <v>Bicycle, electric (&lt;25 km/h) - 2030 - CH</v>
      </c>
      <c r="B12" t="s">
        <v>517</v>
      </c>
      <c r="D12">
        <v>2030</v>
      </c>
      <c r="E12" t="s">
        <v>37</v>
      </c>
      <c r="F12" t="s">
        <v>146</v>
      </c>
      <c r="G12" t="s">
        <v>39</v>
      </c>
      <c r="H12" t="s">
        <v>32</v>
      </c>
      <c r="I12" t="s">
        <v>43</v>
      </c>
      <c r="J12" s="21">
        <v>20000</v>
      </c>
      <c r="K12" s="21">
        <v>2060</v>
      </c>
      <c r="L12" s="2">
        <f t="shared" si="2"/>
        <v>9.7087378640776691</v>
      </c>
      <c r="M12">
        <v>1</v>
      </c>
      <c r="N12">
        <v>70</v>
      </c>
      <c r="O12">
        <v>1</v>
      </c>
      <c r="P12" s="2">
        <f t="shared" si="0"/>
        <v>22.886666666666663</v>
      </c>
      <c r="Q12" s="2">
        <f t="shared" si="3"/>
        <v>93.886666666666656</v>
      </c>
      <c r="R12">
        <v>0.3</v>
      </c>
      <c r="S12" s="2">
        <v>16</v>
      </c>
      <c r="T12" s="1">
        <v>0.03</v>
      </c>
      <c r="U12" s="2">
        <f t="shared" si="4"/>
        <v>15.52</v>
      </c>
      <c r="V12">
        <v>0</v>
      </c>
      <c r="W12">
        <v>3.9</v>
      </c>
      <c r="X12" s="3">
        <v>0.8</v>
      </c>
      <c r="Y12" s="1">
        <v>0.8</v>
      </c>
      <c r="Z12" s="3">
        <f t="shared" si="5"/>
        <v>0.64000000000000012</v>
      </c>
      <c r="AA12" s="3">
        <f>X12/'energy battery'!B$4</f>
        <v>2.666666666666667</v>
      </c>
      <c r="AB12" s="3">
        <f t="shared" si="6"/>
        <v>0.8</v>
      </c>
      <c r="AC12" s="3">
        <f t="shared" si="7"/>
        <v>3.4666666666666668</v>
      </c>
      <c r="AD12">
        <v>0.5</v>
      </c>
      <c r="AE12">
        <v>0</v>
      </c>
      <c r="AF12">
        <v>0</v>
      </c>
      <c r="AG12">
        <v>0</v>
      </c>
      <c r="AH12">
        <v>0</v>
      </c>
      <c r="AI12">
        <v>0.5</v>
      </c>
      <c r="AJ12">
        <v>1</v>
      </c>
      <c r="AK12">
        <f t="shared" si="12"/>
        <v>5</v>
      </c>
      <c r="AL12">
        <f t="shared" si="8"/>
        <v>5.0417139999999991E-5</v>
      </c>
      <c r="AM12">
        <v>0</v>
      </c>
      <c r="AN12" s="2">
        <f t="shared" si="9"/>
        <v>15.52</v>
      </c>
      <c r="AO12" s="2">
        <f t="shared" si="10"/>
        <v>3.9</v>
      </c>
      <c r="AP12" s="2">
        <f t="shared" si="11"/>
        <v>3.4666666666666668</v>
      </c>
      <c r="AQ12" s="6" t="s">
        <v>86</v>
      </c>
      <c r="AR12" s="5">
        <v>2.4670639149862349E-2</v>
      </c>
      <c r="AS12" s="2">
        <f>SUM(Z12,AG12)/(SUM(AQ12:AR12)/3.6)</f>
        <v>93.390365203118606</v>
      </c>
      <c r="AT12" s="5">
        <v>0</v>
      </c>
      <c r="AU12" s="7">
        <v>0</v>
      </c>
      <c r="AV12" s="7">
        <v>0</v>
      </c>
      <c r="AW12" s="7">
        <v>0</v>
      </c>
      <c r="AX12" s="7">
        <v>0</v>
      </c>
      <c r="AY12" s="7">
        <v>0</v>
      </c>
      <c r="AZ12" s="7">
        <v>0</v>
      </c>
      <c r="BA12" s="7">
        <v>0</v>
      </c>
      <c r="BB12" s="7">
        <v>0</v>
      </c>
      <c r="BC12" s="7">
        <v>0</v>
      </c>
      <c r="BD12" s="7">
        <v>0</v>
      </c>
      <c r="BE12" s="7">
        <v>0</v>
      </c>
      <c r="BF12" s="7">
        <v>0</v>
      </c>
      <c r="BG12" s="7">
        <v>0</v>
      </c>
      <c r="BH12" s="7">
        <v>0</v>
      </c>
      <c r="BI12" s="7">
        <v>0</v>
      </c>
      <c r="BJ12" s="7">
        <v>0</v>
      </c>
      <c r="BK12" s="7">
        <v>0</v>
      </c>
      <c r="BL12" s="7">
        <v>0</v>
      </c>
      <c r="BM12" s="7">
        <v>0</v>
      </c>
      <c r="BN12" s="7">
        <v>0</v>
      </c>
      <c r="BO12" s="7">
        <v>0</v>
      </c>
      <c r="BP12" s="7">
        <v>0</v>
      </c>
      <c r="BQ12" s="7">
        <v>0</v>
      </c>
      <c r="BR12" s="7">
        <v>0</v>
      </c>
      <c r="BS12" s="7">
        <v>0</v>
      </c>
      <c r="BT12" s="7">
        <v>0</v>
      </c>
      <c r="BU12" s="7">
        <v>0</v>
      </c>
      <c r="BV12" s="7">
        <v>0</v>
      </c>
      <c r="BW12" s="7">
        <v>0</v>
      </c>
      <c r="BX12" s="7">
        <v>0</v>
      </c>
      <c r="BY12" s="7">
        <v>0</v>
      </c>
      <c r="BZ12" s="7">
        <v>0</v>
      </c>
      <c r="CA12" s="7">
        <v>0</v>
      </c>
      <c r="CB12" s="7">
        <v>0</v>
      </c>
      <c r="CC12" s="7">
        <v>0</v>
      </c>
      <c r="CD12" s="7">
        <v>0</v>
      </c>
      <c r="CE12" s="7">
        <v>0</v>
      </c>
      <c r="CF12" s="7">
        <v>0</v>
      </c>
      <c r="CG12" s="7">
        <v>0</v>
      </c>
      <c r="CH12" s="7">
        <v>0</v>
      </c>
      <c r="CI12" s="7">
        <f>VLOOKUP(B12,'abrasion emissions'!$A$4:$D$32,4,FALSE)</f>
        <v>3.0000000000000001E-6</v>
      </c>
      <c r="CJ12" s="7">
        <f>VLOOKUP(B12,'abrasion emissions'!$A$4:$D$32,2,FALSE)</f>
        <v>2.9189999999999999E-6</v>
      </c>
      <c r="CK12" s="7">
        <f>VLOOKUP(B12,'abrasion emissions'!$A$4:$D$32,3,FALSE)</f>
        <v>1.8370000000000002E-6</v>
      </c>
    </row>
    <row r="13" spans="1:89" x14ac:dyDescent="0.3">
      <c r="A13" t="str">
        <f t="shared" si="1"/>
        <v>Bicycle, electric (&lt;25 km/h) - 2040 - CH</v>
      </c>
      <c r="B13" t="s">
        <v>517</v>
      </c>
      <c r="D13">
        <v>2040</v>
      </c>
      <c r="E13" t="s">
        <v>37</v>
      </c>
      <c r="F13" t="s">
        <v>146</v>
      </c>
      <c r="G13" t="s">
        <v>39</v>
      </c>
      <c r="H13" t="s">
        <v>32</v>
      </c>
      <c r="I13" t="s">
        <v>43</v>
      </c>
      <c r="J13" s="21">
        <v>20000</v>
      </c>
      <c r="K13" s="21">
        <v>2060</v>
      </c>
      <c r="L13" s="2">
        <f t="shared" si="2"/>
        <v>9.7087378640776691</v>
      </c>
      <c r="M13">
        <v>1</v>
      </c>
      <c r="N13">
        <v>70</v>
      </c>
      <c r="O13">
        <v>1</v>
      </c>
      <c r="P13" s="2">
        <f t="shared" si="0"/>
        <v>22.9</v>
      </c>
      <c r="Q13" s="2">
        <f t="shared" si="3"/>
        <v>93.9</v>
      </c>
      <c r="R13">
        <v>0.3</v>
      </c>
      <c r="S13" s="2">
        <v>16</v>
      </c>
      <c r="T13" s="1">
        <v>0.05</v>
      </c>
      <c r="U13" s="2">
        <f t="shared" si="4"/>
        <v>15.2</v>
      </c>
      <c r="V13">
        <v>0</v>
      </c>
      <c r="W13">
        <v>3.8</v>
      </c>
      <c r="X13" s="3">
        <v>1.2</v>
      </c>
      <c r="Y13" s="1">
        <v>0.8</v>
      </c>
      <c r="Z13" s="3">
        <f t="shared" si="5"/>
        <v>0.96</v>
      </c>
      <c r="AA13" s="3">
        <f>X13/'energy battery'!B$5</f>
        <v>2.9999999999999996</v>
      </c>
      <c r="AB13" s="3">
        <f t="shared" si="6"/>
        <v>0.8999999999999998</v>
      </c>
      <c r="AC13" s="3">
        <f t="shared" si="7"/>
        <v>3.8999999999999995</v>
      </c>
      <c r="AD13">
        <v>0.25</v>
      </c>
      <c r="AE13">
        <v>0</v>
      </c>
      <c r="AF13">
        <v>0</v>
      </c>
      <c r="AG13">
        <v>0</v>
      </c>
      <c r="AH13">
        <v>0</v>
      </c>
      <c r="AI13">
        <v>0.5</v>
      </c>
      <c r="AJ13">
        <v>1</v>
      </c>
      <c r="AK13">
        <f t="shared" si="12"/>
        <v>5</v>
      </c>
      <c r="AL13">
        <f t="shared" si="8"/>
        <v>5.0424300000000004E-5</v>
      </c>
      <c r="AM13">
        <v>0</v>
      </c>
      <c r="AN13" s="2">
        <f t="shared" si="9"/>
        <v>15.2</v>
      </c>
      <c r="AO13" s="2">
        <f t="shared" si="10"/>
        <v>3.8</v>
      </c>
      <c r="AP13" s="2">
        <f t="shared" si="11"/>
        <v>3.8999999999999995</v>
      </c>
      <c r="AQ13" s="6" t="s">
        <v>86</v>
      </c>
      <c r="AR13" s="5">
        <v>2.4670639149862349E-2</v>
      </c>
      <c r="AS13" s="2">
        <f>SUM(Z13,AG13)/(SUM(AQ13:AR13)/3.6)</f>
        <v>140.08554780467787</v>
      </c>
      <c r="AT13" s="5">
        <v>0</v>
      </c>
      <c r="AU13" s="7">
        <v>0</v>
      </c>
      <c r="AV13" s="7">
        <v>0</v>
      </c>
      <c r="AW13" s="7">
        <v>0</v>
      </c>
      <c r="AX13" s="7">
        <v>0</v>
      </c>
      <c r="AY13" s="7">
        <v>0</v>
      </c>
      <c r="AZ13" s="7">
        <v>0</v>
      </c>
      <c r="BA13" s="7">
        <v>0</v>
      </c>
      <c r="BB13" s="7">
        <v>0</v>
      </c>
      <c r="BC13" s="7">
        <v>0</v>
      </c>
      <c r="BD13" s="7">
        <v>0</v>
      </c>
      <c r="BE13" s="7">
        <v>0</v>
      </c>
      <c r="BF13" s="7">
        <v>0</v>
      </c>
      <c r="BG13" s="7">
        <v>0</v>
      </c>
      <c r="BH13" s="7">
        <v>0</v>
      </c>
      <c r="BI13" s="7">
        <v>0</v>
      </c>
      <c r="BJ13" s="7">
        <v>0</v>
      </c>
      <c r="BK13" s="7">
        <v>0</v>
      </c>
      <c r="BL13" s="7">
        <v>0</v>
      </c>
      <c r="BM13" s="7">
        <v>0</v>
      </c>
      <c r="BN13" s="7">
        <v>0</v>
      </c>
      <c r="BO13" s="7">
        <v>0</v>
      </c>
      <c r="BP13" s="7">
        <v>0</v>
      </c>
      <c r="BQ13" s="7">
        <v>0</v>
      </c>
      <c r="BR13" s="7">
        <v>0</v>
      </c>
      <c r="BS13" s="7">
        <v>0</v>
      </c>
      <c r="BT13" s="7">
        <v>0</v>
      </c>
      <c r="BU13" s="7">
        <v>0</v>
      </c>
      <c r="BV13" s="7">
        <v>0</v>
      </c>
      <c r="BW13" s="7">
        <v>0</v>
      </c>
      <c r="BX13" s="7">
        <v>0</v>
      </c>
      <c r="BY13" s="7">
        <v>0</v>
      </c>
      <c r="BZ13" s="7">
        <v>0</v>
      </c>
      <c r="CA13" s="7">
        <v>0</v>
      </c>
      <c r="CB13" s="7">
        <v>0</v>
      </c>
      <c r="CC13" s="7">
        <v>0</v>
      </c>
      <c r="CD13" s="7">
        <v>0</v>
      </c>
      <c r="CE13" s="7">
        <v>0</v>
      </c>
      <c r="CF13" s="7">
        <v>0</v>
      </c>
      <c r="CG13" s="7">
        <v>0</v>
      </c>
      <c r="CH13" s="7">
        <v>0</v>
      </c>
      <c r="CI13" s="7">
        <f>VLOOKUP(B13,'abrasion emissions'!$A$4:$D$32,4,FALSE)</f>
        <v>3.0000000000000001E-6</v>
      </c>
      <c r="CJ13" s="7">
        <f>VLOOKUP(B13,'abrasion emissions'!$A$4:$D$32,2,FALSE)</f>
        <v>2.9189999999999999E-6</v>
      </c>
      <c r="CK13" s="7">
        <f>VLOOKUP(B13,'abrasion emissions'!$A$4:$D$32,3,FALSE)</f>
        <v>1.8370000000000002E-6</v>
      </c>
    </row>
    <row r="14" spans="1:89" x14ac:dyDescent="0.3">
      <c r="A14" t="str">
        <f t="shared" si="1"/>
        <v>Bicycle, electric (&lt;25 km/h) - 2050 - CH</v>
      </c>
      <c r="B14" t="s">
        <v>517</v>
      </c>
      <c r="D14">
        <v>2050</v>
      </c>
      <c r="E14" t="s">
        <v>37</v>
      </c>
      <c r="F14" t="s">
        <v>146</v>
      </c>
      <c r="G14" t="s">
        <v>39</v>
      </c>
      <c r="H14" t="s">
        <v>32</v>
      </c>
      <c r="I14" t="s">
        <v>43</v>
      </c>
      <c r="J14" s="21">
        <v>20000</v>
      </c>
      <c r="K14" s="21">
        <v>2060</v>
      </c>
      <c r="L14" s="2">
        <f t="shared" si="2"/>
        <v>9.7087378640776691</v>
      </c>
      <c r="M14">
        <v>1</v>
      </c>
      <c r="N14">
        <v>70</v>
      </c>
      <c r="O14">
        <v>1</v>
      </c>
      <c r="P14" s="2">
        <f t="shared" si="0"/>
        <v>22.74</v>
      </c>
      <c r="Q14" s="2">
        <f t="shared" si="3"/>
        <v>93.74</v>
      </c>
      <c r="R14">
        <v>0.3</v>
      </c>
      <c r="S14" s="2">
        <v>16</v>
      </c>
      <c r="T14" s="1">
        <v>7.0000000000000007E-2</v>
      </c>
      <c r="U14" s="2">
        <f t="shared" si="4"/>
        <v>14.879999999999999</v>
      </c>
      <c r="V14">
        <v>0</v>
      </c>
      <c r="W14">
        <v>3.7</v>
      </c>
      <c r="X14" s="3">
        <v>1.6</v>
      </c>
      <c r="Y14" s="1">
        <v>0.8</v>
      </c>
      <c r="Z14" s="3">
        <f t="shared" si="5"/>
        <v>1.2800000000000002</v>
      </c>
      <c r="AA14" s="3">
        <f>X14/'energy battery'!B$6</f>
        <v>3.2</v>
      </c>
      <c r="AB14" s="3">
        <f t="shared" si="6"/>
        <v>0.96</v>
      </c>
      <c r="AC14" s="3">
        <f t="shared" si="7"/>
        <v>4.16</v>
      </c>
      <c r="AD14">
        <v>0</v>
      </c>
      <c r="AE14">
        <v>0</v>
      </c>
      <c r="AF14">
        <v>0</v>
      </c>
      <c r="AG14">
        <v>0</v>
      </c>
      <c r="AH14">
        <v>0</v>
      </c>
      <c r="AI14">
        <v>0.5</v>
      </c>
      <c r="AJ14">
        <v>1</v>
      </c>
      <c r="AK14">
        <f t="shared" si="12"/>
        <v>5</v>
      </c>
      <c r="AL14">
        <f t="shared" si="8"/>
        <v>5.0338379999999998E-5</v>
      </c>
      <c r="AM14">
        <v>0</v>
      </c>
      <c r="AN14" s="2">
        <f t="shared" si="9"/>
        <v>14.879999999999999</v>
      </c>
      <c r="AO14" s="2">
        <f t="shared" si="10"/>
        <v>3.7</v>
      </c>
      <c r="AP14" s="2">
        <f t="shared" si="11"/>
        <v>4.16</v>
      </c>
      <c r="AQ14" s="6" t="s">
        <v>86</v>
      </c>
      <c r="AR14" s="5">
        <v>2.4670639149862349E-2</v>
      </c>
      <c r="AS14" s="2">
        <f>SUM(Z14,AG14)/(SUM(AQ14:AR14)/3.6)</f>
        <v>186.78073040623721</v>
      </c>
      <c r="AT14" s="5">
        <v>0</v>
      </c>
      <c r="AU14" s="7">
        <v>0</v>
      </c>
      <c r="AV14" s="7">
        <v>0</v>
      </c>
      <c r="AW14" s="7">
        <v>0</v>
      </c>
      <c r="AX14" s="7">
        <v>0</v>
      </c>
      <c r="AY14" s="7">
        <v>0</v>
      </c>
      <c r="AZ14" s="7">
        <v>0</v>
      </c>
      <c r="BA14" s="7">
        <v>0</v>
      </c>
      <c r="BB14" s="7">
        <v>0</v>
      </c>
      <c r="BC14" s="7">
        <v>0</v>
      </c>
      <c r="BD14" s="7">
        <v>0</v>
      </c>
      <c r="BE14" s="7">
        <v>0</v>
      </c>
      <c r="BF14" s="7">
        <v>0</v>
      </c>
      <c r="BG14" s="7">
        <v>0</v>
      </c>
      <c r="BH14" s="7">
        <v>0</v>
      </c>
      <c r="BI14" s="7">
        <v>0</v>
      </c>
      <c r="BJ14" s="7">
        <v>0</v>
      </c>
      <c r="BK14" s="7">
        <v>0</v>
      </c>
      <c r="BL14" s="7">
        <v>0</v>
      </c>
      <c r="BM14" s="7">
        <v>0</v>
      </c>
      <c r="BN14" s="7">
        <v>0</v>
      </c>
      <c r="BO14" s="7">
        <v>0</v>
      </c>
      <c r="BP14" s="7">
        <v>0</v>
      </c>
      <c r="BQ14" s="7">
        <v>0</v>
      </c>
      <c r="BR14" s="7">
        <v>0</v>
      </c>
      <c r="BS14" s="7">
        <v>0</v>
      </c>
      <c r="BT14" s="7">
        <v>0</v>
      </c>
      <c r="BU14" s="7">
        <v>0</v>
      </c>
      <c r="BV14" s="7">
        <v>0</v>
      </c>
      <c r="BW14" s="7">
        <v>0</v>
      </c>
      <c r="BX14" s="7">
        <v>0</v>
      </c>
      <c r="BY14" s="7">
        <v>0</v>
      </c>
      <c r="BZ14" s="7">
        <v>0</v>
      </c>
      <c r="CA14" s="7">
        <v>0</v>
      </c>
      <c r="CB14" s="7">
        <v>0</v>
      </c>
      <c r="CC14" s="7">
        <v>0</v>
      </c>
      <c r="CD14" s="7">
        <v>0</v>
      </c>
      <c r="CE14" s="7">
        <v>0</v>
      </c>
      <c r="CF14" s="7">
        <v>0</v>
      </c>
      <c r="CG14" s="7">
        <v>0</v>
      </c>
      <c r="CH14" s="7">
        <v>0</v>
      </c>
      <c r="CI14" s="7">
        <f>VLOOKUP(B14,'abrasion emissions'!$A$4:$D$32,4,FALSE)</f>
        <v>3.0000000000000001E-6</v>
      </c>
      <c r="CJ14" s="7">
        <f>VLOOKUP(B14,'abrasion emissions'!$A$4:$D$32,2,FALSE)</f>
        <v>2.9189999999999999E-6</v>
      </c>
      <c r="CK14" s="7">
        <f>VLOOKUP(B14,'abrasion emissions'!$A$4:$D$32,3,FALSE)</f>
        <v>1.8370000000000002E-6</v>
      </c>
    </row>
    <row r="15" spans="1:89" x14ac:dyDescent="0.3">
      <c r="A15" t="str">
        <f t="shared" si="1"/>
        <v>Bicycle, electric (&lt;45 km/h) - 2020 - CH</v>
      </c>
      <c r="B15" t="s">
        <v>518</v>
      </c>
      <c r="D15">
        <v>2020</v>
      </c>
      <c r="E15" t="s">
        <v>37</v>
      </c>
      <c r="F15" t="s">
        <v>146</v>
      </c>
      <c r="G15" t="s">
        <v>39</v>
      </c>
      <c r="H15" t="s">
        <v>32</v>
      </c>
      <c r="I15" t="s">
        <v>43</v>
      </c>
      <c r="J15">
        <v>30000</v>
      </c>
      <c r="K15" s="21">
        <v>3000</v>
      </c>
      <c r="L15" s="2">
        <f t="shared" si="2"/>
        <v>10</v>
      </c>
      <c r="M15">
        <v>1</v>
      </c>
      <c r="N15">
        <v>70</v>
      </c>
      <c r="O15">
        <v>1</v>
      </c>
      <c r="P15" s="2">
        <f t="shared" si="0"/>
        <v>27.9</v>
      </c>
      <c r="Q15" s="2">
        <f t="shared" si="3"/>
        <v>98.9</v>
      </c>
      <c r="R15">
        <v>0.5</v>
      </c>
      <c r="S15" s="2">
        <v>19</v>
      </c>
      <c r="T15" s="1">
        <v>0</v>
      </c>
      <c r="U15" s="2">
        <f t="shared" si="4"/>
        <v>19</v>
      </c>
      <c r="V15">
        <v>0</v>
      </c>
      <c r="W15">
        <v>5</v>
      </c>
      <c r="X15" s="3">
        <v>0.6</v>
      </c>
      <c r="Y15" s="1">
        <v>0.8</v>
      </c>
      <c r="Z15" s="3">
        <f t="shared" si="5"/>
        <v>0.48</v>
      </c>
      <c r="AA15" s="3">
        <f>X15/'energy battery'!B$3</f>
        <v>2.9999999999999996</v>
      </c>
      <c r="AB15" s="3">
        <f t="shared" si="6"/>
        <v>0.8999999999999998</v>
      </c>
      <c r="AC15" s="3">
        <f t="shared" si="7"/>
        <v>3.8999999999999995</v>
      </c>
      <c r="AD15">
        <v>1</v>
      </c>
      <c r="AE15">
        <v>0</v>
      </c>
      <c r="AF15">
        <v>0</v>
      </c>
      <c r="AG15">
        <v>0</v>
      </c>
      <c r="AH15">
        <v>0</v>
      </c>
      <c r="AI15">
        <v>0.5</v>
      </c>
      <c r="AJ15">
        <v>1</v>
      </c>
      <c r="AK15">
        <f t="shared" si="12"/>
        <v>7.5</v>
      </c>
      <c r="AL15">
        <f t="shared" si="8"/>
        <v>5.3109300000000003E-5</v>
      </c>
      <c r="AM15">
        <v>0</v>
      </c>
      <c r="AN15" s="2">
        <f t="shared" si="9"/>
        <v>19</v>
      </c>
      <c r="AO15" s="2">
        <f t="shared" si="10"/>
        <v>5</v>
      </c>
      <c r="AP15" s="2">
        <f t="shared" si="11"/>
        <v>3.8999999999999995</v>
      </c>
      <c r="AQ15" s="6" t="s">
        <v>86</v>
      </c>
      <c r="AR15" s="5">
        <v>4.5308940859381523E-2</v>
      </c>
      <c r="AS15" s="2">
        <f>SUM(Z15,AG15)/(SUM(AQ15:AR15)/3.6)</f>
        <v>38.13816803537587</v>
      </c>
      <c r="AT15" s="5">
        <v>0</v>
      </c>
      <c r="AU15" s="7">
        <v>0</v>
      </c>
      <c r="AV15" s="7">
        <v>0</v>
      </c>
      <c r="AW15" s="7">
        <v>0</v>
      </c>
      <c r="AX15" s="7">
        <v>0</v>
      </c>
      <c r="AY15" s="7">
        <v>0</v>
      </c>
      <c r="AZ15" s="7">
        <v>0</v>
      </c>
      <c r="BA15" s="7">
        <v>0</v>
      </c>
      <c r="BB15" s="7">
        <v>0</v>
      </c>
      <c r="BC15" s="7">
        <v>0</v>
      </c>
      <c r="BD15" s="7">
        <v>0</v>
      </c>
      <c r="BE15" s="7">
        <v>0</v>
      </c>
      <c r="BF15" s="7">
        <v>0</v>
      </c>
      <c r="BG15" s="7">
        <v>0</v>
      </c>
      <c r="BH15" s="7">
        <v>0</v>
      </c>
      <c r="BI15" s="7">
        <v>0</v>
      </c>
      <c r="BJ15" s="7">
        <v>0</v>
      </c>
      <c r="BK15" s="7">
        <v>0</v>
      </c>
      <c r="BL15" s="7">
        <v>0</v>
      </c>
      <c r="BM15" s="7">
        <v>0</v>
      </c>
      <c r="BN15" s="7">
        <v>0</v>
      </c>
      <c r="BO15" s="7">
        <v>0</v>
      </c>
      <c r="BP15" s="7">
        <v>0</v>
      </c>
      <c r="BQ15" s="7">
        <v>0</v>
      </c>
      <c r="BR15" s="7">
        <v>0</v>
      </c>
      <c r="BS15" s="7">
        <v>0</v>
      </c>
      <c r="BT15" s="7">
        <v>0</v>
      </c>
      <c r="BU15" s="7">
        <v>0</v>
      </c>
      <c r="BV15" s="7">
        <v>0</v>
      </c>
      <c r="BW15" s="7">
        <v>0</v>
      </c>
      <c r="BX15" s="7">
        <v>0</v>
      </c>
      <c r="BY15" s="7">
        <v>0</v>
      </c>
      <c r="BZ15" s="7">
        <v>0</v>
      </c>
      <c r="CA15" s="7">
        <v>0</v>
      </c>
      <c r="CB15" s="7">
        <v>0</v>
      </c>
      <c r="CC15" s="7">
        <v>0</v>
      </c>
      <c r="CD15" s="7">
        <v>0</v>
      </c>
      <c r="CE15" s="7">
        <v>0</v>
      </c>
      <c r="CF15" s="7">
        <v>0</v>
      </c>
      <c r="CG15" s="7">
        <v>0</v>
      </c>
      <c r="CH15" s="7">
        <v>0</v>
      </c>
      <c r="CI15" s="7">
        <f>VLOOKUP(B15,'abrasion emissions'!$A$4:$D$32,4,FALSE)</f>
        <v>3.0000000000000001E-6</v>
      </c>
      <c r="CJ15" s="7">
        <f>VLOOKUP(B15,'abrasion emissions'!$A$4:$D$32,2,FALSE)</f>
        <v>2.9189999999999999E-6</v>
      </c>
      <c r="CK15" s="7">
        <f>VLOOKUP(B15,'abrasion emissions'!$A$4:$D$32,3,FALSE)</f>
        <v>1.8370000000000002E-6</v>
      </c>
    </row>
    <row r="16" spans="1:89" x14ac:dyDescent="0.3">
      <c r="A16" t="str">
        <f t="shared" si="1"/>
        <v>Bicycle, electric (&lt;45 km/h) - 2030 - CH</v>
      </c>
      <c r="B16" t="s">
        <v>518</v>
      </c>
      <c r="D16">
        <v>2030</v>
      </c>
      <c r="E16" t="s">
        <v>37</v>
      </c>
      <c r="F16" t="s">
        <v>146</v>
      </c>
      <c r="G16" t="s">
        <v>39</v>
      </c>
      <c r="H16" t="s">
        <v>32</v>
      </c>
      <c r="I16" t="s">
        <v>43</v>
      </c>
      <c r="J16" s="21">
        <v>30000</v>
      </c>
      <c r="K16" s="21">
        <v>3000</v>
      </c>
      <c r="L16" s="2">
        <f t="shared" si="2"/>
        <v>10</v>
      </c>
      <c r="M16">
        <v>1</v>
      </c>
      <c r="N16">
        <v>70</v>
      </c>
      <c r="O16">
        <v>1</v>
      </c>
      <c r="P16" s="2">
        <f t="shared" si="0"/>
        <v>27.663333333333334</v>
      </c>
      <c r="Q16" s="2">
        <f t="shared" si="3"/>
        <v>98.663333333333327</v>
      </c>
      <c r="R16">
        <v>0.5</v>
      </c>
      <c r="S16" s="2">
        <v>19</v>
      </c>
      <c r="T16" s="1">
        <v>0.03</v>
      </c>
      <c r="U16" s="2">
        <f t="shared" si="4"/>
        <v>18.43</v>
      </c>
      <c r="V16">
        <v>0</v>
      </c>
      <c r="W16">
        <v>4.9000000000000004</v>
      </c>
      <c r="X16" s="3">
        <v>1</v>
      </c>
      <c r="Y16" s="1">
        <v>0.8</v>
      </c>
      <c r="Z16" s="3">
        <f t="shared" si="5"/>
        <v>0.8</v>
      </c>
      <c r="AA16" s="3">
        <f>X16/'energy battery'!B$4</f>
        <v>3.3333333333333335</v>
      </c>
      <c r="AB16" s="3">
        <f t="shared" si="6"/>
        <v>1</v>
      </c>
      <c r="AC16" s="3">
        <f t="shared" si="7"/>
        <v>4.3333333333333339</v>
      </c>
      <c r="AD16">
        <v>0.5</v>
      </c>
      <c r="AE16">
        <v>0</v>
      </c>
      <c r="AF16">
        <v>0</v>
      </c>
      <c r="AG16">
        <v>0</v>
      </c>
      <c r="AH16">
        <v>0</v>
      </c>
      <c r="AI16">
        <v>0.5</v>
      </c>
      <c r="AJ16">
        <v>1</v>
      </c>
      <c r="AK16">
        <f t="shared" si="12"/>
        <v>7.5</v>
      </c>
      <c r="AL16">
        <f t="shared" si="8"/>
        <v>5.2982209999999996E-5</v>
      </c>
      <c r="AM16">
        <v>0</v>
      </c>
      <c r="AN16" s="2">
        <f t="shared" si="9"/>
        <v>18.43</v>
      </c>
      <c r="AO16" s="2">
        <f t="shared" si="10"/>
        <v>4.9000000000000004</v>
      </c>
      <c r="AP16" s="2">
        <f t="shared" si="11"/>
        <v>4.3333333333333339</v>
      </c>
      <c r="AQ16" s="6" t="s">
        <v>86</v>
      </c>
      <c r="AR16" s="5">
        <v>4.5308940859381523E-2</v>
      </c>
      <c r="AS16" s="2">
        <f>SUM(Z16,AG16)/(SUM(AQ16:AR16)/3.6)</f>
        <v>63.563613392293121</v>
      </c>
      <c r="AT16" s="5">
        <v>0</v>
      </c>
      <c r="AU16" s="7">
        <v>0</v>
      </c>
      <c r="AV16" s="7">
        <v>0</v>
      </c>
      <c r="AW16" s="7">
        <v>0</v>
      </c>
      <c r="AX16" s="7">
        <v>0</v>
      </c>
      <c r="AY16" s="7">
        <v>0</v>
      </c>
      <c r="AZ16" s="7">
        <v>0</v>
      </c>
      <c r="BA16" s="7">
        <v>0</v>
      </c>
      <c r="BB16" s="7">
        <v>0</v>
      </c>
      <c r="BC16" s="7">
        <v>0</v>
      </c>
      <c r="BD16" s="7">
        <v>0</v>
      </c>
      <c r="BE16" s="7">
        <v>0</v>
      </c>
      <c r="BF16" s="7">
        <v>0</v>
      </c>
      <c r="BG16" s="7">
        <v>0</v>
      </c>
      <c r="BH16" s="7">
        <v>0</v>
      </c>
      <c r="BI16" s="7">
        <v>0</v>
      </c>
      <c r="BJ16" s="7">
        <v>0</v>
      </c>
      <c r="BK16" s="7">
        <v>0</v>
      </c>
      <c r="BL16" s="7">
        <v>0</v>
      </c>
      <c r="BM16" s="7">
        <v>0</v>
      </c>
      <c r="BN16" s="7">
        <v>0</v>
      </c>
      <c r="BO16" s="7">
        <v>0</v>
      </c>
      <c r="BP16" s="7">
        <v>0</v>
      </c>
      <c r="BQ16" s="7">
        <v>0</v>
      </c>
      <c r="BR16" s="7">
        <v>0</v>
      </c>
      <c r="BS16" s="7">
        <v>0</v>
      </c>
      <c r="BT16" s="7">
        <v>0</v>
      </c>
      <c r="BU16" s="7">
        <v>0</v>
      </c>
      <c r="BV16" s="7">
        <v>0</v>
      </c>
      <c r="BW16" s="7">
        <v>0</v>
      </c>
      <c r="BX16" s="7">
        <v>0</v>
      </c>
      <c r="BY16" s="7">
        <v>0</v>
      </c>
      <c r="BZ16" s="7">
        <v>0</v>
      </c>
      <c r="CA16" s="7">
        <v>0</v>
      </c>
      <c r="CB16" s="7">
        <v>0</v>
      </c>
      <c r="CC16" s="7">
        <v>0</v>
      </c>
      <c r="CD16" s="7">
        <v>0</v>
      </c>
      <c r="CE16" s="7">
        <v>0</v>
      </c>
      <c r="CF16" s="7">
        <v>0</v>
      </c>
      <c r="CG16" s="7">
        <v>0</v>
      </c>
      <c r="CH16" s="7">
        <v>0</v>
      </c>
      <c r="CI16" s="7">
        <f>VLOOKUP(B16,'abrasion emissions'!$A$4:$D$32,4,FALSE)</f>
        <v>3.0000000000000001E-6</v>
      </c>
      <c r="CJ16" s="7">
        <f>VLOOKUP(B16,'abrasion emissions'!$A$4:$D$32,2,FALSE)</f>
        <v>2.9189999999999999E-6</v>
      </c>
      <c r="CK16" s="7">
        <f>VLOOKUP(B16,'abrasion emissions'!$A$4:$D$32,3,FALSE)</f>
        <v>1.8370000000000002E-6</v>
      </c>
    </row>
    <row r="17" spans="1:89" x14ac:dyDescent="0.3">
      <c r="A17" t="str">
        <f t="shared" si="1"/>
        <v>Bicycle, electric (&lt;45 km/h) - 2040 - CH</v>
      </c>
      <c r="B17" t="s">
        <v>518</v>
      </c>
      <c r="D17">
        <v>2040</v>
      </c>
      <c r="E17" t="s">
        <v>37</v>
      </c>
      <c r="F17" t="s">
        <v>146</v>
      </c>
      <c r="G17" t="s">
        <v>39</v>
      </c>
      <c r="H17" t="s">
        <v>32</v>
      </c>
      <c r="I17" t="s">
        <v>43</v>
      </c>
      <c r="J17" s="21">
        <v>30000</v>
      </c>
      <c r="K17" s="21">
        <v>3000</v>
      </c>
      <c r="L17" s="2">
        <f t="shared" si="2"/>
        <v>10</v>
      </c>
      <c r="M17">
        <v>1</v>
      </c>
      <c r="N17">
        <v>70</v>
      </c>
      <c r="O17">
        <v>1</v>
      </c>
      <c r="P17" s="2">
        <f t="shared" si="0"/>
        <v>27.625</v>
      </c>
      <c r="Q17" s="2">
        <f t="shared" si="3"/>
        <v>98.625</v>
      </c>
      <c r="R17">
        <v>0.5</v>
      </c>
      <c r="S17" s="2">
        <v>19</v>
      </c>
      <c r="T17" s="1">
        <v>0.05</v>
      </c>
      <c r="U17" s="2">
        <f t="shared" si="4"/>
        <v>18.05</v>
      </c>
      <c r="V17">
        <v>0</v>
      </c>
      <c r="W17">
        <v>4.7</v>
      </c>
      <c r="X17" s="3">
        <v>1.5</v>
      </c>
      <c r="Y17" s="1">
        <v>0.8</v>
      </c>
      <c r="Z17" s="3">
        <f t="shared" si="5"/>
        <v>1.2000000000000002</v>
      </c>
      <c r="AA17" s="3">
        <f>X17/'energy battery'!B$5</f>
        <v>3.75</v>
      </c>
      <c r="AB17" s="3">
        <f t="shared" si="6"/>
        <v>1.125</v>
      </c>
      <c r="AC17" s="3">
        <f t="shared" si="7"/>
        <v>4.875</v>
      </c>
      <c r="AD17">
        <v>0.25</v>
      </c>
      <c r="AE17">
        <v>0</v>
      </c>
      <c r="AF17">
        <v>0</v>
      </c>
      <c r="AG17">
        <v>0</v>
      </c>
      <c r="AH17">
        <v>0</v>
      </c>
      <c r="AI17">
        <v>0.5</v>
      </c>
      <c r="AJ17">
        <v>1</v>
      </c>
      <c r="AK17">
        <f t="shared" si="12"/>
        <v>7.5</v>
      </c>
      <c r="AL17">
        <f t="shared" si="8"/>
        <v>5.2961625E-5</v>
      </c>
      <c r="AM17">
        <v>0</v>
      </c>
      <c r="AN17" s="2">
        <f t="shared" si="9"/>
        <v>18.05</v>
      </c>
      <c r="AO17" s="2">
        <f t="shared" si="10"/>
        <v>4.7</v>
      </c>
      <c r="AP17" s="2">
        <f t="shared" si="11"/>
        <v>4.875</v>
      </c>
      <c r="AQ17" s="6" t="s">
        <v>86</v>
      </c>
      <c r="AR17" s="5">
        <v>4.5308940859381523E-2</v>
      </c>
      <c r="AS17" s="2">
        <f>SUM(Z17,AG17)/(SUM(AQ17:AR17)/3.6)</f>
        <v>95.345420088439695</v>
      </c>
      <c r="AT17" s="5">
        <v>0</v>
      </c>
      <c r="AU17" s="7">
        <v>0</v>
      </c>
      <c r="AV17" s="7">
        <v>0</v>
      </c>
      <c r="AW17" s="7">
        <v>0</v>
      </c>
      <c r="AX17" s="7">
        <v>0</v>
      </c>
      <c r="AY17" s="7">
        <v>0</v>
      </c>
      <c r="AZ17" s="7">
        <v>0</v>
      </c>
      <c r="BA17" s="7">
        <v>0</v>
      </c>
      <c r="BB17" s="7">
        <v>0</v>
      </c>
      <c r="BC17" s="7">
        <v>0</v>
      </c>
      <c r="BD17" s="7">
        <v>0</v>
      </c>
      <c r="BE17" s="7">
        <v>0</v>
      </c>
      <c r="BF17" s="7">
        <v>0</v>
      </c>
      <c r="BG17" s="7">
        <v>0</v>
      </c>
      <c r="BH17" s="7">
        <v>0</v>
      </c>
      <c r="BI17" s="7">
        <v>0</v>
      </c>
      <c r="BJ17" s="7">
        <v>0</v>
      </c>
      <c r="BK17" s="7">
        <v>0</v>
      </c>
      <c r="BL17" s="7">
        <v>0</v>
      </c>
      <c r="BM17" s="7">
        <v>0</v>
      </c>
      <c r="BN17" s="7">
        <v>0</v>
      </c>
      <c r="BO17" s="7">
        <v>0</v>
      </c>
      <c r="BP17" s="7">
        <v>0</v>
      </c>
      <c r="BQ17" s="7">
        <v>0</v>
      </c>
      <c r="BR17" s="7">
        <v>0</v>
      </c>
      <c r="BS17" s="7">
        <v>0</v>
      </c>
      <c r="BT17" s="7">
        <v>0</v>
      </c>
      <c r="BU17" s="7">
        <v>0</v>
      </c>
      <c r="BV17" s="7">
        <v>0</v>
      </c>
      <c r="BW17" s="7">
        <v>0</v>
      </c>
      <c r="BX17" s="7">
        <v>0</v>
      </c>
      <c r="BY17" s="7">
        <v>0</v>
      </c>
      <c r="BZ17" s="7">
        <v>0</v>
      </c>
      <c r="CA17" s="7">
        <v>0</v>
      </c>
      <c r="CB17" s="7">
        <v>0</v>
      </c>
      <c r="CC17" s="7">
        <v>0</v>
      </c>
      <c r="CD17" s="7">
        <v>0</v>
      </c>
      <c r="CE17" s="7">
        <v>0</v>
      </c>
      <c r="CF17" s="7">
        <v>0</v>
      </c>
      <c r="CG17" s="7">
        <v>0</v>
      </c>
      <c r="CH17" s="7">
        <v>0</v>
      </c>
      <c r="CI17" s="7">
        <f>VLOOKUP(B17,'abrasion emissions'!$A$4:$D$32,4,FALSE)</f>
        <v>3.0000000000000001E-6</v>
      </c>
      <c r="CJ17" s="7">
        <f>VLOOKUP(B17,'abrasion emissions'!$A$4:$D$32,2,FALSE)</f>
        <v>2.9189999999999999E-6</v>
      </c>
      <c r="CK17" s="7">
        <f>VLOOKUP(B17,'abrasion emissions'!$A$4:$D$32,3,FALSE)</f>
        <v>1.8370000000000002E-6</v>
      </c>
    </row>
    <row r="18" spans="1:89" x14ac:dyDescent="0.3">
      <c r="A18" t="str">
        <f t="shared" si="1"/>
        <v>Bicycle, electric (&lt;45 km/h) - 2050 - CH</v>
      </c>
      <c r="B18" t="s">
        <v>518</v>
      </c>
      <c r="D18">
        <v>2050</v>
      </c>
      <c r="E18" t="s">
        <v>37</v>
      </c>
      <c r="F18" t="s">
        <v>146</v>
      </c>
      <c r="G18" t="s">
        <v>39</v>
      </c>
      <c r="H18" t="s">
        <v>32</v>
      </c>
      <c r="I18" t="s">
        <v>43</v>
      </c>
      <c r="J18" s="21">
        <v>30000</v>
      </c>
      <c r="K18" s="21">
        <v>3000</v>
      </c>
      <c r="L18" s="2">
        <f t="shared" si="2"/>
        <v>10</v>
      </c>
      <c r="M18">
        <v>1</v>
      </c>
      <c r="N18">
        <v>70</v>
      </c>
      <c r="O18">
        <v>1</v>
      </c>
      <c r="P18" s="2">
        <f t="shared" si="0"/>
        <v>27.989999999999995</v>
      </c>
      <c r="Q18" s="2">
        <f t="shared" si="3"/>
        <v>98.99</v>
      </c>
      <c r="R18">
        <v>0.5</v>
      </c>
      <c r="S18" s="2">
        <v>19</v>
      </c>
      <c r="T18" s="1">
        <v>7.0000000000000007E-2</v>
      </c>
      <c r="U18" s="2">
        <f t="shared" si="4"/>
        <v>17.669999999999998</v>
      </c>
      <c r="V18">
        <v>0</v>
      </c>
      <c r="W18">
        <v>4.5999999999999996</v>
      </c>
      <c r="X18" s="3">
        <v>2.2000000000000002</v>
      </c>
      <c r="Y18" s="1">
        <v>0.8</v>
      </c>
      <c r="Z18" s="3">
        <f t="shared" si="5"/>
        <v>1.7600000000000002</v>
      </c>
      <c r="AA18" s="3">
        <f>X18/'energy battery'!B$6</f>
        <v>4.4000000000000004</v>
      </c>
      <c r="AB18" s="3">
        <f t="shared" si="6"/>
        <v>1.32</v>
      </c>
      <c r="AC18" s="3">
        <f t="shared" si="7"/>
        <v>5.7200000000000006</v>
      </c>
      <c r="AD18">
        <v>0</v>
      </c>
      <c r="AE18">
        <v>0</v>
      </c>
      <c r="AF18">
        <v>0</v>
      </c>
      <c r="AG18">
        <v>0</v>
      </c>
      <c r="AH18">
        <v>0</v>
      </c>
      <c r="AI18">
        <v>0.5</v>
      </c>
      <c r="AJ18">
        <v>1</v>
      </c>
      <c r="AK18">
        <f t="shared" si="12"/>
        <v>7.5</v>
      </c>
      <c r="AL18">
        <f t="shared" si="8"/>
        <v>5.3157629999999996E-5</v>
      </c>
      <c r="AM18">
        <v>0</v>
      </c>
      <c r="AN18" s="2">
        <f t="shared" si="9"/>
        <v>17.669999999999998</v>
      </c>
      <c r="AO18" s="2">
        <f t="shared" si="10"/>
        <v>4.5999999999999996</v>
      </c>
      <c r="AP18" s="2">
        <f t="shared" si="11"/>
        <v>5.7200000000000006</v>
      </c>
      <c r="AQ18" s="6" t="s">
        <v>86</v>
      </c>
      <c r="AR18" s="5">
        <v>4.5308940859381523E-2</v>
      </c>
      <c r="AS18" s="2">
        <f>SUM(Z18,AG18)/(SUM(AQ18:AR18)/3.6)</f>
        <v>139.83994946304489</v>
      </c>
      <c r="AT18" s="5">
        <v>0</v>
      </c>
      <c r="AU18" s="7">
        <v>0</v>
      </c>
      <c r="AV18" s="7">
        <v>0</v>
      </c>
      <c r="AW18" s="7">
        <v>0</v>
      </c>
      <c r="AX18" s="7">
        <v>0</v>
      </c>
      <c r="AY18" s="7">
        <v>0</v>
      </c>
      <c r="AZ18" s="7">
        <v>0</v>
      </c>
      <c r="BA18" s="7">
        <v>0</v>
      </c>
      <c r="BB18" s="7">
        <v>0</v>
      </c>
      <c r="BC18" s="7">
        <v>0</v>
      </c>
      <c r="BD18" s="7">
        <v>0</v>
      </c>
      <c r="BE18" s="7">
        <v>0</v>
      </c>
      <c r="BF18" s="7">
        <v>0</v>
      </c>
      <c r="BG18" s="7">
        <v>0</v>
      </c>
      <c r="BH18" s="7">
        <v>0</v>
      </c>
      <c r="BI18" s="7">
        <v>0</v>
      </c>
      <c r="BJ18" s="7">
        <v>0</v>
      </c>
      <c r="BK18" s="7">
        <v>0</v>
      </c>
      <c r="BL18" s="7">
        <v>0</v>
      </c>
      <c r="BM18" s="7">
        <v>0</v>
      </c>
      <c r="BN18" s="7">
        <v>0</v>
      </c>
      <c r="BO18" s="7">
        <v>0</v>
      </c>
      <c r="BP18" s="7">
        <v>0</v>
      </c>
      <c r="BQ18" s="7">
        <v>0</v>
      </c>
      <c r="BR18" s="7">
        <v>0</v>
      </c>
      <c r="BS18" s="7">
        <v>0</v>
      </c>
      <c r="BT18" s="7">
        <v>0</v>
      </c>
      <c r="BU18" s="7">
        <v>0</v>
      </c>
      <c r="BV18" s="7">
        <v>0</v>
      </c>
      <c r="BW18" s="7">
        <v>0</v>
      </c>
      <c r="BX18" s="7">
        <v>0</v>
      </c>
      <c r="BY18" s="7">
        <v>0</v>
      </c>
      <c r="BZ18" s="7">
        <v>0</v>
      </c>
      <c r="CA18" s="7">
        <v>0</v>
      </c>
      <c r="CB18" s="7">
        <v>0</v>
      </c>
      <c r="CC18" s="7">
        <v>0</v>
      </c>
      <c r="CD18" s="7">
        <v>0</v>
      </c>
      <c r="CE18" s="7">
        <v>0</v>
      </c>
      <c r="CF18" s="7">
        <v>0</v>
      </c>
      <c r="CG18" s="7">
        <v>0</v>
      </c>
      <c r="CH18" s="7">
        <v>0</v>
      </c>
      <c r="CI18" s="7">
        <f>VLOOKUP(B18,'abrasion emissions'!$A$4:$D$32,4,FALSE)</f>
        <v>3.0000000000000001E-6</v>
      </c>
      <c r="CJ18" s="7">
        <f>VLOOKUP(B18,'abrasion emissions'!$A$4:$D$32,2,FALSE)</f>
        <v>2.9189999999999999E-6</v>
      </c>
      <c r="CK18" s="7">
        <f>VLOOKUP(B18,'abrasion emissions'!$A$4:$D$32,3,FALSE)</f>
        <v>1.8370000000000002E-6</v>
      </c>
    </row>
    <row r="19" spans="1:89" x14ac:dyDescent="0.3">
      <c r="A19" t="str">
        <f t="shared" si="1"/>
        <v>Bicycle, electric, cargo bike - 2020 - CH</v>
      </c>
      <c r="B19" t="s">
        <v>524</v>
      </c>
      <c r="D19">
        <v>2020</v>
      </c>
      <c r="E19" t="s">
        <v>37</v>
      </c>
      <c r="F19" t="s">
        <v>146</v>
      </c>
      <c r="G19" t="s">
        <v>39</v>
      </c>
      <c r="H19" t="s">
        <v>32</v>
      </c>
      <c r="I19" t="s">
        <v>43</v>
      </c>
      <c r="J19">
        <v>20000</v>
      </c>
      <c r="K19" s="21">
        <v>2060</v>
      </c>
      <c r="L19" s="2">
        <f t="shared" si="2"/>
        <v>9.7087378640776691</v>
      </c>
      <c r="M19">
        <v>1</v>
      </c>
      <c r="N19">
        <v>70</v>
      </c>
      <c r="O19">
        <v>1</v>
      </c>
      <c r="P19" s="2">
        <f t="shared" si="0"/>
        <v>36.9</v>
      </c>
      <c r="Q19" s="2">
        <f t="shared" si="3"/>
        <v>107.9</v>
      </c>
      <c r="R19">
        <v>0.5</v>
      </c>
      <c r="S19" s="2">
        <v>28</v>
      </c>
      <c r="T19" s="1">
        <v>0</v>
      </c>
      <c r="U19" s="2">
        <f t="shared" si="4"/>
        <v>28</v>
      </c>
      <c r="V19">
        <v>0</v>
      </c>
      <c r="W19">
        <v>5</v>
      </c>
      <c r="X19" s="3">
        <v>0.6</v>
      </c>
      <c r="Y19" s="1">
        <v>0.8</v>
      </c>
      <c r="Z19" s="3">
        <f t="shared" si="5"/>
        <v>0.48</v>
      </c>
      <c r="AA19" s="3">
        <f>X19/'energy battery'!B$3</f>
        <v>2.9999999999999996</v>
      </c>
      <c r="AB19" s="3">
        <f t="shared" si="6"/>
        <v>0.8999999999999998</v>
      </c>
      <c r="AC19" s="3">
        <f t="shared" si="7"/>
        <v>3.8999999999999995</v>
      </c>
      <c r="AD19">
        <v>1</v>
      </c>
      <c r="AE19">
        <v>0</v>
      </c>
      <c r="AF19">
        <v>0</v>
      </c>
      <c r="AG19">
        <v>0</v>
      </c>
      <c r="AH19">
        <v>0</v>
      </c>
      <c r="AI19">
        <v>0.5</v>
      </c>
      <c r="AJ19">
        <v>1</v>
      </c>
      <c r="AK19">
        <f t="shared" si="12"/>
        <v>5</v>
      </c>
      <c r="AL19">
        <f t="shared" si="8"/>
        <v>5.7942300000000003E-5</v>
      </c>
      <c r="AM19">
        <v>0</v>
      </c>
      <c r="AN19" s="2">
        <f t="shared" si="9"/>
        <v>28</v>
      </c>
      <c r="AO19" s="2">
        <f t="shared" si="10"/>
        <v>5</v>
      </c>
      <c r="AP19" s="2">
        <f t="shared" si="11"/>
        <v>3.8999999999999995</v>
      </c>
      <c r="AQ19" s="6" t="s">
        <v>86</v>
      </c>
      <c r="AR19" s="5">
        <v>3.4708323163290214E-2</v>
      </c>
      <c r="AS19" s="2">
        <f>SUM(Z19,AG19)/(SUM(AQ19:AR19)/3.6)</f>
        <v>49.786329113924047</v>
      </c>
      <c r="AT19" s="5">
        <v>0</v>
      </c>
      <c r="AU19" s="7">
        <v>0</v>
      </c>
      <c r="AV19" s="7">
        <v>0</v>
      </c>
      <c r="AW19" s="7">
        <v>0</v>
      </c>
      <c r="AX19" s="7">
        <v>0</v>
      </c>
      <c r="AY19" s="7">
        <v>0</v>
      </c>
      <c r="AZ19" s="7">
        <v>0</v>
      </c>
      <c r="BA19" s="7">
        <v>0</v>
      </c>
      <c r="BB19" s="7">
        <v>0</v>
      </c>
      <c r="BC19" s="7">
        <v>0</v>
      </c>
      <c r="BD19" s="7">
        <v>0</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f>VLOOKUP(B19,'abrasion emissions'!$A$4:$D$32,4,FALSE)</f>
        <v>3.0000000000000001E-6</v>
      </c>
      <c r="CJ19" s="7">
        <f>VLOOKUP(B19,'abrasion emissions'!$A$4:$D$32,2,FALSE)</f>
        <v>2.9189999999999999E-6</v>
      </c>
      <c r="CK19" s="7">
        <f>VLOOKUP(B19,'abrasion emissions'!$A$4:$D$32,3,FALSE)</f>
        <v>1.8370000000000002E-6</v>
      </c>
    </row>
    <row r="20" spans="1:89" x14ac:dyDescent="0.3">
      <c r="A20" t="str">
        <f t="shared" si="1"/>
        <v>Bicycle, electric, cargo bike - 2030 - CH</v>
      </c>
      <c r="B20" t="s">
        <v>524</v>
      </c>
      <c r="D20">
        <v>2030</v>
      </c>
      <c r="E20" t="s">
        <v>37</v>
      </c>
      <c r="F20" t="s">
        <v>146</v>
      </c>
      <c r="G20" t="s">
        <v>39</v>
      </c>
      <c r="H20" t="s">
        <v>32</v>
      </c>
      <c r="I20" t="s">
        <v>43</v>
      </c>
      <c r="J20" s="21">
        <v>20000</v>
      </c>
      <c r="K20" s="21">
        <v>2060</v>
      </c>
      <c r="L20" s="2">
        <f t="shared" si="2"/>
        <v>9.7087378640776691</v>
      </c>
      <c r="M20">
        <v>1</v>
      </c>
      <c r="N20">
        <v>70</v>
      </c>
      <c r="O20">
        <v>1</v>
      </c>
      <c r="P20" s="2">
        <f t="shared" si="0"/>
        <v>37.260000000000005</v>
      </c>
      <c r="Q20" s="2">
        <f t="shared" si="3"/>
        <v>108.26</v>
      </c>
      <c r="R20">
        <v>0.5</v>
      </c>
      <c r="S20" s="2">
        <v>28</v>
      </c>
      <c r="T20" s="1">
        <v>0.03</v>
      </c>
      <c r="U20" s="2">
        <f t="shared" si="4"/>
        <v>27.16</v>
      </c>
      <c r="V20">
        <v>0</v>
      </c>
      <c r="W20">
        <v>4.9000000000000004</v>
      </c>
      <c r="X20" s="3">
        <v>1.2</v>
      </c>
      <c r="Y20" s="1">
        <v>0.8</v>
      </c>
      <c r="Z20" s="3">
        <f t="shared" si="5"/>
        <v>0.96</v>
      </c>
      <c r="AA20" s="3">
        <f>X20/'energy battery'!B$4</f>
        <v>4</v>
      </c>
      <c r="AB20" s="3">
        <f t="shared" si="6"/>
        <v>1.2</v>
      </c>
      <c r="AC20" s="3">
        <f t="shared" si="7"/>
        <v>5.2</v>
      </c>
      <c r="AD20">
        <v>0.5</v>
      </c>
      <c r="AE20">
        <v>0</v>
      </c>
      <c r="AF20">
        <v>0</v>
      </c>
      <c r="AG20">
        <v>0</v>
      </c>
      <c r="AH20">
        <v>0</v>
      </c>
      <c r="AI20">
        <v>0.5</v>
      </c>
      <c r="AJ20">
        <v>1</v>
      </c>
      <c r="AK20">
        <f t="shared" si="12"/>
        <v>5</v>
      </c>
      <c r="AL20">
        <f t="shared" si="8"/>
        <v>5.8135620000000001E-5</v>
      </c>
      <c r="AM20">
        <v>0</v>
      </c>
      <c r="AN20" s="2">
        <f t="shared" si="9"/>
        <v>27.16</v>
      </c>
      <c r="AO20" s="2">
        <f t="shared" si="10"/>
        <v>4.9000000000000004</v>
      </c>
      <c r="AP20" s="2">
        <f t="shared" si="11"/>
        <v>5.2</v>
      </c>
      <c r="AQ20" s="6" t="s">
        <v>86</v>
      </c>
      <c r="AR20" s="5">
        <v>3.4708323163290214E-2</v>
      </c>
      <c r="AS20" s="2">
        <f>SUM(Z20,AG20)/(SUM(AQ20:AR20)/3.6)</f>
        <v>99.572658227848095</v>
      </c>
      <c r="AT20" s="5">
        <v>0</v>
      </c>
      <c r="AU20" s="7">
        <v>0</v>
      </c>
      <c r="AV20" s="7">
        <v>0</v>
      </c>
      <c r="AW20" s="7">
        <v>0</v>
      </c>
      <c r="AX20" s="7">
        <v>0</v>
      </c>
      <c r="AY20" s="7">
        <v>0</v>
      </c>
      <c r="AZ20" s="7">
        <v>0</v>
      </c>
      <c r="BA20" s="7">
        <v>0</v>
      </c>
      <c r="BB20" s="7">
        <v>0</v>
      </c>
      <c r="BC20" s="7">
        <v>0</v>
      </c>
      <c r="BD20" s="7">
        <v>0</v>
      </c>
      <c r="BE20" s="7">
        <v>0</v>
      </c>
      <c r="BF20" s="7">
        <v>0</v>
      </c>
      <c r="BG20" s="7">
        <v>0</v>
      </c>
      <c r="BH20" s="7">
        <v>0</v>
      </c>
      <c r="BI20" s="7">
        <v>0</v>
      </c>
      <c r="BJ20" s="7">
        <v>0</v>
      </c>
      <c r="BK20" s="7">
        <v>0</v>
      </c>
      <c r="BL20" s="7">
        <v>0</v>
      </c>
      <c r="BM20" s="7">
        <v>0</v>
      </c>
      <c r="BN20" s="7">
        <v>0</v>
      </c>
      <c r="BO20" s="7">
        <v>0</v>
      </c>
      <c r="BP20" s="7">
        <v>0</v>
      </c>
      <c r="BQ20" s="7">
        <v>0</v>
      </c>
      <c r="BR20" s="7">
        <v>0</v>
      </c>
      <c r="BS20" s="7">
        <v>0</v>
      </c>
      <c r="BT20" s="7">
        <v>0</v>
      </c>
      <c r="BU20" s="7">
        <v>0</v>
      </c>
      <c r="BV20" s="7">
        <v>0</v>
      </c>
      <c r="BW20" s="7">
        <v>0</v>
      </c>
      <c r="BX20" s="7">
        <v>0</v>
      </c>
      <c r="BY20" s="7">
        <v>0</v>
      </c>
      <c r="BZ20" s="7">
        <v>0</v>
      </c>
      <c r="CA20" s="7">
        <v>0</v>
      </c>
      <c r="CB20" s="7">
        <v>0</v>
      </c>
      <c r="CC20" s="7">
        <v>0</v>
      </c>
      <c r="CD20" s="7">
        <v>0</v>
      </c>
      <c r="CE20" s="7">
        <v>0</v>
      </c>
      <c r="CF20" s="7">
        <v>0</v>
      </c>
      <c r="CG20" s="7">
        <v>0</v>
      </c>
      <c r="CH20" s="7">
        <v>0</v>
      </c>
      <c r="CI20" s="7">
        <f>VLOOKUP(B20,'abrasion emissions'!$A$4:$D$32,4,FALSE)</f>
        <v>3.0000000000000001E-6</v>
      </c>
      <c r="CJ20" s="7">
        <f>VLOOKUP(B20,'abrasion emissions'!$A$4:$D$32,2,FALSE)</f>
        <v>2.9189999999999999E-6</v>
      </c>
      <c r="CK20" s="7">
        <f>VLOOKUP(B20,'abrasion emissions'!$A$4:$D$32,3,FALSE)</f>
        <v>1.8370000000000002E-6</v>
      </c>
    </row>
    <row r="21" spans="1:89" x14ac:dyDescent="0.3">
      <c r="A21" t="str">
        <f t="shared" si="1"/>
        <v>Bicycle, electric, cargo bike - 2040 - CH</v>
      </c>
      <c r="B21" t="s">
        <v>524</v>
      </c>
      <c r="D21">
        <v>2040</v>
      </c>
      <c r="E21" t="s">
        <v>37</v>
      </c>
      <c r="F21" t="s">
        <v>146</v>
      </c>
      <c r="G21" t="s">
        <v>39</v>
      </c>
      <c r="H21" t="s">
        <v>32</v>
      </c>
      <c r="I21" t="s">
        <v>43</v>
      </c>
      <c r="J21" s="21">
        <v>20000</v>
      </c>
      <c r="K21" s="21">
        <v>2060</v>
      </c>
      <c r="L21" s="2">
        <f t="shared" si="2"/>
        <v>9.7087378640776691</v>
      </c>
      <c r="M21">
        <v>1</v>
      </c>
      <c r="N21">
        <v>70</v>
      </c>
      <c r="O21">
        <v>1</v>
      </c>
      <c r="P21" s="2">
        <f t="shared" si="0"/>
        <v>36.5</v>
      </c>
      <c r="Q21" s="2">
        <f t="shared" si="3"/>
        <v>107.5</v>
      </c>
      <c r="R21">
        <v>0.5</v>
      </c>
      <c r="S21" s="2">
        <v>28</v>
      </c>
      <c r="T21" s="1">
        <v>0.05</v>
      </c>
      <c r="U21" s="2">
        <f t="shared" si="4"/>
        <v>26.599999999999998</v>
      </c>
      <c r="V21">
        <v>0</v>
      </c>
      <c r="W21">
        <v>4.7</v>
      </c>
      <c r="X21" s="3">
        <v>1.6</v>
      </c>
      <c r="Y21" s="1">
        <v>0.8</v>
      </c>
      <c r="Z21" s="3">
        <f t="shared" si="5"/>
        <v>1.2800000000000002</v>
      </c>
      <c r="AA21" s="3">
        <f>X21/'energy battery'!B$5</f>
        <v>4</v>
      </c>
      <c r="AB21" s="3">
        <f t="shared" si="6"/>
        <v>1.2</v>
      </c>
      <c r="AC21" s="3">
        <f t="shared" si="7"/>
        <v>5.2</v>
      </c>
      <c r="AD21">
        <v>0.25</v>
      </c>
      <c r="AE21">
        <v>0</v>
      </c>
      <c r="AF21">
        <v>0</v>
      </c>
      <c r="AG21">
        <v>0</v>
      </c>
      <c r="AH21">
        <v>0</v>
      </c>
      <c r="AI21">
        <v>0.5</v>
      </c>
      <c r="AJ21">
        <v>1</v>
      </c>
      <c r="AK21">
        <f t="shared" si="12"/>
        <v>5</v>
      </c>
      <c r="AL21">
        <f t="shared" si="8"/>
        <v>5.7727499999999999E-5</v>
      </c>
      <c r="AM21">
        <v>0</v>
      </c>
      <c r="AN21" s="2">
        <f t="shared" si="9"/>
        <v>26.599999999999998</v>
      </c>
      <c r="AO21" s="2">
        <f t="shared" si="10"/>
        <v>4.7</v>
      </c>
      <c r="AP21" s="2">
        <f t="shared" si="11"/>
        <v>5.2</v>
      </c>
      <c r="AQ21" s="6" t="s">
        <v>86</v>
      </c>
      <c r="AR21" s="5">
        <v>3.4708323163290214E-2</v>
      </c>
      <c r="AS21" s="2">
        <f>SUM(Z21,AG21)/(SUM(AQ21:AR21)/3.6)</f>
        <v>132.76354430379749</v>
      </c>
      <c r="AT21" s="5">
        <v>0</v>
      </c>
      <c r="AU21" s="7">
        <v>0</v>
      </c>
      <c r="AV21" s="7">
        <v>0</v>
      </c>
      <c r="AW21" s="7">
        <v>0</v>
      </c>
      <c r="AX21" s="7">
        <v>0</v>
      </c>
      <c r="AY21" s="7">
        <v>0</v>
      </c>
      <c r="AZ21" s="7">
        <v>0</v>
      </c>
      <c r="BA21" s="7">
        <v>0</v>
      </c>
      <c r="BB21" s="7">
        <v>0</v>
      </c>
      <c r="BC21" s="7">
        <v>0</v>
      </c>
      <c r="BD21" s="7">
        <v>0</v>
      </c>
      <c r="BE21" s="7">
        <v>0</v>
      </c>
      <c r="BF21" s="7">
        <v>0</v>
      </c>
      <c r="BG21" s="7">
        <v>0</v>
      </c>
      <c r="BH21" s="7">
        <v>0</v>
      </c>
      <c r="BI21" s="7">
        <v>0</v>
      </c>
      <c r="BJ21" s="7">
        <v>0</v>
      </c>
      <c r="BK21" s="7">
        <v>0</v>
      </c>
      <c r="BL21" s="7">
        <v>0</v>
      </c>
      <c r="BM21" s="7">
        <v>0</v>
      </c>
      <c r="BN21" s="7">
        <v>0</v>
      </c>
      <c r="BO21" s="7">
        <v>0</v>
      </c>
      <c r="BP21" s="7">
        <v>0</v>
      </c>
      <c r="BQ21" s="7">
        <v>0</v>
      </c>
      <c r="BR21" s="7">
        <v>0</v>
      </c>
      <c r="BS21" s="7">
        <v>0</v>
      </c>
      <c r="BT21" s="7">
        <v>0</v>
      </c>
      <c r="BU21" s="7">
        <v>0</v>
      </c>
      <c r="BV21" s="7">
        <v>0</v>
      </c>
      <c r="BW21" s="7">
        <v>0</v>
      </c>
      <c r="BX21" s="7">
        <v>0</v>
      </c>
      <c r="BY21" s="7">
        <v>0</v>
      </c>
      <c r="BZ21" s="7">
        <v>0</v>
      </c>
      <c r="CA21" s="7">
        <v>0</v>
      </c>
      <c r="CB21" s="7">
        <v>0</v>
      </c>
      <c r="CC21" s="7">
        <v>0</v>
      </c>
      <c r="CD21" s="7">
        <v>0</v>
      </c>
      <c r="CE21" s="7">
        <v>0</v>
      </c>
      <c r="CF21" s="7">
        <v>0</v>
      </c>
      <c r="CG21" s="7">
        <v>0</v>
      </c>
      <c r="CH21" s="7">
        <v>0</v>
      </c>
      <c r="CI21" s="7">
        <f>VLOOKUP(B21,'abrasion emissions'!$A$4:$D$32,4,FALSE)</f>
        <v>3.0000000000000001E-6</v>
      </c>
      <c r="CJ21" s="7">
        <f>VLOOKUP(B21,'abrasion emissions'!$A$4:$D$32,2,FALSE)</f>
        <v>2.9189999999999999E-6</v>
      </c>
      <c r="CK21" s="7">
        <f>VLOOKUP(B21,'abrasion emissions'!$A$4:$D$32,3,FALSE)</f>
        <v>1.8370000000000002E-6</v>
      </c>
    </row>
    <row r="22" spans="1:89" x14ac:dyDescent="0.3">
      <c r="A22" t="str">
        <f t="shared" si="1"/>
        <v>Bicycle, electric, cargo bike - 2050 - CH</v>
      </c>
      <c r="B22" t="s">
        <v>524</v>
      </c>
      <c r="D22">
        <v>2050</v>
      </c>
      <c r="E22" t="s">
        <v>37</v>
      </c>
      <c r="F22" t="s">
        <v>146</v>
      </c>
      <c r="G22" t="s">
        <v>39</v>
      </c>
      <c r="H22" t="s">
        <v>32</v>
      </c>
      <c r="I22" t="s">
        <v>43</v>
      </c>
      <c r="J22" s="21">
        <v>20000</v>
      </c>
      <c r="K22" s="21">
        <v>2060</v>
      </c>
      <c r="L22" s="2">
        <f t="shared" si="2"/>
        <v>9.7087378640776691</v>
      </c>
      <c r="M22">
        <v>1</v>
      </c>
      <c r="N22">
        <v>70</v>
      </c>
      <c r="O22">
        <v>1</v>
      </c>
      <c r="P22" s="2">
        <f t="shared" si="0"/>
        <v>36.619999999999997</v>
      </c>
      <c r="Q22" s="2">
        <f t="shared" si="3"/>
        <v>107.62</v>
      </c>
      <c r="R22">
        <v>0.5</v>
      </c>
      <c r="S22" s="2">
        <v>28</v>
      </c>
      <c r="T22" s="1">
        <v>7.0000000000000007E-2</v>
      </c>
      <c r="U22" s="2">
        <f t="shared" si="4"/>
        <v>26.04</v>
      </c>
      <c r="V22">
        <v>0</v>
      </c>
      <c r="W22">
        <v>4.5999999999999996</v>
      </c>
      <c r="X22" s="3">
        <v>2.2999999999999998</v>
      </c>
      <c r="Y22" s="1">
        <v>0.8</v>
      </c>
      <c r="Z22" s="3">
        <f t="shared" si="5"/>
        <v>1.8399999999999999</v>
      </c>
      <c r="AA22" s="3">
        <f>X22/'energy battery'!B$6</f>
        <v>4.5999999999999996</v>
      </c>
      <c r="AB22" s="3">
        <f t="shared" si="6"/>
        <v>1.38</v>
      </c>
      <c r="AC22" s="3">
        <f t="shared" si="7"/>
        <v>5.9799999999999995</v>
      </c>
      <c r="AD22">
        <v>0</v>
      </c>
      <c r="AE22">
        <v>0</v>
      </c>
      <c r="AF22">
        <v>0</v>
      </c>
      <c r="AG22">
        <v>0</v>
      </c>
      <c r="AH22">
        <v>0</v>
      </c>
      <c r="AI22">
        <v>0.5</v>
      </c>
      <c r="AJ22">
        <v>1</v>
      </c>
      <c r="AK22">
        <f t="shared" si="12"/>
        <v>5</v>
      </c>
      <c r="AL22">
        <f t="shared" si="8"/>
        <v>5.7791940000000001E-5</v>
      </c>
      <c r="AM22">
        <v>0</v>
      </c>
      <c r="AN22" s="2">
        <f t="shared" si="9"/>
        <v>26.04</v>
      </c>
      <c r="AO22" s="2">
        <f t="shared" si="10"/>
        <v>4.5999999999999996</v>
      </c>
      <c r="AP22" s="2">
        <f t="shared" si="11"/>
        <v>5.9799999999999995</v>
      </c>
      <c r="AQ22" s="6" t="s">
        <v>86</v>
      </c>
      <c r="AR22" s="5">
        <v>3.4708323163290214E-2</v>
      </c>
      <c r="AS22" s="2">
        <f>SUM(Z22,AG22)/(SUM(AQ22:AR22)/3.6)</f>
        <v>190.84759493670884</v>
      </c>
      <c r="AT22" s="5">
        <v>0</v>
      </c>
      <c r="AU22" s="7">
        <v>0</v>
      </c>
      <c r="AV22" s="7">
        <v>0</v>
      </c>
      <c r="AW22" s="7">
        <v>0</v>
      </c>
      <c r="AX22" s="7">
        <v>0</v>
      </c>
      <c r="AY22" s="7">
        <v>0</v>
      </c>
      <c r="AZ22" s="7">
        <v>0</v>
      </c>
      <c r="BA22" s="7">
        <v>0</v>
      </c>
      <c r="BB22" s="7">
        <v>0</v>
      </c>
      <c r="BC22" s="7">
        <v>0</v>
      </c>
      <c r="BD22" s="7">
        <v>0</v>
      </c>
      <c r="BE22" s="7">
        <v>0</v>
      </c>
      <c r="BF22" s="7">
        <v>0</v>
      </c>
      <c r="BG22" s="7">
        <v>0</v>
      </c>
      <c r="BH22" s="7">
        <v>0</v>
      </c>
      <c r="BI22" s="7">
        <v>0</v>
      </c>
      <c r="BJ22" s="7">
        <v>0</v>
      </c>
      <c r="BK22" s="7">
        <v>0</v>
      </c>
      <c r="BL22" s="7">
        <v>0</v>
      </c>
      <c r="BM22" s="7">
        <v>0</v>
      </c>
      <c r="BN22" s="7">
        <v>0</v>
      </c>
      <c r="BO22" s="7">
        <v>0</v>
      </c>
      <c r="BP22" s="7">
        <v>0</v>
      </c>
      <c r="BQ22" s="7">
        <v>0</v>
      </c>
      <c r="BR22" s="7">
        <v>0</v>
      </c>
      <c r="BS22" s="7">
        <v>0</v>
      </c>
      <c r="BT22" s="7">
        <v>0</v>
      </c>
      <c r="BU22" s="7">
        <v>0</v>
      </c>
      <c r="BV22" s="7">
        <v>0</v>
      </c>
      <c r="BW22" s="7">
        <v>0</v>
      </c>
      <c r="BX22" s="7">
        <v>0</v>
      </c>
      <c r="BY22" s="7">
        <v>0</v>
      </c>
      <c r="BZ22" s="7">
        <v>0</v>
      </c>
      <c r="CA22" s="7">
        <v>0</v>
      </c>
      <c r="CB22" s="7">
        <v>0</v>
      </c>
      <c r="CC22" s="7">
        <v>0</v>
      </c>
      <c r="CD22" s="7">
        <v>0</v>
      </c>
      <c r="CE22" s="7">
        <v>0</v>
      </c>
      <c r="CF22" s="7">
        <v>0</v>
      </c>
      <c r="CG22" s="7">
        <v>0</v>
      </c>
      <c r="CH22" s="7">
        <v>0</v>
      </c>
      <c r="CI22" s="7">
        <f>VLOOKUP(B22,'abrasion emissions'!$A$4:$D$32,4,FALSE)</f>
        <v>3.0000000000000001E-6</v>
      </c>
      <c r="CJ22" s="7">
        <f>VLOOKUP(B22,'abrasion emissions'!$A$4:$D$32,2,FALSE)</f>
        <v>2.9189999999999999E-6</v>
      </c>
      <c r="CK22" s="7">
        <f>VLOOKUP(B22,'abrasion emissions'!$A$4:$D$32,3,FALSE)</f>
        <v>1.8370000000000002E-6</v>
      </c>
    </row>
    <row r="23" spans="1:89" x14ac:dyDescent="0.3">
      <c r="A23" t="str">
        <f t="shared" si="1"/>
        <v>Tram, electric - 2020 - CH</v>
      </c>
      <c r="B23" t="s">
        <v>519</v>
      </c>
      <c r="C23" t="s">
        <v>34</v>
      </c>
      <c r="D23">
        <v>2020</v>
      </c>
      <c r="E23" t="s">
        <v>37</v>
      </c>
      <c r="F23" t="s">
        <v>146</v>
      </c>
      <c r="G23" t="s">
        <v>40</v>
      </c>
      <c r="H23" t="s">
        <v>32</v>
      </c>
      <c r="I23" t="s">
        <v>43</v>
      </c>
      <c r="J23">
        <v>2800000</v>
      </c>
      <c r="K23">
        <v>70000</v>
      </c>
      <c r="L23" s="2">
        <f t="shared" si="2"/>
        <v>40</v>
      </c>
      <c r="M23">
        <v>38</v>
      </c>
      <c r="N23">
        <v>70</v>
      </c>
      <c r="O23">
        <v>120</v>
      </c>
      <c r="P23" s="2">
        <f t="shared" si="0"/>
        <v>54000</v>
      </c>
      <c r="Q23">
        <f t="shared" si="3"/>
        <v>56780</v>
      </c>
      <c r="R23">
        <v>660</v>
      </c>
      <c r="S23" s="2">
        <v>43200</v>
      </c>
      <c r="T23" s="1">
        <v>0</v>
      </c>
      <c r="U23" s="2">
        <f t="shared" si="4"/>
        <v>43200</v>
      </c>
      <c r="V23">
        <v>7800</v>
      </c>
      <c r="W23">
        <v>3000</v>
      </c>
      <c r="X23" s="3">
        <v>0</v>
      </c>
      <c r="Y23" s="1">
        <v>0.8</v>
      </c>
      <c r="Z23" s="3">
        <f t="shared" si="5"/>
        <v>0</v>
      </c>
      <c r="AA23" s="3">
        <f>X23/'energy battery'!B$3</f>
        <v>0</v>
      </c>
      <c r="AB23" s="3">
        <v>0</v>
      </c>
      <c r="AC23" s="3">
        <f t="shared" si="7"/>
        <v>0</v>
      </c>
      <c r="AD23" s="3">
        <v>0</v>
      </c>
      <c r="AE23">
        <v>0</v>
      </c>
      <c r="AF23">
        <v>0</v>
      </c>
      <c r="AG23">
        <v>0</v>
      </c>
      <c r="AH23">
        <v>0</v>
      </c>
      <c r="AI23">
        <v>0</v>
      </c>
      <c r="AJ23">
        <v>0</v>
      </c>
      <c r="AK23" s="6">
        <f>L23/30</f>
        <v>1.3333333333333333</v>
      </c>
      <c r="AL23">
        <f>0.00012*M23</f>
        <v>4.5599999999999998E-3</v>
      </c>
      <c r="AM23">
        <v>0</v>
      </c>
      <c r="AN23" s="2">
        <f t="shared" si="9"/>
        <v>43200</v>
      </c>
      <c r="AO23" s="2">
        <f t="shared" si="10"/>
        <v>10800</v>
      </c>
      <c r="AP23" s="2">
        <f t="shared" si="11"/>
        <v>0</v>
      </c>
      <c r="AQ23" s="6" t="s">
        <v>86</v>
      </c>
      <c r="AR23" s="6">
        <v>13.3</v>
      </c>
      <c r="AS23" s="2">
        <f>SUM(Z23,AG23)/(SUM(AQ23:AR23)/3.6)</f>
        <v>0</v>
      </c>
      <c r="AT23" s="5">
        <v>0</v>
      </c>
      <c r="AU23" s="7">
        <v>0</v>
      </c>
      <c r="AV23" s="7">
        <v>0</v>
      </c>
      <c r="AW23" s="7">
        <v>0</v>
      </c>
      <c r="AX23" s="7">
        <v>0</v>
      </c>
      <c r="AY23" s="7">
        <v>0</v>
      </c>
      <c r="AZ23" s="7">
        <v>0</v>
      </c>
      <c r="BA23" s="7">
        <v>0</v>
      </c>
      <c r="BB23" s="7">
        <v>0</v>
      </c>
      <c r="BC23" s="7">
        <v>0</v>
      </c>
      <c r="BD23" s="7">
        <v>0</v>
      </c>
      <c r="BE23" s="7">
        <v>0</v>
      </c>
      <c r="BF23" s="7">
        <v>0</v>
      </c>
      <c r="BG23" s="7">
        <v>0</v>
      </c>
      <c r="BH23" s="7">
        <v>0</v>
      </c>
      <c r="BI23" s="7">
        <v>0</v>
      </c>
      <c r="BJ23" s="7">
        <v>0</v>
      </c>
      <c r="BK23" s="7">
        <v>0</v>
      </c>
      <c r="BL23" s="7">
        <v>0</v>
      </c>
      <c r="BM23" s="7">
        <v>0</v>
      </c>
      <c r="BN23" s="7">
        <v>0</v>
      </c>
      <c r="BO23" s="7">
        <v>0</v>
      </c>
      <c r="BP23" s="7">
        <v>0</v>
      </c>
      <c r="BQ23" s="7">
        <v>0</v>
      </c>
      <c r="BR23" s="7">
        <v>0</v>
      </c>
      <c r="BS23" s="7">
        <v>0</v>
      </c>
      <c r="BT23" s="7">
        <v>0</v>
      </c>
      <c r="BU23" s="7">
        <v>0</v>
      </c>
      <c r="BV23" s="7">
        <v>0</v>
      </c>
      <c r="BW23" s="7">
        <v>0</v>
      </c>
      <c r="BX23" s="7">
        <v>0</v>
      </c>
      <c r="BY23" s="7">
        <v>0</v>
      </c>
      <c r="BZ23" s="7">
        <v>0</v>
      </c>
      <c r="CA23" s="7">
        <v>0</v>
      </c>
      <c r="CB23" s="7">
        <v>0</v>
      </c>
      <c r="CC23" s="7">
        <v>0</v>
      </c>
      <c r="CD23" s="7">
        <v>0</v>
      </c>
      <c r="CE23" s="7">
        <v>0</v>
      </c>
      <c r="CF23" s="7">
        <v>0</v>
      </c>
      <c r="CG23" s="7">
        <v>0</v>
      </c>
      <c r="CH23" s="7">
        <v>0</v>
      </c>
      <c r="CI23" s="7">
        <v>0</v>
      </c>
      <c r="CJ23" s="7">
        <v>0</v>
      </c>
      <c r="CK23" s="7">
        <v>0</v>
      </c>
    </row>
    <row r="24" spans="1:89" x14ac:dyDescent="0.3">
      <c r="A24" t="str">
        <f t="shared" si="1"/>
        <v>Tram, electric - 2030 - CH</v>
      </c>
      <c r="B24" t="s">
        <v>519</v>
      </c>
      <c r="C24" t="s">
        <v>34</v>
      </c>
      <c r="D24">
        <v>2030</v>
      </c>
      <c r="E24" t="s">
        <v>37</v>
      </c>
      <c r="F24" t="s">
        <v>146</v>
      </c>
      <c r="G24" t="s">
        <v>40</v>
      </c>
      <c r="H24" t="s">
        <v>32</v>
      </c>
      <c r="I24" t="s">
        <v>43</v>
      </c>
      <c r="J24">
        <v>2800000</v>
      </c>
      <c r="K24">
        <v>70000</v>
      </c>
      <c r="L24" s="2">
        <f t="shared" si="2"/>
        <v>40</v>
      </c>
      <c r="M24">
        <v>38</v>
      </c>
      <c r="N24">
        <v>70</v>
      </c>
      <c r="O24">
        <v>120</v>
      </c>
      <c r="P24" s="2">
        <f t="shared" si="0"/>
        <v>52380</v>
      </c>
      <c r="Q24">
        <f t="shared" si="3"/>
        <v>55160</v>
      </c>
      <c r="R24">
        <v>660</v>
      </c>
      <c r="S24" s="2">
        <v>43200</v>
      </c>
      <c r="T24" s="1">
        <v>0.03</v>
      </c>
      <c r="U24" s="2">
        <f t="shared" si="4"/>
        <v>41904</v>
      </c>
      <c r="V24">
        <v>7566</v>
      </c>
      <c r="W24">
        <v>2910</v>
      </c>
      <c r="X24" s="3">
        <v>0</v>
      </c>
      <c r="Y24" s="1">
        <v>0.8</v>
      </c>
      <c r="Z24" s="3">
        <f t="shared" si="5"/>
        <v>0</v>
      </c>
      <c r="AA24" s="3">
        <f>X24/'energy battery'!B$4</f>
        <v>0</v>
      </c>
      <c r="AB24" s="3">
        <v>0</v>
      </c>
      <c r="AC24" s="3">
        <f t="shared" si="7"/>
        <v>0</v>
      </c>
      <c r="AD24" s="3">
        <v>0</v>
      </c>
      <c r="AE24">
        <v>0</v>
      </c>
      <c r="AF24">
        <v>0</v>
      </c>
      <c r="AG24">
        <v>0</v>
      </c>
      <c r="AH24">
        <v>0</v>
      </c>
      <c r="AI24">
        <v>0</v>
      </c>
      <c r="AJ24">
        <v>0</v>
      </c>
      <c r="AK24" s="6">
        <f>L24/30</f>
        <v>1.3333333333333333</v>
      </c>
      <c r="AL24">
        <f>0.00012*M24</f>
        <v>4.5599999999999998E-3</v>
      </c>
      <c r="AM24">
        <v>0</v>
      </c>
      <c r="AN24" s="2">
        <f t="shared" si="9"/>
        <v>41904</v>
      </c>
      <c r="AO24" s="2">
        <f t="shared" si="10"/>
        <v>10476</v>
      </c>
      <c r="AP24" s="2">
        <f t="shared" si="11"/>
        <v>0</v>
      </c>
      <c r="AQ24" s="6" t="s">
        <v>86</v>
      </c>
      <c r="AR24" s="6">
        <v>13.3</v>
      </c>
      <c r="AS24" s="2">
        <f>SUM(Z24,AG24)/(SUM(AQ24:AR24)/3.6)</f>
        <v>0</v>
      </c>
      <c r="AT24" s="5">
        <v>0</v>
      </c>
      <c r="AU24" s="7">
        <v>0</v>
      </c>
      <c r="AV24" s="7">
        <v>0</v>
      </c>
      <c r="AW24" s="7">
        <v>0</v>
      </c>
      <c r="AX24" s="7">
        <v>0</v>
      </c>
      <c r="AY24" s="7">
        <v>0</v>
      </c>
      <c r="AZ24" s="7">
        <v>0</v>
      </c>
      <c r="BA24" s="7">
        <v>0</v>
      </c>
      <c r="BB24" s="7">
        <v>0</v>
      </c>
      <c r="BC24" s="7">
        <v>0</v>
      </c>
      <c r="BD24" s="7">
        <v>0</v>
      </c>
      <c r="BE24" s="7">
        <v>0</v>
      </c>
      <c r="BF24" s="7">
        <v>0</v>
      </c>
      <c r="BG24" s="7">
        <v>0</v>
      </c>
      <c r="BH24" s="7">
        <v>0</v>
      </c>
      <c r="BI24" s="7">
        <v>0</v>
      </c>
      <c r="BJ24" s="7">
        <v>0</v>
      </c>
      <c r="BK24" s="7">
        <v>0</v>
      </c>
      <c r="BL24" s="7">
        <v>0</v>
      </c>
      <c r="BM24" s="7">
        <v>0</v>
      </c>
      <c r="BN24" s="7">
        <v>0</v>
      </c>
      <c r="BO24" s="7">
        <v>0</v>
      </c>
      <c r="BP24" s="7">
        <v>0</v>
      </c>
      <c r="BQ24" s="7">
        <v>0</v>
      </c>
      <c r="BR24" s="7">
        <v>0</v>
      </c>
      <c r="BS24" s="7">
        <v>0</v>
      </c>
      <c r="BT24" s="7">
        <v>0</v>
      </c>
      <c r="BU24" s="7">
        <v>0</v>
      </c>
      <c r="BV24" s="7">
        <v>0</v>
      </c>
      <c r="BW24" s="7">
        <v>0</v>
      </c>
      <c r="BX24" s="7">
        <v>0</v>
      </c>
      <c r="BY24" s="7">
        <v>0</v>
      </c>
      <c r="BZ24" s="7">
        <v>0</v>
      </c>
      <c r="CA24" s="7">
        <v>0</v>
      </c>
      <c r="CB24" s="7">
        <v>0</v>
      </c>
      <c r="CC24" s="7">
        <v>0</v>
      </c>
      <c r="CD24" s="7">
        <v>0</v>
      </c>
      <c r="CE24" s="7">
        <v>0</v>
      </c>
      <c r="CF24" s="7">
        <v>0</v>
      </c>
      <c r="CG24" s="7">
        <v>0</v>
      </c>
      <c r="CH24" s="7">
        <v>0</v>
      </c>
      <c r="CI24" s="7">
        <v>0</v>
      </c>
      <c r="CJ24" s="7">
        <v>0</v>
      </c>
      <c r="CK24" s="7">
        <v>0</v>
      </c>
    </row>
    <row r="25" spans="1:89" x14ac:dyDescent="0.3">
      <c r="A25" t="str">
        <f t="shared" si="1"/>
        <v>Tram, electric - 2040 - CH</v>
      </c>
      <c r="B25" t="s">
        <v>519</v>
      </c>
      <c r="C25" t="s">
        <v>34</v>
      </c>
      <c r="D25">
        <v>2040</v>
      </c>
      <c r="E25" t="s">
        <v>37</v>
      </c>
      <c r="F25" t="s">
        <v>146</v>
      </c>
      <c r="G25" t="s">
        <v>40</v>
      </c>
      <c r="H25" t="s">
        <v>32</v>
      </c>
      <c r="I25" t="s">
        <v>43</v>
      </c>
      <c r="J25">
        <v>2800000</v>
      </c>
      <c r="K25">
        <v>70000</v>
      </c>
      <c r="L25" s="2">
        <f t="shared" si="2"/>
        <v>40</v>
      </c>
      <c r="M25">
        <v>38</v>
      </c>
      <c r="N25">
        <v>70</v>
      </c>
      <c r="O25">
        <v>120</v>
      </c>
      <c r="P25" s="2">
        <f t="shared" si="0"/>
        <v>51202</v>
      </c>
      <c r="Q25">
        <f t="shared" si="3"/>
        <v>53982</v>
      </c>
      <c r="R25">
        <v>660</v>
      </c>
      <c r="S25" s="2">
        <v>43200</v>
      </c>
      <c r="T25" s="1">
        <v>0.05</v>
      </c>
      <c r="U25" s="2">
        <f t="shared" si="4"/>
        <v>41040</v>
      </c>
      <c r="V25">
        <v>7340</v>
      </c>
      <c r="W25">
        <v>2822</v>
      </c>
      <c r="X25" s="3">
        <v>0</v>
      </c>
      <c r="Y25" s="1">
        <v>0.8</v>
      </c>
      <c r="Z25" s="3">
        <f t="shared" si="5"/>
        <v>0</v>
      </c>
      <c r="AA25" s="3">
        <f>X25/'energy battery'!B$5</f>
        <v>0</v>
      </c>
      <c r="AB25" s="3">
        <v>0</v>
      </c>
      <c r="AC25" s="3">
        <f t="shared" si="7"/>
        <v>0</v>
      </c>
      <c r="AD25" s="3">
        <v>0</v>
      </c>
      <c r="AE25">
        <v>0</v>
      </c>
      <c r="AF25">
        <v>0</v>
      </c>
      <c r="AG25">
        <v>0</v>
      </c>
      <c r="AH25">
        <v>0</v>
      </c>
      <c r="AI25">
        <v>0</v>
      </c>
      <c r="AJ25">
        <v>0</v>
      </c>
      <c r="AK25" s="6">
        <f>L25/30</f>
        <v>1.3333333333333333</v>
      </c>
      <c r="AL25">
        <f>0.00012*M25</f>
        <v>4.5599999999999998E-3</v>
      </c>
      <c r="AM25">
        <v>0</v>
      </c>
      <c r="AN25" s="2">
        <f t="shared" si="9"/>
        <v>41040</v>
      </c>
      <c r="AO25" s="2">
        <f t="shared" si="10"/>
        <v>10162</v>
      </c>
      <c r="AP25" s="2">
        <f t="shared" si="11"/>
        <v>0</v>
      </c>
      <c r="AQ25" s="6" t="s">
        <v>86</v>
      </c>
      <c r="AR25" s="6">
        <v>13.3</v>
      </c>
      <c r="AS25" s="2">
        <f>SUM(Z25,AG25)/(SUM(AQ25:AR25)/3.6)</f>
        <v>0</v>
      </c>
      <c r="AT25" s="5">
        <v>0</v>
      </c>
      <c r="AU25" s="7">
        <v>0</v>
      </c>
      <c r="AV25" s="7">
        <v>0</v>
      </c>
      <c r="AW25" s="7">
        <v>0</v>
      </c>
      <c r="AX25" s="7">
        <v>0</v>
      </c>
      <c r="AY25" s="7">
        <v>0</v>
      </c>
      <c r="AZ25" s="7">
        <v>0</v>
      </c>
      <c r="BA25" s="7">
        <v>0</v>
      </c>
      <c r="BB25" s="7">
        <v>0</v>
      </c>
      <c r="BC25" s="7">
        <v>0</v>
      </c>
      <c r="BD25" s="7">
        <v>0</v>
      </c>
      <c r="BE25" s="7">
        <v>0</v>
      </c>
      <c r="BF25" s="7">
        <v>0</v>
      </c>
      <c r="BG25" s="7">
        <v>0</v>
      </c>
      <c r="BH25" s="7">
        <v>0</v>
      </c>
      <c r="BI25" s="7">
        <v>0</v>
      </c>
      <c r="BJ25" s="7">
        <v>0</v>
      </c>
      <c r="BK25" s="7">
        <v>0</v>
      </c>
      <c r="BL25" s="7">
        <v>0</v>
      </c>
      <c r="BM25" s="7">
        <v>0</v>
      </c>
      <c r="BN25" s="7">
        <v>0</v>
      </c>
      <c r="BO25" s="7">
        <v>0</v>
      </c>
      <c r="BP25" s="7">
        <v>0</v>
      </c>
      <c r="BQ25" s="7">
        <v>0</v>
      </c>
      <c r="BR25" s="7">
        <v>0</v>
      </c>
      <c r="BS25" s="7">
        <v>0</v>
      </c>
      <c r="BT25" s="7">
        <v>0</v>
      </c>
      <c r="BU25" s="7">
        <v>0</v>
      </c>
      <c r="BV25" s="7">
        <v>0</v>
      </c>
      <c r="BW25" s="7">
        <v>0</v>
      </c>
      <c r="BX25" s="7">
        <v>0</v>
      </c>
      <c r="BY25" s="7">
        <v>0</v>
      </c>
      <c r="BZ25" s="7">
        <v>0</v>
      </c>
      <c r="CA25" s="7">
        <v>0</v>
      </c>
      <c r="CB25" s="7">
        <v>0</v>
      </c>
      <c r="CC25" s="7">
        <v>0</v>
      </c>
      <c r="CD25" s="7">
        <v>0</v>
      </c>
      <c r="CE25" s="7">
        <v>0</v>
      </c>
      <c r="CF25" s="7">
        <v>0</v>
      </c>
      <c r="CG25" s="7">
        <v>0</v>
      </c>
      <c r="CH25" s="7">
        <v>0</v>
      </c>
      <c r="CI25" s="7">
        <v>0</v>
      </c>
      <c r="CJ25" s="7">
        <v>0</v>
      </c>
      <c r="CK25" s="7">
        <v>0</v>
      </c>
    </row>
    <row r="26" spans="1:89" x14ac:dyDescent="0.3">
      <c r="A26" t="str">
        <f t="shared" si="1"/>
        <v>Tram, electric - 2050 - CH</v>
      </c>
      <c r="B26" t="s">
        <v>519</v>
      </c>
      <c r="C26" t="s">
        <v>34</v>
      </c>
      <c r="D26">
        <v>2050</v>
      </c>
      <c r="E26" t="s">
        <v>37</v>
      </c>
      <c r="F26" t="s">
        <v>146</v>
      </c>
      <c r="G26" t="s">
        <v>40</v>
      </c>
      <c r="H26" t="s">
        <v>32</v>
      </c>
      <c r="I26" t="s">
        <v>43</v>
      </c>
      <c r="J26">
        <v>2800000</v>
      </c>
      <c r="K26">
        <v>70000</v>
      </c>
      <c r="L26" s="2">
        <f t="shared" si="2"/>
        <v>40</v>
      </c>
      <c r="M26">
        <v>38</v>
      </c>
      <c r="N26">
        <v>70</v>
      </c>
      <c r="O26">
        <v>120</v>
      </c>
      <c r="P26" s="2">
        <f t="shared" si="0"/>
        <v>50033</v>
      </c>
      <c r="Q26">
        <f t="shared" si="3"/>
        <v>52813</v>
      </c>
      <c r="R26">
        <v>660</v>
      </c>
      <c r="S26" s="2">
        <v>43200</v>
      </c>
      <c r="T26" s="1">
        <v>7.0000000000000007E-2</v>
      </c>
      <c r="U26" s="2">
        <f t="shared" si="4"/>
        <v>40176</v>
      </c>
      <c r="V26">
        <v>7119</v>
      </c>
      <c r="W26">
        <v>2738</v>
      </c>
      <c r="X26" s="3">
        <v>0</v>
      </c>
      <c r="Y26" s="1">
        <v>0.8</v>
      </c>
      <c r="Z26" s="3">
        <f t="shared" si="5"/>
        <v>0</v>
      </c>
      <c r="AA26" s="3">
        <f>X26/'energy battery'!B$6</f>
        <v>0</v>
      </c>
      <c r="AB26" s="3">
        <v>0</v>
      </c>
      <c r="AC26" s="3">
        <f t="shared" si="7"/>
        <v>0</v>
      </c>
      <c r="AD26" s="3">
        <v>0</v>
      </c>
      <c r="AE26">
        <v>0</v>
      </c>
      <c r="AF26">
        <v>0</v>
      </c>
      <c r="AG26">
        <v>0</v>
      </c>
      <c r="AH26">
        <v>0</v>
      </c>
      <c r="AI26">
        <v>0</v>
      </c>
      <c r="AJ26">
        <v>0</v>
      </c>
      <c r="AK26" s="6">
        <f>L26/30</f>
        <v>1.3333333333333333</v>
      </c>
      <c r="AL26">
        <f>0.00012*M26</f>
        <v>4.5599999999999998E-3</v>
      </c>
      <c r="AM26">
        <v>0</v>
      </c>
      <c r="AN26" s="2">
        <f t="shared" si="9"/>
        <v>40176</v>
      </c>
      <c r="AO26" s="2">
        <f t="shared" si="10"/>
        <v>9857</v>
      </c>
      <c r="AP26" s="2">
        <f t="shared" si="11"/>
        <v>0</v>
      </c>
      <c r="AQ26" s="6" t="s">
        <v>86</v>
      </c>
      <c r="AR26" s="6">
        <v>13.3</v>
      </c>
      <c r="AS26" s="2">
        <f>SUM(Z26,AG26)/(SUM(AQ26:AR26)/3.6)</f>
        <v>0</v>
      </c>
      <c r="AT26" s="5">
        <v>0</v>
      </c>
      <c r="AU26" s="7">
        <v>0</v>
      </c>
      <c r="AV26" s="7">
        <v>0</v>
      </c>
      <c r="AW26" s="7">
        <v>0</v>
      </c>
      <c r="AX26" s="7">
        <v>0</v>
      </c>
      <c r="AY26" s="7">
        <v>0</v>
      </c>
      <c r="AZ26" s="7">
        <v>0</v>
      </c>
      <c r="BA26" s="7">
        <v>0</v>
      </c>
      <c r="BB26" s="7">
        <v>0</v>
      </c>
      <c r="BC26" s="7">
        <v>0</v>
      </c>
      <c r="BD26" s="7">
        <v>0</v>
      </c>
      <c r="BE26" s="7">
        <v>0</v>
      </c>
      <c r="BF26" s="7">
        <v>0</v>
      </c>
      <c r="BG26" s="7">
        <v>0</v>
      </c>
      <c r="BH26" s="7">
        <v>0</v>
      </c>
      <c r="BI26" s="7">
        <v>0</v>
      </c>
      <c r="BJ26" s="7">
        <v>0</v>
      </c>
      <c r="BK26" s="7">
        <v>0</v>
      </c>
      <c r="BL26" s="7">
        <v>0</v>
      </c>
      <c r="BM26" s="7">
        <v>0</v>
      </c>
      <c r="BN26" s="7">
        <v>0</v>
      </c>
      <c r="BO26" s="7">
        <v>0</v>
      </c>
      <c r="BP26" s="7">
        <v>0</v>
      </c>
      <c r="BQ26" s="7">
        <v>0</v>
      </c>
      <c r="BR26" s="7">
        <v>0</v>
      </c>
      <c r="BS26" s="7">
        <v>0</v>
      </c>
      <c r="BT26" s="7">
        <v>0</v>
      </c>
      <c r="BU26" s="7">
        <v>0</v>
      </c>
      <c r="BV26" s="7">
        <v>0</v>
      </c>
      <c r="BW26" s="7">
        <v>0</v>
      </c>
      <c r="BX26" s="7">
        <v>0</v>
      </c>
      <c r="BY26" s="7">
        <v>0</v>
      </c>
      <c r="BZ26" s="7">
        <v>0</v>
      </c>
      <c r="CA26" s="7">
        <v>0</v>
      </c>
      <c r="CB26" s="7">
        <v>0</v>
      </c>
      <c r="CC26" s="7">
        <v>0</v>
      </c>
      <c r="CD26" s="7">
        <v>0</v>
      </c>
      <c r="CE26" s="7">
        <v>0</v>
      </c>
      <c r="CF26" s="7">
        <v>0</v>
      </c>
      <c r="CG26" s="7">
        <v>0</v>
      </c>
      <c r="CH26" s="7">
        <v>0</v>
      </c>
      <c r="CI26" s="7">
        <v>0</v>
      </c>
      <c r="CJ26" s="7">
        <v>0</v>
      </c>
      <c r="CK26" s="7">
        <v>0</v>
      </c>
    </row>
    <row r="27" spans="1:89" x14ac:dyDescent="0.3">
      <c r="A27" t="str">
        <f t="shared" si="1"/>
        <v>Moped, gasoline, &lt;4kW, EURO-3 - 2006 - CH</v>
      </c>
      <c r="B27" t="s">
        <v>645</v>
      </c>
      <c r="D27">
        <v>2006</v>
      </c>
      <c r="E27" t="s">
        <v>37</v>
      </c>
      <c r="F27" t="s">
        <v>147</v>
      </c>
      <c r="G27" t="s">
        <v>39</v>
      </c>
      <c r="H27" t="s">
        <v>35</v>
      </c>
      <c r="J27">
        <v>33400</v>
      </c>
      <c r="K27">
        <v>2553</v>
      </c>
      <c r="L27" s="2">
        <f t="shared" si="2"/>
        <v>13.082647865256561</v>
      </c>
      <c r="M27">
        <v>1</v>
      </c>
      <c r="N27">
        <v>70</v>
      </c>
      <c r="O27">
        <v>2</v>
      </c>
      <c r="P27" s="2">
        <f t="shared" ref="P27:P86" si="13">SUM(U27,V27,W27,AC27,AF27,AH27)</f>
        <v>65.098124999999996</v>
      </c>
      <c r="Q27" s="2">
        <f t="shared" si="3"/>
        <v>137.09812499999998</v>
      </c>
      <c r="R27">
        <v>2.5</v>
      </c>
      <c r="S27" s="2">
        <v>41.962499999999999</v>
      </c>
      <c r="T27" s="1">
        <v>-0.05</v>
      </c>
      <c r="U27" s="2">
        <f t="shared" si="4"/>
        <v>44.060625000000002</v>
      </c>
      <c r="V27">
        <v>15</v>
      </c>
      <c r="W27">
        <v>0</v>
      </c>
      <c r="X27" s="3">
        <v>0</v>
      </c>
      <c r="Y27" s="1">
        <v>0.8</v>
      </c>
      <c r="Z27" s="3">
        <f t="shared" si="5"/>
        <v>0</v>
      </c>
      <c r="AA27" s="3">
        <v>0</v>
      </c>
      <c r="AB27" s="3">
        <v>0</v>
      </c>
      <c r="AC27" s="3">
        <f t="shared" si="7"/>
        <v>0</v>
      </c>
      <c r="AD27" s="3">
        <v>0</v>
      </c>
      <c r="AE27" s="3">
        <v>7</v>
      </c>
      <c r="AF27">
        <f>AE27*'fuels and tailpipe emissions'!$B$3</f>
        <v>5.25</v>
      </c>
      <c r="AG27" s="2">
        <f>AF27*'fuels and tailpipe emissions'!$C$3</f>
        <v>61.833333333333329</v>
      </c>
      <c r="AH27" s="3">
        <f>0.15*AF27</f>
        <v>0.78749999999999998</v>
      </c>
      <c r="AI27">
        <v>0</v>
      </c>
      <c r="AJ27">
        <v>0</v>
      </c>
      <c r="AK27">
        <f t="shared" ref="AK27:AK39" si="14">IF(J27/50000&gt;1,J27/50000,1)</f>
        <v>1</v>
      </c>
      <c r="AL27">
        <f t="shared" ref="AL27:AL86" si="15">0.000537/1000*Q27</f>
        <v>7.3621693124999987E-5</v>
      </c>
      <c r="AM27">
        <v>1.2899999999999999E-3</v>
      </c>
      <c r="AN27" s="2">
        <f t="shared" si="9"/>
        <v>44.060625000000002</v>
      </c>
      <c r="AO27" s="2">
        <f t="shared" si="10"/>
        <v>15</v>
      </c>
      <c r="AP27" s="2">
        <f t="shared" si="11"/>
        <v>0</v>
      </c>
      <c r="AQ27" s="6">
        <v>0.83950213329410028</v>
      </c>
      <c r="AR27" s="6" t="str">
        <f>IF($H27="BEV",SUMPRODUCT(#REF!,#REF!),"")</f>
        <v/>
      </c>
      <c r="AS27" s="2">
        <f>SUM(Z27,AG27)/(SUM(AQ27:AR27)/3.6)</f>
        <v>265.15715823918839</v>
      </c>
      <c r="AT27" s="5">
        <f>IF($H27="ICEV-p",$AQ27/('fuels and tailpipe emissions'!$C$3*3.6)*'fuels and tailpipe emissions'!$D$3,"")</f>
        <v>6.2962659997057524E-2</v>
      </c>
      <c r="AU27" s="7">
        <f>IF($H27="ICEV-p",$AQ27/('fuels and tailpipe emissions'!$C$3*3.6)*'fuels and tailpipe emissions'!$E$3,"")</f>
        <v>3.1679325784683032E-7</v>
      </c>
      <c r="AV27" s="7">
        <f>SUMIFS('fuels and tailpipe emissions'!$C$10:$C$126,'fuels and tailpipe emissions'!$A$10:$A$126,'vehicles specifications'!$F27,'fuels and tailpipe emissions'!$B$10:$B$126,'vehicles specifications'!AV$2)/1000*$AQ27</f>
        <v>1.0310040666120319E-4</v>
      </c>
      <c r="AW27" s="7">
        <f>SUMIFS('fuels and tailpipe emissions'!$C$10:$C$126,'fuels and tailpipe emissions'!$A$10:$A$126,'vehicles specifications'!$F27,'fuels and tailpipe emissions'!$B$10:$B$126,'vehicles specifications'!AW$2)/1000*$AQ27</f>
        <v>2.2338843798195468E-5</v>
      </c>
      <c r="AX27" s="7">
        <f>SUMIFS('fuels and tailpipe emissions'!$C$10:$C$126,'fuels and tailpipe emissions'!$A$10:$A$126,'vehicles specifications'!$F27,'fuels and tailpipe emissions'!$B$10:$B$126,'vehicles specifications'!AX$2)/1000*$AQ27</f>
        <v>3.277971259693117E-3</v>
      </c>
      <c r="AY27" s="7">
        <f>SUMIFS('fuels and tailpipe emissions'!$C$10:$C$126,'fuels and tailpipe emissions'!$A$10:$A$126,'vehicles specifications'!$F27,'fuels and tailpipe emissions'!$B$10:$B$126,'vehicles specifications'!AY$2)/1000*$AQ27</f>
        <v>1.1333761439977408E-6</v>
      </c>
      <c r="AZ27" s="7">
        <f>SUMIFS('fuels and tailpipe emissions'!$C$10:$C$126,'fuels and tailpipe emissions'!$A$10:$A$126,'vehicles specifications'!$F27,'fuels and tailpipe emissions'!$B$10:$B$126,'vehicles specifications'!AZ$2)/1000*$AQ27</f>
        <v>1.1333761439977408E-6</v>
      </c>
      <c r="BA27" s="7">
        <f>SUMIFS('fuels and tailpipe emissions'!$C$10:$C$126,'fuels and tailpipe emissions'!$A$10:$A$126,'vehicles specifications'!$F27,'fuels and tailpipe emissions'!$B$10:$B$126,'vehicles specifications'!BA$2)/1000*$AQ27</f>
        <v>3.7393687755796559E-4</v>
      </c>
      <c r="BB27" s="7">
        <f>SUMIFS('fuels and tailpipe emissions'!$C$10:$C$126,'fuels and tailpipe emissions'!$A$10:$A$126,'vehicles specifications'!$F27,'fuels and tailpipe emissions'!$B$10:$B$126,'vehicles specifications'!BB$2)/1000*$AQ27</f>
        <v>1.1713745554585587E-5</v>
      </c>
      <c r="BC27" s="7">
        <f>SUMIFS('fuels and tailpipe emissions'!$C$10:$C$126,'fuels and tailpipe emissions'!$A$10:$A$126,'vehicles specifications'!$F27,'fuels and tailpipe emissions'!$B$10:$B$126,'vehicles specifications'!BC$2)/1000*$AQ27</f>
        <v>8.3141932216628021E-4</v>
      </c>
      <c r="BD27" s="7">
        <f>SUMIFS('fuels and tailpipe emissions'!$C$10:$C$126,'fuels and tailpipe emissions'!$A$10:$A$126,'vehicles specifications'!$F27,'fuels and tailpipe emissions'!$B$10:$B$126,'vehicles specifications'!BD$2)/1000*$AQ27</f>
        <v>5.8625721434801813E-5</v>
      </c>
      <c r="BE27" s="7">
        <f>SUMIFS('fuels and tailpipe emissions'!$C$10:$C$126,'fuels and tailpipe emissions'!$A$10:$A$126,'vehicles specifications'!$F27,'fuels and tailpipe emissions'!$B$10:$B$126,'vehicles specifications'!BE$2)/1000*$AQ27</f>
        <v>1.1945679916182187E-5</v>
      </c>
      <c r="BF27" s="7">
        <f>SUMIFS('fuels and tailpipe emissions'!$C$10:$C$126,'fuels and tailpipe emissions'!$A$10:$A$126,'vehicles specifications'!$F27,'fuels and tailpipe emissions'!$B$10:$B$126,'vehicles specifications'!BF$2)/1000*$AQ27</f>
        <v>9.6300558093530248E-5</v>
      </c>
      <c r="BG27" s="7">
        <f>SUMIFS('fuels and tailpipe emissions'!$C$10:$C$126,'fuels and tailpipe emissions'!$A$10:$A$126,'vehicles specifications'!$F27,'fuels and tailpipe emissions'!$B$10:$B$126,'vehicles specifications'!BG$2)/1000*$AQ27</f>
        <v>3.9512633568910311E-5</v>
      </c>
      <c r="BH27" s="7">
        <f>SUMIFS('fuels and tailpipe emissions'!$C$10:$C$126,'fuels and tailpipe emissions'!$A$10:$A$126,'vehicles specifications'!$F27,'fuels and tailpipe emissions'!$B$10:$B$126,'vehicles specifications'!BH$2)/1000*$AQ27</f>
        <v>2.9588530253928191E-5</v>
      </c>
      <c r="BI27" s="7">
        <f>SUMIFS('fuels and tailpipe emissions'!$C$10:$C$126,'fuels and tailpipe emissions'!$A$10:$A$126,'vehicles specifications'!$F27,'fuels and tailpipe emissions'!$B$10:$B$126,'vehicles specifications'!BI$2)/1000*$AQ27</f>
        <v>2.0950884776073375E-5</v>
      </c>
      <c r="BJ27" s="7">
        <f>SUMIFS('fuels and tailpipe emissions'!$C$10:$C$126,'fuels and tailpipe emissions'!$A$10:$A$126,'vehicles specifications'!$F27,'fuels and tailpipe emissions'!$B$10:$B$126,'vehicles specifications'!BJ$2)/1000*$AQ27</f>
        <v>1.3599697135345875E-5</v>
      </c>
      <c r="BK27" s="7">
        <f>SUMIFS('fuels and tailpipe emissions'!$C$10:$C$126,'fuels and tailpipe emissions'!$A$10:$A$126,'vehicles specifications'!$F27,'fuels and tailpipe emissions'!$B$10:$B$126,'vehicles specifications'!BK$2)/1000*$AQ27</f>
        <v>1.3415917444327687E-4</v>
      </c>
      <c r="BL27" s="7">
        <f>SUMIFS('fuels and tailpipe emissions'!$C$10:$C$126,'fuels and tailpipe emissions'!$A$10:$A$126,'vehicles specifications'!$F27,'fuels and tailpipe emissions'!$B$10:$B$126,'vehicles specifications'!BL$2)/1000*$AQ27</f>
        <v>7.0203841968947625E-5</v>
      </c>
      <c r="BM27" s="7">
        <f>SUMIFS('fuels and tailpipe emissions'!$C$10:$C$126,'fuels and tailpipe emissions'!$A$10:$A$126,'vehicles specifications'!$F27,'fuels and tailpipe emissions'!$B$10:$B$126,'vehicles specifications'!BM$2)/1000*$AQ27</f>
        <v>2.0215766012000624E-6</v>
      </c>
      <c r="BN27" s="7">
        <f>SUMIFS('fuels and tailpipe emissions'!$C$10:$C$126,'fuels and tailpipe emissions'!$A$10:$A$126,'vehicles specifications'!$F27,'fuels and tailpipe emissions'!$B$10:$B$126,'vehicles specifications'!BN$2)/1000*$AQ27</f>
        <v>1.0310040666120319E-4</v>
      </c>
      <c r="BO27" s="7">
        <f>SUMIFS('fuels and tailpipe emissions'!$C$10:$C$126,'fuels and tailpipe emissions'!$A$10:$A$126,'vehicles specifications'!$F27,'fuels and tailpipe emissions'!$B$10:$B$126,'vehicles specifications'!BO$2)/1000*$AQ27</f>
        <v>2.0179010073796986E-4</v>
      </c>
      <c r="BP27" s="7">
        <f>SUMIFS('fuels and tailpipe emissions'!$C$10:$C$126,'fuels and tailpipe emissions'!$A$10:$A$126,'vehicles specifications'!$F27,'fuels and tailpipe emissions'!$B$10:$B$126,'vehicles specifications'!BP$2)/1000*$AQ27</f>
        <v>9.9792372222875822E-5</v>
      </c>
      <c r="BQ27" s="7">
        <f>SUMIFS('fuels and tailpipe emissions'!$C$10:$C$126,'fuels and tailpipe emissions'!$A$10:$A$126,'vehicles specifications'!$F27,'fuels and tailpipe emissions'!$B$10:$B$126,'vehicles specifications'!BQ$2)/1000*$AQ27</f>
        <v>4.1534210170110372E-5</v>
      </c>
      <c r="BR27" s="7">
        <f>SUMIFS('fuels and tailpipe emissions'!$C$10:$C$126,'fuels and tailpipe emissions'!$A$10:$A$126,'vehicles specifications'!$F27,'fuels and tailpipe emissions'!$B$10:$B$126,'vehicles specifications'!BR$2)/1000*$AQ27</f>
        <v>3.1242547473091882E-5</v>
      </c>
      <c r="BS27" s="7">
        <f>SUMIFS('fuels and tailpipe emissions'!$C$10:$C$126,'fuels and tailpipe emissions'!$A$10:$A$126,'vehicles specifications'!$F27,'fuels and tailpipe emissions'!$B$10:$B$126,'vehicles specifications'!BS$2)/1000*$AQ27</f>
        <v>1.3783476826364063E-5</v>
      </c>
      <c r="BT27" s="7">
        <f>SUMIFS('fuels and tailpipe emissions'!$C$10:$C$126,'fuels and tailpipe emissions'!$A$10:$A$126,'vehicles specifications'!$F27,'fuels and tailpipe emissions'!$B$10:$B$126,'vehicles specifications'!BT$2)/1000*$AQ27</f>
        <v>4.0431532024001248E-6</v>
      </c>
      <c r="BU27" s="7">
        <f>SUMIFS('fuels and tailpipe emissions'!$C$10:$C$126,'fuels and tailpipe emissions'!$A$10:$A$126,'vehicles specifications'!$F27,'fuels and tailpipe emissions'!$B$10:$B$126,'vehicles specifications'!BU$2)/1000*$AQ27</f>
        <v>1.1210561152109439E-5</v>
      </c>
      <c r="BV27" s="7">
        <f>SUMIFS('fuels and tailpipe emissions'!$C$10:$C$126,'fuels and tailpipe emissions'!$A$10:$A$126,'vehicles specifications'!$F27,'fuels and tailpipe emissions'!$B$10:$B$126,'vehicles specifications'!BV$2)/1000*$AQ27</f>
        <v>9.1889845509093757E-7</v>
      </c>
      <c r="BW27" s="7">
        <f>SUMIFS('fuels and tailpipe emissions'!$C$10:$C$126,'fuels and tailpipe emissions'!$A$10:$A$126,'vehicles specifications'!$F27,'fuels and tailpipe emissions'!$B$10:$B$126,'vehicles specifications'!BW$2)/1000*$AQ27</f>
        <v>3.4918141293455624E-6</v>
      </c>
      <c r="BX27" s="7">
        <f>SUMIFS('fuels and tailpipe emissions'!$C$10:$C$126,'fuels and tailpipe emissions'!$A$10:$A$126,'vehicles specifications'!$F27,'fuels and tailpipe emissions'!$B$10:$B$126,'vehicles specifications'!BX$2)/1000*$AQ27</f>
        <v>1.8561748792836937E-5</v>
      </c>
      <c r="BY27" s="7">
        <f>SUMIFS('fuels and tailpipe emissions'!$C$10:$C$126,'fuels and tailpipe emissions'!$A$10:$A$126,'vehicles specifications'!$F27,'fuels and tailpipe emissions'!$B$10:$B$126,'vehicles specifications'!BY$2)/1000*$AQ27</f>
        <v>2.9214674238634691E-8</v>
      </c>
      <c r="BZ27" s="7">
        <f>SUMIFS('fuels and tailpipe emissions'!$C$10:$C$126,'fuels and tailpipe emissions'!$A$10:$A$126,'vehicles specifications'!$F27,'fuels and tailpipe emissions'!$B$10:$B$126,'vehicles specifications'!BZ$2)/1000*$AQ27</f>
        <v>2.5185063998823007E-10</v>
      </c>
      <c r="CA27" s="7">
        <f>SUMIFS('fuels and tailpipe emissions'!$C$10:$C$126,'fuels and tailpipe emissions'!$A$10:$A$126,'vehicles specifications'!$F27,'fuels and tailpipe emissions'!$B$10:$B$126,'vehicles specifications'!CA$2)/1000*$AQ27</f>
        <v>1.6790042665882005E-10</v>
      </c>
      <c r="CB27" s="7">
        <f>SUMIFS('fuels and tailpipe emissions'!$C$10:$C$126,'fuels and tailpipe emissions'!$A$10:$A$126,'vehicles specifications'!$F27,'fuels and tailpipe emissions'!$B$10:$B$126,'vehicles specifications'!CB$2)/1000*$AQ27</f>
        <v>1.8133246079152567E-6</v>
      </c>
      <c r="CC27" s="7">
        <f>SUMIFS('fuels and tailpipe emissions'!$C$10:$C$126,'fuels and tailpipe emissions'!$A$10:$A$126,'vehicles specifications'!$F27,'fuels and tailpipe emissions'!$B$10:$B$126,'vehicles specifications'!CC$2)/1000*$AQ27</f>
        <v>3.525908959835221E-8</v>
      </c>
      <c r="CD27" s="7">
        <f>SUMIFS('fuels and tailpipe emissions'!$C$10:$C$126,'fuels and tailpipe emissions'!$A$10:$A$126,'vehicles specifications'!$F27,'fuels and tailpipe emissions'!$B$10:$B$126,'vehicles specifications'!CD$2)/1000*$AQ27</f>
        <v>1.0913527732823304E-8</v>
      </c>
      <c r="CE27" s="7">
        <f>SUMIFS('fuels and tailpipe emissions'!$C$10:$C$126,'fuels and tailpipe emissions'!$A$10:$A$126,'vehicles specifications'!$F27,'fuels and tailpipe emissions'!$B$10:$B$126,'vehicles specifications'!CE$2)/1000*$AQ27</f>
        <v>1.3432034132705608E-8</v>
      </c>
      <c r="CF27" s="7">
        <f>SUMIFS('fuels and tailpipe emissions'!$C$10:$C$126,'fuels and tailpipe emissions'!$A$10:$A$126,'vehicles specifications'!$F27,'fuels and tailpipe emissions'!$B$10:$B$126,'vehicles specifications'!CF$2)/1000*$AQ27</f>
        <v>2.6864068265411208E-11</v>
      </c>
      <c r="CG27" s="7">
        <f>SUMIFS('fuels and tailpipe emissions'!$C$10:$C$126,'fuels and tailpipe emissions'!$A$10:$A$126,'vehicles specifications'!$F27,'fuels and tailpipe emissions'!$B$10:$B$126,'vehicles specifications'!CG$2)/1000*$AQ27</f>
        <v>7.3036685596586727E-9</v>
      </c>
      <c r="CH27" s="7">
        <f>SUMIFS('fuels and tailpipe emissions'!$C$10:$C$126,'fuels and tailpipe emissions'!$A$10:$A$126,'vehicles specifications'!$F27,'fuels and tailpipe emissions'!$B$10:$B$126,'vehicles specifications'!CH$2)/1000*$AQ27</f>
        <v>9.0666230395762843E-9</v>
      </c>
      <c r="CI27" s="7">
        <f>VLOOKUP(B27,'abrasion emissions'!$A$4:$D$32,4,FALSE)</f>
        <v>6.0000000000000002E-6</v>
      </c>
      <c r="CJ27" s="7">
        <f>VLOOKUP(B27,'abrasion emissions'!$A$4:$D$32,2,FALSE)</f>
        <v>5.8379999999999998E-6</v>
      </c>
      <c r="CK27" s="7">
        <f>VLOOKUP(B27,'abrasion emissions'!$A$4:$D$32,3,FALSE)</f>
        <v>3.6740000000000003E-6</v>
      </c>
    </row>
    <row r="28" spans="1:89" x14ac:dyDescent="0.3">
      <c r="A28" t="str">
        <f t="shared" si="1"/>
        <v>Moped, gasoline, &lt;4kW, EURO-4 - 2016 - CH</v>
      </c>
      <c r="B28" t="s">
        <v>646</v>
      </c>
      <c r="D28">
        <v>2016</v>
      </c>
      <c r="E28" t="s">
        <v>37</v>
      </c>
      <c r="F28" t="s">
        <v>148</v>
      </c>
      <c r="G28" t="s">
        <v>39</v>
      </c>
      <c r="H28" t="s">
        <v>35</v>
      </c>
      <c r="J28" s="21">
        <v>33400</v>
      </c>
      <c r="K28" s="21">
        <v>2553</v>
      </c>
      <c r="L28" s="2">
        <f t="shared" si="2"/>
        <v>13.082647865256561</v>
      </c>
      <c r="M28">
        <v>1</v>
      </c>
      <c r="N28">
        <v>70</v>
      </c>
      <c r="O28">
        <v>2</v>
      </c>
      <c r="P28" s="2">
        <f t="shared" si="13"/>
        <v>63.83925</v>
      </c>
      <c r="Q28" s="2">
        <f t="shared" si="3"/>
        <v>135.83924999999999</v>
      </c>
      <c r="R28">
        <v>2.5</v>
      </c>
      <c r="S28" s="2">
        <v>41.962499999999999</v>
      </c>
      <c r="T28" s="1">
        <v>-0.02</v>
      </c>
      <c r="U28" s="2">
        <f t="shared" si="4"/>
        <v>42.801749999999998</v>
      </c>
      <c r="V28">
        <v>15</v>
      </c>
      <c r="W28">
        <v>0</v>
      </c>
      <c r="X28" s="3">
        <v>0</v>
      </c>
      <c r="Y28" s="1">
        <v>0.8</v>
      </c>
      <c r="Z28" s="3">
        <f t="shared" si="5"/>
        <v>0</v>
      </c>
      <c r="AA28" s="3">
        <v>0</v>
      </c>
      <c r="AB28" s="3">
        <v>0</v>
      </c>
      <c r="AC28" s="3">
        <f t="shared" si="7"/>
        <v>0</v>
      </c>
      <c r="AD28" s="3">
        <v>0</v>
      </c>
      <c r="AE28" s="3">
        <v>7</v>
      </c>
      <c r="AF28">
        <f>AE28*'fuels and tailpipe emissions'!$B$3</f>
        <v>5.25</v>
      </c>
      <c r="AG28" s="2">
        <f>AF28*'fuels and tailpipe emissions'!$C$3</f>
        <v>61.833333333333329</v>
      </c>
      <c r="AH28" s="3">
        <f t="shared" ref="AH28:AH44" si="16">0.15*AF28</f>
        <v>0.78749999999999998</v>
      </c>
      <c r="AI28">
        <v>0</v>
      </c>
      <c r="AJ28">
        <v>0</v>
      </c>
      <c r="AK28">
        <f t="shared" si="14"/>
        <v>1</v>
      </c>
      <c r="AL28">
        <f t="shared" si="15"/>
        <v>7.2945677249999991E-5</v>
      </c>
      <c r="AM28">
        <v>1.2899999999999999E-3</v>
      </c>
      <c r="AN28" s="2">
        <f t="shared" si="9"/>
        <v>42.801749999999998</v>
      </c>
      <c r="AO28" s="2">
        <f t="shared" si="10"/>
        <v>15</v>
      </c>
      <c r="AP28" s="2">
        <f t="shared" si="11"/>
        <v>0</v>
      </c>
      <c r="AQ28" s="6">
        <v>0.83119023098425771</v>
      </c>
      <c r="AR28" s="6" t="str">
        <f>IF($H28="BEV",SUMPRODUCT(#REF!,#REF!),"")</f>
        <v/>
      </c>
      <c r="AS28" s="2">
        <f>SUM(Z28,AG28)/(SUM(AQ28:AR28)/3.6)</f>
        <v>267.8087298215803</v>
      </c>
      <c r="AT28" s="5">
        <f>IF($H28="ICEV-p",$AQ28/('fuels and tailpipe emissions'!$C$3*3.6)*'fuels and tailpipe emissions'!$D$3,"")</f>
        <v>6.2339267323819329E-2</v>
      </c>
      <c r="AU28" s="7">
        <f>IF($H28="ICEV-p",$AQ28/('fuels and tailpipe emissions'!$C$3*3.6)*'fuels and tailpipe emissions'!$E$3,"")</f>
        <v>3.136566909374557E-7</v>
      </c>
      <c r="AV28" s="7">
        <f>SUMIFS('fuels and tailpipe emissions'!$C$10:$C$126,'fuels and tailpipe emissions'!$A$10:$A$126,'vehicles specifications'!$F28,'fuels and tailpipe emissions'!$B$10:$B$126,'vehicles specifications'!AV$2)/1000*$AQ28</f>
        <v>5.0538174149900782E-5</v>
      </c>
      <c r="AW28" s="7">
        <f>SUMIFS('fuels and tailpipe emissions'!$C$10:$C$126,'fuels and tailpipe emissions'!$A$10:$A$126,'vehicles specifications'!$F28,'fuels and tailpipe emissions'!$B$10:$B$126,'vehicles specifications'!AW$2)/1000*$AQ28</f>
        <v>2.2915507072459244E-5</v>
      </c>
      <c r="AX28" s="7">
        <f>SUMIFS('fuels and tailpipe emissions'!$C$10:$C$126,'fuels and tailpipe emissions'!$A$10:$A$126,'vehicles specifications'!$F28,'fuels and tailpipe emissions'!$B$10:$B$126,'vehicles specifications'!AX$2)/1000*$AQ28</f>
        <v>2.4230819782310601E-3</v>
      </c>
      <c r="AY28" s="7">
        <f>SUMIFS('fuels and tailpipe emissions'!$C$10:$C$126,'fuels and tailpipe emissions'!$A$10:$A$126,'vehicles specifications'!$F28,'fuels and tailpipe emissions'!$B$10:$B$126,'vehicles specifications'!AY$2)/1000*$AQ28</f>
        <v>1.1626335399522705E-6</v>
      </c>
      <c r="AZ28" s="7">
        <f>SUMIFS('fuels and tailpipe emissions'!$C$10:$C$126,'fuels and tailpipe emissions'!$A$10:$A$126,'vehicles specifications'!$F28,'fuels and tailpipe emissions'!$B$10:$B$126,'vehicles specifications'!AZ$2)/1000*$AQ28</f>
        <v>1.1626335399522705E-6</v>
      </c>
      <c r="BA28" s="7">
        <f>SUMIFS('fuels and tailpipe emissions'!$C$10:$C$126,'fuels and tailpipe emissions'!$A$10:$A$126,'vehicles specifications'!$F28,'fuels and tailpipe emissions'!$B$10:$B$126,'vehicles specifications'!BA$2)/1000*$AQ28</f>
        <v>8.7186713305431907E-5</v>
      </c>
      <c r="BB28" s="7">
        <f>SUMIFS('fuels and tailpipe emissions'!$C$10:$C$126,'fuels and tailpipe emissions'!$A$10:$A$126,'vehicles specifications'!$F28,'fuels and tailpipe emissions'!$B$10:$B$126,'vehicles specifications'!BB$2)/1000*$AQ28</f>
        <v>6.6770044199458891E-6</v>
      </c>
      <c r="BC28" s="7">
        <f>SUMIFS('fuels and tailpipe emissions'!$C$10:$C$126,'fuels and tailpipe emissions'!$A$10:$A$126,'vehicles specifications'!$F28,'fuels and tailpipe emissions'!$B$10:$B$126,'vehicles specifications'!BC$2)/1000*$AQ28</f>
        <v>4.0754848458850478E-4</v>
      </c>
      <c r="BD28" s="7">
        <f>SUMIFS('fuels and tailpipe emissions'!$C$10:$C$126,'fuels and tailpipe emissions'!$A$10:$A$126,'vehicles specifications'!$F28,'fuels and tailpipe emissions'!$B$10:$B$126,'vehicles specifications'!BD$2)/1000*$AQ28</f>
        <v>2.873739314406123E-5</v>
      </c>
      <c r="BE28" s="7">
        <f>SUMIFS('fuels and tailpipe emissions'!$C$10:$C$126,'fuels and tailpipe emissions'!$A$10:$A$126,'vehicles specifications'!$F28,'fuels and tailpipe emissions'!$B$10:$B$126,'vehicles specifications'!BE$2)/1000*$AQ28</f>
        <v>5.8555816751221947E-6</v>
      </c>
      <c r="BF28" s="7">
        <f>SUMIFS('fuels and tailpipe emissions'!$C$10:$C$126,'fuels and tailpipe emissions'!$A$10:$A$126,'vehicles specifications'!$F28,'fuels and tailpipe emissions'!$B$10:$B$126,'vehicles specifications'!BF$2)/1000*$AQ28</f>
        <v>4.7204996888677385E-5</v>
      </c>
      <c r="BG28" s="7">
        <f>SUMIFS('fuels and tailpipe emissions'!$C$10:$C$126,'fuels and tailpipe emissions'!$A$10:$A$126,'vehicles specifications'!$F28,'fuels and tailpipe emissions'!$B$10:$B$126,'vehicles specifications'!BG$2)/1000*$AQ28</f>
        <v>1.936846246386572E-5</v>
      </c>
      <c r="BH28" s="7">
        <f>SUMIFS('fuels and tailpipe emissions'!$C$10:$C$126,'fuels and tailpipe emissions'!$A$10:$A$126,'vehicles specifications'!$F28,'fuels and tailpipe emissions'!$B$10:$B$126,'vehicles specifications'!BH$2)/1000*$AQ28</f>
        <v>1.4503825379918051E-5</v>
      </c>
      <c r="BI28" s="7">
        <f>SUMIFS('fuels and tailpipe emissions'!$C$10:$C$126,'fuels and tailpipe emissions'!$A$10:$A$126,'vehicles specifications'!$F28,'fuels and tailpipe emissions'!$B$10:$B$126,'vehicles specifications'!BI$2)/1000*$AQ28</f>
        <v>1.0269789399445079E-5</v>
      </c>
      <c r="BJ28" s="7">
        <f>SUMIFS('fuels and tailpipe emissions'!$C$10:$C$126,'fuels and tailpipe emissions'!$A$10:$A$126,'vehicles specifications'!$F28,'fuels and tailpipe emissions'!$B$10:$B$126,'vehicles specifications'!BJ$2)/1000*$AQ28</f>
        <v>6.6663545224468059E-6</v>
      </c>
      <c r="BK28" s="7">
        <f>SUMIFS('fuels and tailpipe emissions'!$C$10:$C$126,'fuels and tailpipe emissions'!$A$10:$A$126,'vehicles specifications'!$F28,'fuels and tailpipe emissions'!$B$10:$B$126,'vehicles specifications'!BK$2)/1000*$AQ28</f>
        <v>6.5762686505218488E-5</v>
      </c>
      <c r="BL28" s="7">
        <f>SUMIFS('fuels and tailpipe emissions'!$C$10:$C$126,'fuels and tailpipe emissions'!$A$10:$A$126,'vehicles specifications'!$F28,'fuels and tailpipe emissions'!$B$10:$B$126,'vehicles specifications'!BL$2)/1000*$AQ28</f>
        <v>3.441280307533351E-5</v>
      </c>
      <c r="BM28" s="7">
        <f>SUMIFS('fuels and tailpipe emissions'!$C$10:$C$126,'fuels and tailpipe emissions'!$A$10:$A$126,'vehicles specifications'!$F28,'fuels and tailpipe emissions'!$B$10:$B$126,'vehicles specifications'!BM$2)/1000*$AQ28</f>
        <v>9.9094459117452519E-7</v>
      </c>
      <c r="BN28" s="7">
        <f>SUMIFS('fuels and tailpipe emissions'!$C$10:$C$126,'fuels and tailpipe emissions'!$A$10:$A$126,'vehicles specifications'!$F28,'fuels and tailpipe emissions'!$B$10:$B$126,'vehicles specifications'!BN$2)/1000*$AQ28</f>
        <v>5.0538174149900782E-5</v>
      </c>
      <c r="BO28" s="7">
        <f>SUMIFS('fuels and tailpipe emissions'!$C$10:$C$126,'fuels and tailpipe emissions'!$A$10:$A$126,'vehicles specifications'!$F28,'fuels and tailpipe emissions'!$B$10:$B$126,'vehicles specifications'!BO$2)/1000*$AQ28</f>
        <v>9.8914287373602611E-5</v>
      </c>
      <c r="BP28" s="7">
        <f>SUMIFS('fuels and tailpipe emissions'!$C$10:$C$126,'fuels and tailpipe emissions'!$A$10:$A$126,'vehicles specifications'!$F28,'fuels and tailpipe emissions'!$B$10:$B$126,'vehicles specifications'!BP$2)/1000*$AQ28</f>
        <v>4.8916628455251568E-5</v>
      </c>
      <c r="BQ28" s="7">
        <f>SUMIFS('fuels and tailpipe emissions'!$C$10:$C$126,'fuels and tailpipe emissions'!$A$10:$A$126,'vehicles specifications'!$F28,'fuels and tailpipe emissions'!$B$10:$B$126,'vehicles specifications'!BQ$2)/1000*$AQ28</f>
        <v>2.0359407055040244E-5</v>
      </c>
      <c r="BR28" s="7">
        <f>SUMIFS('fuels and tailpipe emissions'!$C$10:$C$126,'fuels and tailpipe emissions'!$A$10:$A$126,'vehicles specifications'!$F28,'fuels and tailpipe emissions'!$B$10:$B$126,'vehicles specifications'!BR$2)/1000*$AQ28</f>
        <v>1.5314598227242665E-5</v>
      </c>
      <c r="BS28" s="7">
        <f>SUMIFS('fuels and tailpipe emissions'!$C$10:$C$126,'fuels and tailpipe emissions'!$A$10:$A$126,'vehicles specifications'!$F28,'fuels and tailpipe emissions'!$B$10:$B$126,'vehicles specifications'!BS$2)/1000*$AQ28</f>
        <v>6.7564403943717619E-6</v>
      </c>
      <c r="BT28" s="7">
        <f>SUMIFS('fuels and tailpipe emissions'!$C$10:$C$126,'fuels and tailpipe emissions'!$A$10:$A$126,'vehicles specifications'!$F28,'fuels and tailpipe emissions'!$B$10:$B$126,'vehicles specifications'!BT$2)/1000*$AQ28</f>
        <v>1.9818891823490504E-6</v>
      </c>
      <c r="BU28" s="7">
        <f>SUMIFS('fuels and tailpipe emissions'!$C$10:$C$126,'fuels and tailpipe emissions'!$A$10:$A$126,'vehicles specifications'!$F28,'fuels and tailpipe emissions'!$B$10:$B$126,'vehicles specifications'!BU$2)/1000*$AQ28</f>
        <v>5.495238187422368E-6</v>
      </c>
      <c r="BV28" s="7">
        <f>SUMIFS('fuels and tailpipe emissions'!$C$10:$C$126,'fuels and tailpipe emissions'!$A$10:$A$126,'vehicles specifications'!$F28,'fuels and tailpipe emissions'!$B$10:$B$126,'vehicles specifications'!BV$2)/1000*$AQ28</f>
        <v>0</v>
      </c>
      <c r="BW28" s="7">
        <f>SUMIFS('fuels and tailpipe emissions'!$C$10:$C$126,'fuels and tailpipe emissions'!$A$10:$A$126,'vehicles specifications'!$F28,'fuels and tailpipe emissions'!$B$10:$B$126,'vehicles specifications'!BW$2)/1000*$AQ28</f>
        <v>1.7116315665741799E-6</v>
      </c>
      <c r="BX28" s="7">
        <f>SUMIFS('fuels and tailpipe emissions'!$C$10:$C$126,'fuels and tailpipe emissions'!$A$10:$A$126,'vehicles specifications'!$F28,'fuels and tailpipe emissions'!$B$10:$B$126,'vehicles specifications'!BX$2)/1000*$AQ28</f>
        <v>9.0986730644206395E-6</v>
      </c>
      <c r="BY28" s="7">
        <f>SUMIFS('fuels and tailpipe emissions'!$C$10:$C$126,'fuels and tailpipe emissions'!$A$10:$A$126,'vehicles specifications'!$F28,'fuels and tailpipe emissions'!$B$10:$B$126,'vehicles specifications'!BY$2)/1000*$AQ28</f>
        <v>2.8925420038252168E-8</v>
      </c>
      <c r="BZ28" s="7">
        <f>SUMIFS('fuels and tailpipe emissions'!$C$10:$C$126,'fuels and tailpipe emissions'!$A$10:$A$126,'vehicles specifications'!$F28,'fuels and tailpipe emissions'!$B$10:$B$126,'vehicles specifications'!BZ$2)/1000*$AQ28</f>
        <v>2.4935706929527731E-10</v>
      </c>
      <c r="CA28" s="7">
        <f>SUMIFS('fuels and tailpipe emissions'!$C$10:$C$126,'fuels and tailpipe emissions'!$A$10:$A$126,'vehicles specifications'!$F28,'fuels and tailpipe emissions'!$B$10:$B$126,'vehicles specifications'!CA$2)/1000*$AQ28</f>
        <v>1.6623804619685155E-10</v>
      </c>
      <c r="CB28" s="7">
        <f>SUMIFS('fuels and tailpipe emissions'!$C$10:$C$126,'fuels and tailpipe emissions'!$A$10:$A$126,'vehicles specifications'!$F28,'fuels and tailpipe emissions'!$B$10:$B$126,'vehicles specifications'!CB$2)/1000*$AQ28</f>
        <v>1.7953708989259966E-6</v>
      </c>
      <c r="CC28" s="7">
        <f>SUMIFS('fuels and tailpipe emissions'!$C$10:$C$126,'fuels and tailpipe emissions'!$A$10:$A$126,'vehicles specifications'!$F28,'fuels and tailpipe emissions'!$B$10:$B$126,'vehicles specifications'!CC$2)/1000*$AQ28</f>
        <v>3.490998970133882E-8</v>
      </c>
      <c r="CD28" s="7">
        <f>SUMIFS('fuels and tailpipe emissions'!$C$10:$C$126,'fuels and tailpipe emissions'!$A$10:$A$126,'vehicles specifications'!$F28,'fuels and tailpipe emissions'!$B$10:$B$126,'vehicles specifications'!CD$2)/1000*$AQ28</f>
        <v>1.0805473002795351E-8</v>
      </c>
      <c r="CE28" s="7">
        <f>SUMIFS('fuels and tailpipe emissions'!$C$10:$C$126,'fuels and tailpipe emissions'!$A$10:$A$126,'vehicles specifications'!$F28,'fuels and tailpipe emissions'!$B$10:$B$126,'vehicles specifications'!CE$2)/1000*$AQ28</f>
        <v>1.3299043695748127E-8</v>
      </c>
      <c r="CF28" s="7">
        <f>SUMIFS('fuels and tailpipe emissions'!$C$10:$C$126,'fuels and tailpipe emissions'!$A$10:$A$126,'vehicles specifications'!$F28,'fuels and tailpipe emissions'!$B$10:$B$126,'vehicles specifications'!CF$2)/1000*$AQ28</f>
        <v>2.6598087391496246E-11</v>
      </c>
      <c r="CG28" s="7">
        <f>SUMIFS('fuels and tailpipe emissions'!$C$10:$C$126,'fuels and tailpipe emissions'!$A$10:$A$126,'vehicles specifications'!$F28,'fuels and tailpipe emissions'!$B$10:$B$126,'vehicles specifications'!CG$2)/1000*$AQ28</f>
        <v>7.2313550095630419E-9</v>
      </c>
      <c r="CH28" s="7">
        <f>SUMIFS('fuels and tailpipe emissions'!$C$10:$C$126,'fuels and tailpipe emissions'!$A$10:$A$126,'vehicles specifications'!$F28,'fuels and tailpipe emissions'!$B$10:$B$126,'vehicles specifications'!CH$2)/1000*$AQ28</f>
        <v>8.976854494629983E-9</v>
      </c>
      <c r="CI28" s="7">
        <f>VLOOKUP(B28,'abrasion emissions'!$A$4:$D$32,4,FALSE)</f>
        <v>6.0000000000000002E-6</v>
      </c>
      <c r="CJ28" s="7">
        <f>VLOOKUP(B28,'abrasion emissions'!$A$4:$D$32,2,FALSE)</f>
        <v>5.8379999999999998E-6</v>
      </c>
      <c r="CK28" s="7">
        <f>VLOOKUP(B28,'abrasion emissions'!$A$4:$D$32,3,FALSE)</f>
        <v>3.6740000000000003E-6</v>
      </c>
    </row>
    <row r="29" spans="1:89" x14ac:dyDescent="0.3">
      <c r="A29" t="str">
        <f t="shared" si="1"/>
        <v>Moped, gasoline, &lt;4kW, EURO-5 - 2020 - CH</v>
      </c>
      <c r="B29" t="s">
        <v>647</v>
      </c>
      <c r="D29">
        <v>2020</v>
      </c>
      <c r="E29" t="s">
        <v>37</v>
      </c>
      <c r="F29" t="s">
        <v>149</v>
      </c>
      <c r="G29" t="s">
        <v>39</v>
      </c>
      <c r="H29" t="s">
        <v>35</v>
      </c>
      <c r="J29" s="21">
        <v>33400</v>
      </c>
      <c r="K29" s="21">
        <v>2553</v>
      </c>
      <c r="L29" s="2">
        <f t="shared" si="2"/>
        <v>13.082647865256561</v>
      </c>
      <c r="M29">
        <v>1</v>
      </c>
      <c r="N29">
        <v>70</v>
      </c>
      <c r="O29">
        <v>2</v>
      </c>
      <c r="P29" s="2">
        <f t="shared" si="13"/>
        <v>63</v>
      </c>
      <c r="Q29" s="2">
        <f t="shared" si="3"/>
        <v>135</v>
      </c>
      <c r="R29">
        <v>2.5</v>
      </c>
      <c r="S29" s="2">
        <v>41.962499999999999</v>
      </c>
      <c r="T29" s="1">
        <v>0</v>
      </c>
      <c r="U29" s="2">
        <f t="shared" si="4"/>
        <v>41.962499999999999</v>
      </c>
      <c r="V29">
        <v>15</v>
      </c>
      <c r="W29">
        <v>0</v>
      </c>
      <c r="X29" s="3">
        <v>0</v>
      </c>
      <c r="Y29" s="1">
        <v>0.8</v>
      </c>
      <c r="Z29" s="3">
        <f t="shared" si="5"/>
        <v>0</v>
      </c>
      <c r="AA29" s="3">
        <v>0</v>
      </c>
      <c r="AB29" s="3">
        <v>0</v>
      </c>
      <c r="AC29" s="3">
        <f t="shared" si="7"/>
        <v>0</v>
      </c>
      <c r="AD29" s="3">
        <v>0</v>
      </c>
      <c r="AE29" s="3">
        <v>7</v>
      </c>
      <c r="AF29">
        <f>AE29*'fuels and tailpipe emissions'!$B$3</f>
        <v>5.25</v>
      </c>
      <c r="AG29" s="2">
        <f>AF29*'fuels and tailpipe emissions'!$C$3</f>
        <v>61.833333333333329</v>
      </c>
      <c r="AH29" s="3">
        <f t="shared" si="16"/>
        <v>0.78749999999999998</v>
      </c>
      <c r="AI29">
        <v>0</v>
      </c>
      <c r="AJ29">
        <v>0</v>
      </c>
      <c r="AK29">
        <f t="shared" si="14"/>
        <v>1</v>
      </c>
      <c r="AL29">
        <f t="shared" si="15"/>
        <v>7.2495000000000003E-5</v>
      </c>
      <c r="AM29">
        <v>1.2899999999999999E-3</v>
      </c>
      <c r="AN29" s="2">
        <f t="shared" si="9"/>
        <v>41.962499999999999</v>
      </c>
      <c r="AO29" s="2">
        <f t="shared" si="10"/>
        <v>15</v>
      </c>
      <c r="AP29" s="2">
        <f t="shared" si="11"/>
        <v>0</v>
      </c>
      <c r="AQ29" s="6">
        <v>0.82287832867441513</v>
      </c>
      <c r="AR29" s="6" t="str">
        <f>IF($H29="BEV",SUMPRODUCT(#REF!,#REF!),"")</f>
        <v/>
      </c>
      <c r="AS29" s="2">
        <f>SUM(Z29,AG29)/(SUM(AQ29:AR29)/3.6)</f>
        <v>270.51386850664676</v>
      </c>
      <c r="AT29" s="5">
        <f>IF($H29="ICEV-p",$AQ29/('fuels and tailpipe emissions'!$C$3*3.6)*'fuels and tailpipe emissions'!$D$3,"")</f>
        <v>6.1715874650581141E-2</v>
      </c>
      <c r="AU29" s="7">
        <f>IF($H29="ICEV-p",$AQ29/('fuels and tailpipe emissions'!$C$3*3.6)*'fuels and tailpipe emissions'!$E$3,"")</f>
        <v>3.1052012402808118E-7</v>
      </c>
      <c r="AV29" s="7">
        <f>SUMIFS('fuels and tailpipe emissions'!$C$10:$C$126,'fuels and tailpipe emissions'!$A$10:$A$126,'vehicles specifications'!$F29,'fuels and tailpipe emissions'!$B$10:$B$126,'vehicles specifications'!AV$2)/1000*$AQ29</f>
        <v>5.0032792408401772E-5</v>
      </c>
      <c r="AW29" s="7">
        <f>SUMIFS('fuels and tailpipe emissions'!$C$10:$C$126,'fuels and tailpipe emissions'!$A$10:$A$126,'vehicles specifications'!$F29,'fuels and tailpipe emissions'!$B$10:$B$126,'vehicles specifications'!AW$2)/1000*$AQ29</f>
        <v>2.2686352001734651E-5</v>
      </c>
      <c r="AX29" s="7">
        <f>SUMIFS('fuels and tailpipe emissions'!$C$10:$C$126,'fuels and tailpipe emissions'!$A$10:$A$126,'vehicles specifications'!$F29,'fuels and tailpipe emissions'!$B$10:$B$126,'vehicles specifications'!AX$2)/1000*$AQ29</f>
        <v>2.3988511584487494E-3</v>
      </c>
      <c r="AY29" s="7">
        <f>SUMIFS('fuels and tailpipe emissions'!$C$10:$C$126,'fuels and tailpipe emissions'!$A$10:$A$126,'vehicles specifications'!$F29,'fuels and tailpipe emissions'!$B$10:$B$126,'vehicles specifications'!AY$2)/1000*$AQ29</f>
        <v>1.1510072045527478E-6</v>
      </c>
      <c r="AZ29" s="7">
        <f>SUMIFS('fuels and tailpipe emissions'!$C$10:$C$126,'fuels and tailpipe emissions'!$A$10:$A$126,'vehicles specifications'!$F29,'fuels and tailpipe emissions'!$B$10:$B$126,'vehicles specifications'!AZ$2)/1000*$AQ29</f>
        <v>1.1510072045527478E-6</v>
      </c>
      <c r="BA29" s="7">
        <f>SUMIFS('fuels and tailpipe emissions'!$C$10:$C$126,'fuels and tailpipe emissions'!$A$10:$A$126,'vehicles specifications'!$F29,'fuels and tailpipe emissions'!$B$10:$B$126,'vehicles specifications'!BA$2)/1000*$AQ29</f>
        <v>8.6314846172377596E-5</v>
      </c>
      <c r="BB29" s="7">
        <f>SUMIFS('fuels and tailpipe emissions'!$C$10:$C$126,'fuels and tailpipe emissions'!$A$10:$A$126,'vehicles specifications'!$F29,'fuels and tailpipe emissions'!$B$10:$B$126,'vehicles specifications'!BB$2)/1000*$AQ29</f>
        <v>6.6102343757464297E-6</v>
      </c>
      <c r="BC29" s="7">
        <f>SUMIFS('fuels and tailpipe emissions'!$C$10:$C$126,'fuels and tailpipe emissions'!$A$10:$A$126,'vehicles specifications'!$F29,'fuels and tailpipe emissions'!$B$10:$B$126,'vehicles specifications'!BC$2)/1000*$AQ29</f>
        <v>4.0347299974261968E-4</v>
      </c>
      <c r="BD29" s="7">
        <f>SUMIFS('fuels and tailpipe emissions'!$C$10:$C$126,'fuels and tailpipe emissions'!$A$10:$A$126,'vehicles specifications'!$F29,'fuels and tailpipe emissions'!$B$10:$B$126,'vehicles specifications'!BD$2)/1000*$AQ29</f>
        <v>2.8450019212620617E-5</v>
      </c>
      <c r="BE29" s="7">
        <f>SUMIFS('fuels and tailpipe emissions'!$C$10:$C$126,'fuels and tailpipe emissions'!$A$10:$A$126,'vehicles specifications'!$F29,'fuels and tailpipe emissions'!$B$10:$B$126,'vehicles specifications'!BE$2)/1000*$AQ29</f>
        <v>5.7970258583709726E-6</v>
      </c>
      <c r="BF29" s="7">
        <f>SUMIFS('fuels and tailpipe emissions'!$C$10:$C$126,'fuels and tailpipe emissions'!$A$10:$A$126,'vehicles specifications'!$F29,'fuels and tailpipe emissions'!$B$10:$B$126,'vehicles specifications'!BF$2)/1000*$AQ29</f>
        <v>4.6732946919790611E-5</v>
      </c>
      <c r="BG29" s="7">
        <f>SUMIFS('fuels and tailpipe emissions'!$C$10:$C$126,'fuels and tailpipe emissions'!$A$10:$A$126,'vehicles specifications'!$F29,'fuels and tailpipe emissions'!$B$10:$B$126,'vehicles specifications'!BG$2)/1000*$AQ29</f>
        <v>1.9174777839227063E-5</v>
      </c>
      <c r="BH29" s="7">
        <f>SUMIFS('fuels and tailpipe emissions'!$C$10:$C$126,'fuels and tailpipe emissions'!$A$10:$A$126,'vehicles specifications'!$F29,'fuels and tailpipe emissions'!$B$10:$B$126,'vehicles specifications'!BH$2)/1000*$AQ29</f>
        <v>1.4358787126118871E-5</v>
      </c>
      <c r="BI29" s="7">
        <f>SUMIFS('fuels and tailpipe emissions'!$C$10:$C$126,'fuels and tailpipe emissions'!$A$10:$A$126,'vehicles specifications'!$F29,'fuels and tailpipe emissions'!$B$10:$B$126,'vehicles specifications'!BI$2)/1000*$AQ29</f>
        <v>1.016709150545063E-5</v>
      </c>
      <c r="BJ29" s="7">
        <f>SUMIFS('fuels and tailpipe emissions'!$C$10:$C$126,'fuels and tailpipe emissions'!$A$10:$A$126,'vehicles specifications'!$F29,'fuels and tailpipe emissions'!$B$10:$B$126,'vehicles specifications'!BJ$2)/1000*$AQ29</f>
        <v>6.599690977222338E-6</v>
      </c>
      <c r="BK29" s="7">
        <f>SUMIFS('fuels and tailpipe emissions'!$C$10:$C$126,'fuels and tailpipe emissions'!$A$10:$A$126,'vehicles specifications'!$F29,'fuels and tailpipe emissions'!$B$10:$B$126,'vehicles specifications'!BK$2)/1000*$AQ29</f>
        <v>6.5105059640166308E-5</v>
      </c>
      <c r="BL29" s="7">
        <f>SUMIFS('fuels and tailpipe emissions'!$C$10:$C$126,'fuels and tailpipe emissions'!$A$10:$A$126,'vehicles specifications'!$F29,'fuels and tailpipe emissions'!$B$10:$B$126,'vehicles specifications'!BL$2)/1000*$AQ29</f>
        <v>3.406867504458017E-5</v>
      </c>
      <c r="BM29" s="7">
        <f>SUMIFS('fuels and tailpipe emissions'!$C$10:$C$126,'fuels and tailpipe emissions'!$A$10:$A$126,'vehicles specifications'!$F29,'fuels and tailpipe emissions'!$B$10:$B$126,'vehicles specifications'!BM$2)/1000*$AQ29</f>
        <v>9.8103514526278003E-7</v>
      </c>
      <c r="BN29" s="7">
        <f>SUMIFS('fuels and tailpipe emissions'!$C$10:$C$126,'fuels and tailpipe emissions'!$A$10:$A$126,'vehicles specifications'!$F29,'fuels and tailpipe emissions'!$B$10:$B$126,'vehicles specifications'!BN$2)/1000*$AQ29</f>
        <v>5.0032792408401772E-5</v>
      </c>
      <c r="BO29" s="7">
        <f>SUMIFS('fuels and tailpipe emissions'!$C$10:$C$126,'fuels and tailpipe emissions'!$A$10:$A$126,'vehicles specifications'!$F29,'fuels and tailpipe emissions'!$B$10:$B$126,'vehicles specifications'!BO$2)/1000*$AQ29</f>
        <v>9.7925144499866576E-5</v>
      </c>
      <c r="BP29" s="7">
        <f>SUMIFS('fuels and tailpipe emissions'!$C$10:$C$126,'fuels and tailpipe emissions'!$A$10:$A$126,'vehicles specifications'!$F29,'fuels and tailpipe emissions'!$B$10:$B$126,'vehicles specifications'!BP$2)/1000*$AQ29</f>
        <v>4.8427462170699053E-5</v>
      </c>
      <c r="BQ29" s="7">
        <f>SUMIFS('fuels and tailpipe emissions'!$C$10:$C$126,'fuels and tailpipe emissions'!$A$10:$A$126,'vehicles specifications'!$F29,'fuels and tailpipe emissions'!$B$10:$B$126,'vehicles specifications'!BQ$2)/1000*$AQ29</f>
        <v>2.0155812984489841E-5</v>
      </c>
      <c r="BR29" s="7">
        <f>SUMIFS('fuels and tailpipe emissions'!$C$10:$C$126,'fuels and tailpipe emissions'!$A$10:$A$126,'vehicles specifications'!$F29,'fuels and tailpipe emissions'!$B$10:$B$126,'vehicles specifications'!BR$2)/1000*$AQ29</f>
        <v>1.5161452244970237E-5</v>
      </c>
      <c r="BS29" s="7">
        <f>SUMIFS('fuels and tailpipe emissions'!$C$10:$C$126,'fuels and tailpipe emissions'!$A$10:$A$126,'vehicles specifications'!$F29,'fuels and tailpipe emissions'!$B$10:$B$126,'vehicles specifications'!BS$2)/1000*$AQ29</f>
        <v>6.6888759904280447E-6</v>
      </c>
      <c r="BT29" s="7">
        <f>SUMIFS('fuels and tailpipe emissions'!$C$10:$C$126,'fuels and tailpipe emissions'!$A$10:$A$126,'vehicles specifications'!$F29,'fuels and tailpipe emissions'!$B$10:$B$126,'vehicles specifications'!BT$2)/1000*$AQ29</f>
        <v>1.9620702905255601E-6</v>
      </c>
      <c r="BU29" s="7">
        <f>SUMIFS('fuels and tailpipe emissions'!$C$10:$C$126,'fuels and tailpipe emissions'!$A$10:$A$126,'vehicles specifications'!$F29,'fuels and tailpipe emissions'!$B$10:$B$126,'vehicles specifications'!BU$2)/1000*$AQ29</f>
        <v>5.4402858055481441E-6</v>
      </c>
      <c r="BV29" s="7">
        <f>SUMIFS('fuels and tailpipe emissions'!$C$10:$C$126,'fuels and tailpipe emissions'!$A$10:$A$126,'vehicles specifications'!$F29,'fuels and tailpipe emissions'!$B$10:$B$126,'vehicles specifications'!BV$2)/1000*$AQ29</f>
        <v>0</v>
      </c>
      <c r="BW29" s="7">
        <f>SUMIFS('fuels and tailpipe emissions'!$C$10:$C$126,'fuels and tailpipe emissions'!$A$10:$A$126,'vehicles specifications'!$F29,'fuels and tailpipe emissions'!$B$10:$B$126,'vehicles specifications'!BW$2)/1000*$AQ29</f>
        <v>1.6945152509084381E-6</v>
      </c>
      <c r="BX29" s="7">
        <f>SUMIFS('fuels and tailpipe emissions'!$C$10:$C$126,'fuels and tailpipe emissions'!$A$10:$A$126,'vehicles specifications'!$F29,'fuels and tailpipe emissions'!$B$10:$B$126,'vehicles specifications'!BX$2)/1000*$AQ29</f>
        <v>9.0076863337764332E-6</v>
      </c>
      <c r="BY29" s="7">
        <f>SUMIFS('fuels and tailpipe emissions'!$C$10:$C$126,'fuels and tailpipe emissions'!$A$10:$A$126,'vehicles specifications'!$F29,'fuels and tailpipe emissions'!$B$10:$B$126,'vehicles specifications'!BY$2)/1000*$AQ29</f>
        <v>2.8636165837869648E-8</v>
      </c>
      <c r="BZ29" s="7">
        <f>SUMIFS('fuels and tailpipe emissions'!$C$10:$C$126,'fuels and tailpipe emissions'!$A$10:$A$126,'vehicles specifications'!$F29,'fuels and tailpipe emissions'!$B$10:$B$126,'vehicles specifications'!BZ$2)/1000*$AQ29</f>
        <v>2.4686349860232454E-10</v>
      </c>
      <c r="CA29" s="7">
        <f>SUMIFS('fuels and tailpipe emissions'!$C$10:$C$126,'fuels and tailpipe emissions'!$A$10:$A$126,'vehicles specifications'!$F29,'fuels and tailpipe emissions'!$B$10:$B$126,'vehicles specifications'!CA$2)/1000*$AQ29</f>
        <v>1.6457566573488304E-10</v>
      </c>
      <c r="CB29" s="7">
        <f>SUMIFS('fuels and tailpipe emissions'!$C$10:$C$126,'fuels and tailpipe emissions'!$A$10:$A$126,'vehicles specifications'!$F29,'fuels and tailpipe emissions'!$B$10:$B$126,'vehicles specifications'!CB$2)/1000*$AQ29</f>
        <v>1.7774171899367368E-6</v>
      </c>
      <c r="CC29" s="7">
        <f>SUMIFS('fuels and tailpipe emissions'!$C$10:$C$126,'fuels and tailpipe emissions'!$A$10:$A$126,'vehicles specifications'!$F29,'fuels and tailpipe emissions'!$B$10:$B$126,'vehicles specifications'!CC$2)/1000*$AQ29</f>
        <v>3.4560889804325435E-8</v>
      </c>
      <c r="CD29" s="7">
        <f>SUMIFS('fuels and tailpipe emissions'!$C$10:$C$126,'fuels and tailpipe emissions'!$A$10:$A$126,'vehicles specifications'!$F29,'fuels and tailpipe emissions'!$B$10:$B$126,'vehicles specifications'!CD$2)/1000*$AQ29</f>
        <v>1.0697418272767397E-8</v>
      </c>
      <c r="CE29" s="7">
        <f>SUMIFS('fuels and tailpipe emissions'!$C$10:$C$126,'fuels and tailpipe emissions'!$A$10:$A$126,'vehicles specifications'!$F29,'fuels and tailpipe emissions'!$B$10:$B$126,'vehicles specifications'!CE$2)/1000*$AQ29</f>
        <v>1.3166053258790645E-8</v>
      </c>
      <c r="CF29" s="7">
        <f>SUMIFS('fuels and tailpipe emissions'!$C$10:$C$126,'fuels and tailpipe emissions'!$A$10:$A$126,'vehicles specifications'!$F29,'fuels and tailpipe emissions'!$B$10:$B$126,'vehicles specifications'!CF$2)/1000*$AQ29</f>
        <v>2.6332106517581283E-11</v>
      </c>
      <c r="CG29" s="7">
        <f>SUMIFS('fuels and tailpipe emissions'!$C$10:$C$126,'fuels and tailpipe emissions'!$A$10:$A$126,'vehicles specifications'!$F29,'fuels and tailpipe emissions'!$B$10:$B$126,'vehicles specifications'!CG$2)/1000*$AQ29</f>
        <v>7.1590414594674119E-9</v>
      </c>
      <c r="CH29" s="7">
        <f>SUMIFS('fuels and tailpipe emissions'!$C$10:$C$126,'fuels and tailpipe emissions'!$A$10:$A$126,'vehicles specifications'!$F29,'fuels and tailpipe emissions'!$B$10:$B$126,'vehicles specifications'!CH$2)/1000*$AQ29</f>
        <v>8.8870859496836834E-9</v>
      </c>
      <c r="CI29" s="7">
        <f>VLOOKUP(B29,'abrasion emissions'!$A$4:$D$32,4,FALSE)</f>
        <v>6.0000000000000002E-6</v>
      </c>
      <c r="CJ29" s="7">
        <f>VLOOKUP(B29,'abrasion emissions'!$A$4:$D$32,2,FALSE)</f>
        <v>5.8379999999999998E-6</v>
      </c>
      <c r="CK29" s="7">
        <f>VLOOKUP(B29,'abrasion emissions'!$A$4:$D$32,3,FALSE)</f>
        <v>3.6740000000000003E-6</v>
      </c>
    </row>
    <row r="30" spans="1:89" x14ac:dyDescent="0.3">
      <c r="A30" t="str">
        <f t="shared" si="1"/>
        <v>Moped, gasoline, &lt;4kW, EURO-5 - 2030 - CH</v>
      </c>
      <c r="B30" t="s">
        <v>647</v>
      </c>
      <c r="D30">
        <v>2030</v>
      </c>
      <c r="E30" t="s">
        <v>37</v>
      </c>
      <c r="F30" t="s">
        <v>149</v>
      </c>
      <c r="G30" t="s">
        <v>39</v>
      </c>
      <c r="H30" t="s">
        <v>35</v>
      </c>
      <c r="J30" s="21">
        <v>33400</v>
      </c>
      <c r="K30" s="21">
        <v>2553</v>
      </c>
      <c r="L30" s="2">
        <f t="shared" si="2"/>
        <v>13.082647865256561</v>
      </c>
      <c r="M30">
        <v>1</v>
      </c>
      <c r="N30">
        <v>70</v>
      </c>
      <c r="O30">
        <v>2</v>
      </c>
      <c r="P30" s="2">
        <f t="shared" si="13"/>
        <v>61.729124999999996</v>
      </c>
      <c r="Q30" s="2">
        <f t="shared" si="3"/>
        <v>133.72912500000001</v>
      </c>
      <c r="R30">
        <v>2.5</v>
      </c>
      <c r="S30" s="2">
        <v>42.362499999999997</v>
      </c>
      <c r="T30" s="1">
        <v>0.03</v>
      </c>
      <c r="U30" s="2">
        <f t="shared" si="4"/>
        <v>41.091624999999993</v>
      </c>
      <c r="V30">
        <v>14.6</v>
      </c>
      <c r="W30">
        <v>0</v>
      </c>
      <c r="X30" s="3">
        <v>0</v>
      </c>
      <c r="Y30" s="1">
        <v>0.8</v>
      </c>
      <c r="Z30" s="3">
        <f t="shared" si="5"/>
        <v>0</v>
      </c>
      <c r="AA30" s="3">
        <v>0</v>
      </c>
      <c r="AB30" s="3">
        <v>0</v>
      </c>
      <c r="AC30" s="3">
        <f t="shared" si="7"/>
        <v>0</v>
      </c>
      <c r="AD30" s="3">
        <v>0</v>
      </c>
      <c r="AE30" s="3">
        <v>7</v>
      </c>
      <c r="AF30">
        <f>AE30*'fuels and tailpipe emissions'!$B$3</f>
        <v>5.25</v>
      </c>
      <c r="AG30" s="2">
        <f>AF30*'fuels and tailpipe emissions'!$C$3</f>
        <v>61.833333333333329</v>
      </c>
      <c r="AH30" s="3">
        <f t="shared" si="16"/>
        <v>0.78749999999999998</v>
      </c>
      <c r="AI30">
        <v>0</v>
      </c>
      <c r="AJ30">
        <v>0</v>
      </c>
      <c r="AK30">
        <f t="shared" si="14"/>
        <v>1</v>
      </c>
      <c r="AL30">
        <f t="shared" si="15"/>
        <v>7.1812540125000006E-5</v>
      </c>
      <c r="AM30">
        <v>1.2899999999999999E-3</v>
      </c>
      <c r="AN30" s="2">
        <f t="shared" si="9"/>
        <v>41.091624999999993</v>
      </c>
      <c r="AO30" s="2">
        <f t="shared" si="10"/>
        <v>14.6</v>
      </c>
      <c r="AP30" s="2">
        <f t="shared" si="11"/>
        <v>0</v>
      </c>
      <c r="AQ30" s="6">
        <v>0.81464954538767098</v>
      </c>
      <c r="AR30" s="6" t="str">
        <f>IF($H30="BEV",SUMPRODUCT(#REF!,#REF!),"")</f>
        <v/>
      </c>
      <c r="AS30" s="2">
        <f>SUM(Z30,AG30)/(SUM(AQ30:AR30)/3.6)</f>
        <v>273.24633182489572</v>
      </c>
      <c r="AT30" s="5">
        <f>IF($H30="ICEV-p",$AQ30/('fuels and tailpipe emissions'!$C$3*3.6)*'fuels and tailpipe emissions'!$D$3,"")</f>
        <v>6.1098715904075326E-2</v>
      </c>
      <c r="AU30" s="7">
        <f>IF($H30="ICEV-p",$AQ30/('fuels and tailpipe emissions'!$C$3*3.6)*'fuels and tailpipe emissions'!$E$3,"")</f>
        <v>3.0741492278780034E-7</v>
      </c>
      <c r="AV30" s="7">
        <f>SUMIFS('fuels and tailpipe emissions'!$C$10:$C$126,'fuels and tailpipe emissions'!$A$10:$A$126,'vehicles specifications'!$F30,'fuels and tailpipe emissions'!$B$10:$B$126,'vehicles specifications'!AV$2)/1000*$AQ30</f>
        <v>4.9532464484317754E-5</v>
      </c>
      <c r="AW30" s="7">
        <f>SUMIFS('fuels and tailpipe emissions'!$C$10:$C$126,'fuels and tailpipe emissions'!$A$10:$A$126,'vehicles specifications'!$F30,'fuels and tailpipe emissions'!$B$10:$B$126,'vehicles specifications'!AW$2)/1000*$AQ30</f>
        <v>2.2459488481717305E-5</v>
      </c>
      <c r="AX30" s="7">
        <f>SUMIFS('fuels and tailpipe emissions'!$C$10:$C$126,'fuels and tailpipe emissions'!$A$10:$A$126,'vehicles specifications'!$F30,'fuels and tailpipe emissions'!$B$10:$B$126,'vehicles specifications'!AX$2)/1000*$AQ30</f>
        <v>2.374862646864262E-3</v>
      </c>
      <c r="AY30" s="7">
        <f>SUMIFS('fuels and tailpipe emissions'!$C$10:$C$126,'fuels and tailpipe emissions'!$A$10:$A$126,'vehicles specifications'!$F30,'fuels and tailpipe emissions'!$B$10:$B$126,'vehicles specifications'!AY$2)/1000*$AQ30</f>
        <v>1.1394971325072205E-6</v>
      </c>
      <c r="AZ30" s="7">
        <f>SUMIFS('fuels and tailpipe emissions'!$C$10:$C$126,'fuels and tailpipe emissions'!$A$10:$A$126,'vehicles specifications'!$F30,'fuels and tailpipe emissions'!$B$10:$B$126,'vehicles specifications'!AZ$2)/1000*$AQ30</f>
        <v>1.1394971325072205E-6</v>
      </c>
      <c r="BA30" s="7">
        <f>SUMIFS('fuels and tailpipe emissions'!$C$10:$C$126,'fuels and tailpipe emissions'!$A$10:$A$126,'vehicles specifications'!$F30,'fuels and tailpipe emissions'!$B$10:$B$126,'vehicles specifications'!BA$2)/1000*$AQ30</f>
        <v>8.5451697710653811E-5</v>
      </c>
      <c r="BB30" s="7">
        <f>SUMIFS('fuels and tailpipe emissions'!$C$10:$C$126,'fuels and tailpipe emissions'!$A$10:$A$126,'vehicles specifications'!$F30,'fuels and tailpipe emissions'!$B$10:$B$126,'vehicles specifications'!BB$2)/1000*$AQ30</f>
        <v>6.5441320319889656E-6</v>
      </c>
      <c r="BC30" s="7">
        <f>SUMIFS('fuels and tailpipe emissions'!$C$10:$C$126,'fuels and tailpipe emissions'!$A$10:$A$126,'vehicles specifications'!$F30,'fuels and tailpipe emissions'!$B$10:$B$126,'vehicles specifications'!BC$2)/1000*$AQ30</f>
        <v>3.9943826974519353E-4</v>
      </c>
      <c r="BD30" s="7">
        <f>SUMIFS('fuels and tailpipe emissions'!$C$10:$C$126,'fuels and tailpipe emissions'!$A$10:$A$126,'vehicles specifications'!$F30,'fuels and tailpipe emissions'!$B$10:$B$126,'vehicles specifications'!BD$2)/1000*$AQ30</f>
        <v>2.8165519020494411E-5</v>
      </c>
      <c r="BE30" s="7">
        <f>SUMIFS('fuels and tailpipe emissions'!$C$10:$C$126,'fuels and tailpipe emissions'!$A$10:$A$126,'vehicles specifications'!$F30,'fuels and tailpipe emissions'!$B$10:$B$126,'vehicles specifications'!BE$2)/1000*$AQ30</f>
        <v>5.7390555997872623E-6</v>
      </c>
      <c r="BF30" s="7">
        <f>SUMIFS('fuels and tailpipe emissions'!$C$10:$C$126,'fuels and tailpipe emissions'!$A$10:$A$126,'vehicles specifications'!$F30,'fuels and tailpipe emissions'!$B$10:$B$126,'vehicles specifications'!BF$2)/1000*$AQ30</f>
        <v>4.6265617450592708E-5</v>
      </c>
      <c r="BG30" s="7">
        <f>SUMIFS('fuels and tailpipe emissions'!$C$10:$C$126,'fuels and tailpipe emissions'!$A$10:$A$126,'vehicles specifications'!$F30,'fuels and tailpipe emissions'!$B$10:$B$126,'vehicles specifications'!BG$2)/1000*$AQ30</f>
        <v>1.898303006083479E-5</v>
      </c>
      <c r="BH30" s="7">
        <f>SUMIFS('fuels and tailpipe emissions'!$C$10:$C$126,'fuels and tailpipe emissions'!$A$10:$A$126,'vehicles specifications'!$F30,'fuels and tailpipe emissions'!$B$10:$B$126,'vehicles specifications'!BH$2)/1000*$AQ30</f>
        <v>1.4215199254857682E-5</v>
      </c>
      <c r="BI30" s="7">
        <f>SUMIFS('fuels and tailpipe emissions'!$C$10:$C$126,'fuels and tailpipe emissions'!$A$10:$A$126,'vehicles specifications'!$F30,'fuels and tailpipe emissions'!$B$10:$B$126,'vehicles specifications'!BI$2)/1000*$AQ30</f>
        <v>1.0065420590396123E-5</v>
      </c>
      <c r="BJ30" s="7">
        <f>SUMIFS('fuels and tailpipe emissions'!$C$10:$C$126,'fuels and tailpipe emissions'!$A$10:$A$126,'vehicles specifications'!$F30,'fuels and tailpipe emissions'!$B$10:$B$126,'vehicles specifications'!BJ$2)/1000*$AQ30</f>
        <v>6.5336940674501146E-6</v>
      </c>
      <c r="BK30" s="7">
        <f>SUMIFS('fuels and tailpipe emissions'!$C$10:$C$126,'fuels and tailpipe emissions'!$A$10:$A$126,'vehicles specifications'!$F30,'fuels and tailpipe emissions'!$B$10:$B$126,'vehicles specifications'!BK$2)/1000*$AQ30</f>
        <v>6.4454009043764642E-5</v>
      </c>
      <c r="BL30" s="7">
        <f>SUMIFS('fuels and tailpipe emissions'!$C$10:$C$126,'fuels and tailpipe emissions'!$A$10:$A$126,'vehicles specifications'!$F30,'fuels and tailpipe emissions'!$B$10:$B$126,'vehicles specifications'!BL$2)/1000*$AQ30</f>
        <v>3.3727988294134373E-5</v>
      </c>
      <c r="BM30" s="7">
        <f>SUMIFS('fuels and tailpipe emissions'!$C$10:$C$126,'fuels and tailpipe emissions'!$A$10:$A$126,'vehicles specifications'!$F30,'fuels and tailpipe emissions'!$B$10:$B$126,'vehicles specifications'!BM$2)/1000*$AQ30</f>
        <v>9.7122479381015224E-7</v>
      </c>
      <c r="BN30" s="7">
        <f>SUMIFS('fuels and tailpipe emissions'!$C$10:$C$126,'fuels and tailpipe emissions'!$A$10:$A$126,'vehicles specifications'!$F30,'fuels and tailpipe emissions'!$B$10:$B$126,'vehicles specifications'!BN$2)/1000*$AQ30</f>
        <v>4.9532464484317754E-5</v>
      </c>
      <c r="BO30" s="7">
        <f>SUMIFS('fuels and tailpipe emissions'!$C$10:$C$126,'fuels and tailpipe emissions'!$A$10:$A$126,'vehicles specifications'!$F30,'fuels and tailpipe emissions'!$B$10:$B$126,'vehicles specifications'!BO$2)/1000*$AQ30</f>
        <v>9.6945893054867918E-5</v>
      </c>
      <c r="BP30" s="7">
        <f>SUMIFS('fuels and tailpipe emissions'!$C$10:$C$126,'fuels and tailpipe emissions'!$A$10:$A$126,'vehicles specifications'!$F30,'fuels and tailpipe emissions'!$B$10:$B$126,'vehicles specifications'!BP$2)/1000*$AQ30</f>
        <v>4.7943187548992062E-5</v>
      </c>
      <c r="BQ30" s="7">
        <f>SUMIFS('fuels and tailpipe emissions'!$C$10:$C$126,'fuels and tailpipe emissions'!$A$10:$A$126,'vehicles specifications'!$F30,'fuels and tailpipe emissions'!$B$10:$B$126,'vehicles specifications'!BQ$2)/1000*$AQ30</f>
        <v>1.9954254854644945E-5</v>
      </c>
      <c r="BR30" s="7">
        <f>SUMIFS('fuels and tailpipe emissions'!$C$10:$C$126,'fuels and tailpipe emissions'!$A$10:$A$126,'vehicles specifications'!$F30,'fuels and tailpipe emissions'!$B$10:$B$126,'vehicles specifications'!BR$2)/1000*$AQ30</f>
        <v>1.5009837722520535E-5</v>
      </c>
      <c r="BS30" s="7">
        <f>SUMIFS('fuels and tailpipe emissions'!$C$10:$C$126,'fuels and tailpipe emissions'!$A$10:$A$126,'vehicles specifications'!$F30,'fuels and tailpipe emissions'!$B$10:$B$126,'vehicles specifications'!BS$2)/1000*$AQ30</f>
        <v>6.6219872305237644E-6</v>
      </c>
      <c r="BT30" s="7">
        <f>SUMIFS('fuels and tailpipe emissions'!$C$10:$C$126,'fuels and tailpipe emissions'!$A$10:$A$126,'vehicles specifications'!$F30,'fuels and tailpipe emissions'!$B$10:$B$126,'vehicles specifications'!BT$2)/1000*$AQ30</f>
        <v>1.9424495876203045E-6</v>
      </c>
      <c r="BU30" s="7">
        <f>SUMIFS('fuels and tailpipe emissions'!$C$10:$C$126,'fuels and tailpipe emissions'!$A$10:$A$126,'vehicles specifications'!$F30,'fuels and tailpipe emissions'!$B$10:$B$126,'vehicles specifications'!BU$2)/1000*$AQ30</f>
        <v>5.3858829474926628E-6</v>
      </c>
      <c r="BV30" s="7">
        <f>SUMIFS('fuels and tailpipe emissions'!$C$10:$C$126,'fuels and tailpipe emissions'!$A$10:$A$126,'vehicles specifications'!$F30,'fuels and tailpipe emissions'!$B$10:$B$126,'vehicles specifications'!BV$2)/1000*$AQ30</f>
        <v>0</v>
      </c>
      <c r="BW30" s="7">
        <f>SUMIFS('fuels and tailpipe emissions'!$C$10:$C$126,'fuels and tailpipe emissions'!$A$10:$A$126,'vehicles specifications'!$F30,'fuels and tailpipe emissions'!$B$10:$B$126,'vehicles specifications'!BW$2)/1000*$AQ30</f>
        <v>1.6775700983993538E-6</v>
      </c>
      <c r="BX30" s="7">
        <f>SUMIFS('fuels and tailpipe emissions'!$C$10:$C$126,'fuels and tailpipe emissions'!$A$10:$A$126,'vehicles specifications'!$F30,'fuels and tailpipe emissions'!$B$10:$B$126,'vehicles specifications'!BX$2)/1000*$AQ30</f>
        <v>8.9176094704386688E-6</v>
      </c>
      <c r="BY30" s="7">
        <f>SUMIFS('fuels and tailpipe emissions'!$C$10:$C$126,'fuels and tailpipe emissions'!$A$10:$A$126,'vehicles specifications'!$F30,'fuels and tailpipe emissions'!$B$10:$B$126,'vehicles specifications'!BY$2)/1000*$AQ30</f>
        <v>2.834980417949095E-8</v>
      </c>
      <c r="BZ30" s="7">
        <f>SUMIFS('fuels and tailpipe emissions'!$C$10:$C$126,'fuels and tailpipe emissions'!$A$10:$A$126,'vehicles specifications'!$F30,'fuels and tailpipe emissions'!$B$10:$B$126,'vehicles specifications'!BZ$2)/1000*$AQ30</f>
        <v>2.443948636163013E-10</v>
      </c>
      <c r="CA30" s="7">
        <f>SUMIFS('fuels and tailpipe emissions'!$C$10:$C$126,'fuels and tailpipe emissions'!$A$10:$A$126,'vehicles specifications'!$F30,'fuels and tailpipe emissions'!$B$10:$B$126,'vehicles specifications'!CA$2)/1000*$AQ30</f>
        <v>1.6292990907753419E-10</v>
      </c>
      <c r="CB30" s="7">
        <f>SUMIFS('fuels and tailpipe emissions'!$C$10:$C$126,'fuels and tailpipe emissions'!$A$10:$A$126,'vehicles specifications'!$F30,'fuels and tailpipe emissions'!$B$10:$B$126,'vehicles specifications'!CB$2)/1000*$AQ30</f>
        <v>1.7596430180373694E-6</v>
      </c>
      <c r="CC30" s="7">
        <f>SUMIFS('fuels and tailpipe emissions'!$C$10:$C$126,'fuels and tailpipe emissions'!$A$10:$A$126,'vehicles specifications'!$F30,'fuels and tailpipe emissions'!$B$10:$B$126,'vehicles specifications'!CC$2)/1000*$AQ30</f>
        <v>3.4215280906282183E-8</v>
      </c>
      <c r="CD30" s="7">
        <f>SUMIFS('fuels and tailpipe emissions'!$C$10:$C$126,'fuels and tailpipe emissions'!$A$10:$A$126,'vehicles specifications'!$F30,'fuels and tailpipe emissions'!$B$10:$B$126,'vehicles specifications'!CD$2)/1000*$AQ30</f>
        <v>1.0590444090039723E-8</v>
      </c>
      <c r="CE30" s="7">
        <f>SUMIFS('fuels and tailpipe emissions'!$C$10:$C$126,'fuels and tailpipe emissions'!$A$10:$A$126,'vehicles specifications'!$F30,'fuels and tailpipe emissions'!$B$10:$B$126,'vehicles specifications'!CE$2)/1000*$AQ30</f>
        <v>1.303439272620274E-8</v>
      </c>
      <c r="CF30" s="7">
        <f>SUMIFS('fuels and tailpipe emissions'!$C$10:$C$126,'fuels and tailpipe emissions'!$A$10:$A$126,'vehicles specifications'!$F30,'fuels and tailpipe emissions'!$B$10:$B$126,'vehicles specifications'!CF$2)/1000*$AQ30</f>
        <v>2.6068785452405472E-11</v>
      </c>
      <c r="CG30" s="7">
        <f>SUMIFS('fuels and tailpipe emissions'!$C$10:$C$126,'fuels and tailpipe emissions'!$A$10:$A$126,'vehicles specifications'!$F30,'fuels and tailpipe emissions'!$B$10:$B$126,'vehicles specifications'!CG$2)/1000*$AQ30</f>
        <v>7.0874510448727374E-9</v>
      </c>
      <c r="CH30" s="7">
        <f>SUMIFS('fuels and tailpipe emissions'!$C$10:$C$126,'fuels and tailpipe emissions'!$A$10:$A$126,'vehicles specifications'!$F30,'fuels and tailpipe emissions'!$B$10:$B$126,'vehicles specifications'!CH$2)/1000*$AQ30</f>
        <v>8.7982150901868465E-9</v>
      </c>
      <c r="CI30" s="7">
        <f>VLOOKUP(B30,'abrasion emissions'!$A$4:$D$32,4,FALSE)</f>
        <v>6.0000000000000002E-6</v>
      </c>
      <c r="CJ30" s="7">
        <f>VLOOKUP(B30,'abrasion emissions'!$A$4:$D$32,2,FALSE)</f>
        <v>5.8379999999999998E-6</v>
      </c>
      <c r="CK30" s="7">
        <f>VLOOKUP(B30,'abrasion emissions'!$A$4:$D$32,3,FALSE)</f>
        <v>3.6740000000000003E-6</v>
      </c>
    </row>
    <row r="31" spans="1:89" x14ac:dyDescent="0.3">
      <c r="A31" t="str">
        <f t="shared" si="1"/>
        <v>Moped, gasoline, &lt;4kW, EURO-5 - 2040 - CH</v>
      </c>
      <c r="B31" t="s">
        <v>647</v>
      </c>
      <c r="D31">
        <v>2040</v>
      </c>
      <c r="E31" t="s">
        <v>37</v>
      </c>
      <c r="F31" t="s">
        <v>149</v>
      </c>
      <c r="G31" t="s">
        <v>39</v>
      </c>
      <c r="H31" t="s">
        <v>35</v>
      </c>
      <c r="J31" s="21">
        <v>33400</v>
      </c>
      <c r="K31" s="21">
        <v>2553</v>
      </c>
      <c r="L31" s="2">
        <f t="shared" si="2"/>
        <v>13.082647865256561</v>
      </c>
      <c r="M31">
        <v>1</v>
      </c>
      <c r="N31">
        <v>70</v>
      </c>
      <c r="O31">
        <v>2</v>
      </c>
      <c r="P31" s="2">
        <f t="shared" si="13"/>
        <v>60.856874999999995</v>
      </c>
      <c r="Q31" s="2">
        <f t="shared" si="3"/>
        <v>132.856875</v>
      </c>
      <c r="R31">
        <v>2.5</v>
      </c>
      <c r="S31" s="2">
        <v>42.862499999999997</v>
      </c>
      <c r="T31" s="1">
        <v>0.05</v>
      </c>
      <c r="U31" s="2">
        <f t="shared" si="4"/>
        <v>40.719374999999992</v>
      </c>
      <c r="V31">
        <v>14.1</v>
      </c>
      <c r="W31">
        <v>0</v>
      </c>
      <c r="X31" s="3">
        <v>0</v>
      </c>
      <c r="Y31" s="1">
        <v>0.8</v>
      </c>
      <c r="Z31" s="3">
        <f t="shared" si="5"/>
        <v>0</v>
      </c>
      <c r="AA31" s="3">
        <v>0</v>
      </c>
      <c r="AB31" s="3">
        <v>0</v>
      </c>
      <c r="AC31" s="3">
        <f t="shared" si="7"/>
        <v>0</v>
      </c>
      <c r="AD31" s="3">
        <v>0</v>
      </c>
      <c r="AE31" s="3">
        <v>7</v>
      </c>
      <c r="AF31">
        <f>AE31*'fuels and tailpipe emissions'!$B$3</f>
        <v>5.25</v>
      </c>
      <c r="AG31" s="2">
        <f>AF31*'fuels and tailpipe emissions'!$C$3</f>
        <v>61.833333333333329</v>
      </c>
      <c r="AH31" s="3">
        <f t="shared" si="16"/>
        <v>0.78749999999999998</v>
      </c>
      <c r="AI31">
        <v>0</v>
      </c>
      <c r="AJ31">
        <v>0</v>
      </c>
      <c r="AK31">
        <f t="shared" si="14"/>
        <v>1</v>
      </c>
      <c r="AL31">
        <f t="shared" si="15"/>
        <v>7.1344141875000002E-5</v>
      </c>
      <c r="AM31">
        <v>1.2899999999999999E-3</v>
      </c>
      <c r="AN31" s="2">
        <f t="shared" si="9"/>
        <v>40.719374999999992</v>
      </c>
      <c r="AO31" s="2">
        <f t="shared" si="10"/>
        <v>14.1</v>
      </c>
      <c r="AP31" s="2">
        <f t="shared" si="11"/>
        <v>0</v>
      </c>
      <c r="AQ31" s="6">
        <v>0.80650304993379429</v>
      </c>
      <c r="AR31" s="6" t="str">
        <f>IF($H31="BEV",SUMPRODUCT(#REF!,#REF!),"")</f>
        <v/>
      </c>
      <c r="AS31" s="2">
        <f>SUM(Z31,AG31)/(SUM(AQ31:AR31)/3.6)</f>
        <v>276.0063957827229</v>
      </c>
      <c r="AT31" s="5">
        <f>IF($H31="ICEV-p",$AQ31/('fuels and tailpipe emissions'!$C$3*3.6)*'fuels and tailpipe emissions'!$D$3,"")</f>
        <v>6.048772874503458E-2</v>
      </c>
      <c r="AU31" s="7">
        <f>IF($H31="ICEV-p",$AQ31/('fuels and tailpipe emissions'!$C$3*3.6)*'fuels and tailpipe emissions'!$E$3,"")</f>
        <v>3.0434077355992238E-7</v>
      </c>
      <c r="AV31" s="7">
        <f>SUMIFS('fuels and tailpipe emissions'!$C$10:$C$126,'fuels and tailpipe emissions'!$A$10:$A$126,'vehicles specifications'!$F31,'fuels and tailpipe emissions'!$B$10:$B$126,'vehicles specifications'!AV$2)/1000*$AQ31</f>
        <v>4.9037139839474579E-5</v>
      </c>
      <c r="AW31" s="7">
        <f>SUMIFS('fuels and tailpipe emissions'!$C$10:$C$126,'fuels and tailpipe emissions'!$A$10:$A$126,'vehicles specifications'!$F31,'fuels and tailpipe emissions'!$B$10:$B$126,'vehicles specifications'!AW$2)/1000*$AQ31</f>
        <v>2.2234893596900134E-5</v>
      </c>
      <c r="AX31" s="7">
        <f>SUMIFS('fuels and tailpipe emissions'!$C$10:$C$126,'fuels and tailpipe emissions'!$A$10:$A$126,'vehicles specifications'!$F31,'fuels and tailpipe emissions'!$B$10:$B$126,'vehicles specifications'!AX$2)/1000*$AQ31</f>
        <v>2.3511140203956193E-3</v>
      </c>
      <c r="AY31" s="7">
        <f>SUMIFS('fuels and tailpipe emissions'!$C$10:$C$126,'fuels and tailpipe emissions'!$A$10:$A$126,'vehicles specifications'!$F31,'fuels and tailpipe emissions'!$B$10:$B$126,'vehicles specifications'!AY$2)/1000*$AQ31</f>
        <v>1.1281021611821482E-6</v>
      </c>
      <c r="AZ31" s="7">
        <f>SUMIFS('fuels and tailpipe emissions'!$C$10:$C$126,'fuels and tailpipe emissions'!$A$10:$A$126,'vehicles specifications'!$F31,'fuels and tailpipe emissions'!$B$10:$B$126,'vehicles specifications'!AZ$2)/1000*$AQ31</f>
        <v>1.1281021611821482E-6</v>
      </c>
      <c r="BA31" s="7">
        <f>SUMIFS('fuels and tailpipe emissions'!$C$10:$C$126,'fuels and tailpipe emissions'!$A$10:$A$126,'vehicles specifications'!$F31,'fuels and tailpipe emissions'!$B$10:$B$126,'vehicles specifications'!BA$2)/1000*$AQ31</f>
        <v>8.4597180733547286E-5</v>
      </c>
      <c r="BB31" s="7">
        <f>SUMIFS('fuels and tailpipe emissions'!$C$10:$C$126,'fuels and tailpipe emissions'!$A$10:$A$126,'vehicles specifications'!$F31,'fuels and tailpipe emissions'!$B$10:$B$126,'vehicles specifications'!BB$2)/1000*$AQ31</f>
        <v>6.4786907116690766E-6</v>
      </c>
      <c r="BC31" s="7">
        <f>SUMIFS('fuels and tailpipe emissions'!$C$10:$C$126,'fuels and tailpipe emissions'!$A$10:$A$126,'vehicles specifications'!$F31,'fuels and tailpipe emissions'!$B$10:$B$126,'vehicles specifications'!BC$2)/1000*$AQ31</f>
        <v>3.9544388704774156E-4</v>
      </c>
      <c r="BD31" s="7">
        <f>SUMIFS('fuels and tailpipe emissions'!$C$10:$C$126,'fuels and tailpipe emissions'!$A$10:$A$126,'vehicles specifications'!$F31,'fuels and tailpipe emissions'!$B$10:$B$126,'vehicles specifications'!BD$2)/1000*$AQ31</f>
        <v>2.7883863830289469E-5</v>
      </c>
      <c r="BE31" s="7">
        <f>SUMIFS('fuels and tailpipe emissions'!$C$10:$C$126,'fuels and tailpipe emissions'!$A$10:$A$126,'vehicles specifications'!$F31,'fuels and tailpipe emissions'!$B$10:$B$126,'vehicles specifications'!BE$2)/1000*$AQ31</f>
        <v>5.6816650437893903E-6</v>
      </c>
      <c r="BF31" s="7">
        <f>SUMIFS('fuels and tailpipe emissions'!$C$10:$C$126,'fuels and tailpipe emissions'!$A$10:$A$126,'vehicles specifications'!$F31,'fuels and tailpipe emissions'!$B$10:$B$126,'vehicles specifications'!BF$2)/1000*$AQ31</f>
        <v>4.5802961276086779E-5</v>
      </c>
      <c r="BG31" s="7">
        <f>SUMIFS('fuels and tailpipe emissions'!$C$10:$C$126,'fuels and tailpipe emissions'!$A$10:$A$126,'vehicles specifications'!$F31,'fuels and tailpipe emissions'!$B$10:$B$126,'vehicles specifications'!BG$2)/1000*$AQ31</f>
        <v>1.8793199760226445E-5</v>
      </c>
      <c r="BH31" s="7">
        <f>SUMIFS('fuels and tailpipe emissions'!$C$10:$C$126,'fuels and tailpipe emissions'!$A$10:$A$126,'vehicles specifications'!$F31,'fuels and tailpipe emissions'!$B$10:$B$126,'vehicles specifications'!BH$2)/1000*$AQ31</f>
        <v>1.4073047262309106E-5</v>
      </c>
      <c r="BI31" s="7">
        <f>SUMIFS('fuels and tailpipe emissions'!$C$10:$C$126,'fuels and tailpipe emissions'!$A$10:$A$126,'vehicles specifications'!$F31,'fuels and tailpipe emissions'!$B$10:$B$126,'vehicles specifications'!BI$2)/1000*$AQ31</f>
        <v>9.9647663844921616E-6</v>
      </c>
      <c r="BJ31" s="7">
        <f>SUMIFS('fuels and tailpipe emissions'!$C$10:$C$126,'fuels and tailpipe emissions'!$A$10:$A$126,'vehicles specifications'!$F31,'fuels and tailpipe emissions'!$B$10:$B$126,'vehicles specifications'!BJ$2)/1000*$AQ31</f>
        <v>6.4683571267756131E-6</v>
      </c>
      <c r="BK31" s="7">
        <f>SUMIFS('fuels and tailpipe emissions'!$C$10:$C$126,'fuels and tailpipe emissions'!$A$10:$A$126,'vehicles specifications'!$F31,'fuels and tailpipe emissions'!$B$10:$B$126,'vehicles specifications'!BK$2)/1000*$AQ31</f>
        <v>6.3809468953327002E-5</v>
      </c>
      <c r="BL31" s="7">
        <f>SUMIFS('fuels and tailpipe emissions'!$C$10:$C$126,'fuels and tailpipe emissions'!$A$10:$A$126,'vehicles specifications'!$F31,'fuels and tailpipe emissions'!$B$10:$B$126,'vehicles specifications'!BL$2)/1000*$AQ31</f>
        <v>3.3390708411193032E-5</v>
      </c>
      <c r="BM31" s="7">
        <f>SUMIFS('fuels and tailpipe emissions'!$C$10:$C$126,'fuels and tailpipe emissions'!$A$10:$A$126,'vehicles specifications'!$F31,'fuels and tailpipe emissions'!$B$10:$B$126,'vehicles specifications'!BM$2)/1000*$AQ31</f>
        <v>9.6151254587205081E-7</v>
      </c>
      <c r="BN31" s="7">
        <f>SUMIFS('fuels and tailpipe emissions'!$C$10:$C$126,'fuels and tailpipe emissions'!$A$10:$A$126,'vehicles specifications'!$F31,'fuels and tailpipe emissions'!$B$10:$B$126,'vehicles specifications'!BN$2)/1000*$AQ31</f>
        <v>4.9037139839474579E-5</v>
      </c>
      <c r="BO31" s="7">
        <f>SUMIFS('fuels and tailpipe emissions'!$C$10:$C$126,'fuels and tailpipe emissions'!$A$10:$A$126,'vehicles specifications'!$F31,'fuels and tailpipe emissions'!$B$10:$B$126,'vehicles specifications'!BO$2)/1000*$AQ31</f>
        <v>9.5976434124319234E-5</v>
      </c>
      <c r="BP31" s="7">
        <f>SUMIFS('fuels and tailpipe emissions'!$C$10:$C$126,'fuels and tailpipe emissions'!$A$10:$A$126,'vehicles specifications'!$F31,'fuels and tailpipe emissions'!$B$10:$B$126,'vehicles specifications'!BP$2)/1000*$AQ31</f>
        <v>4.7463755673502142E-5</v>
      </c>
      <c r="BQ31" s="7">
        <f>SUMIFS('fuels and tailpipe emissions'!$C$10:$C$126,'fuels and tailpipe emissions'!$A$10:$A$126,'vehicles specifications'!$F31,'fuels and tailpipe emissions'!$B$10:$B$126,'vehicles specifications'!BQ$2)/1000*$AQ31</f>
        <v>1.9754712306098495E-5</v>
      </c>
      <c r="BR31" s="7">
        <f>SUMIFS('fuels and tailpipe emissions'!$C$10:$C$126,'fuels and tailpipe emissions'!$A$10:$A$126,'vehicles specifications'!$F31,'fuels and tailpipe emissions'!$B$10:$B$126,'vehicles specifications'!BR$2)/1000*$AQ31</f>
        <v>1.485973934529533E-5</v>
      </c>
      <c r="BS31" s="7">
        <f>SUMIFS('fuels and tailpipe emissions'!$C$10:$C$126,'fuels and tailpipe emissions'!$A$10:$A$126,'vehicles specifications'!$F31,'fuels and tailpipe emissions'!$B$10:$B$126,'vehicles specifications'!BS$2)/1000*$AQ31</f>
        <v>6.5557673582185264E-6</v>
      </c>
      <c r="BT31" s="7">
        <f>SUMIFS('fuels and tailpipe emissions'!$C$10:$C$126,'fuels and tailpipe emissions'!$A$10:$A$126,'vehicles specifications'!$F31,'fuels and tailpipe emissions'!$B$10:$B$126,'vehicles specifications'!BT$2)/1000*$AQ31</f>
        <v>1.9230250917441016E-6</v>
      </c>
      <c r="BU31" s="7">
        <f>SUMIFS('fuels and tailpipe emissions'!$C$10:$C$126,'fuels and tailpipe emissions'!$A$10:$A$126,'vehicles specifications'!$F31,'fuels and tailpipe emissions'!$B$10:$B$126,'vehicles specifications'!BU$2)/1000*$AQ31</f>
        <v>5.3320241180177364E-6</v>
      </c>
      <c r="BV31" s="7">
        <f>SUMIFS('fuels and tailpipe emissions'!$C$10:$C$126,'fuels and tailpipe emissions'!$A$10:$A$126,'vehicles specifications'!$F31,'fuels and tailpipe emissions'!$B$10:$B$126,'vehicles specifications'!BV$2)/1000*$AQ31</f>
        <v>0</v>
      </c>
      <c r="BW31" s="7">
        <f>SUMIFS('fuels and tailpipe emissions'!$C$10:$C$126,'fuels and tailpipe emissions'!$A$10:$A$126,'vehicles specifications'!$F31,'fuels and tailpipe emissions'!$B$10:$B$126,'vehicles specifications'!BW$2)/1000*$AQ31</f>
        <v>1.6607943974153603E-6</v>
      </c>
      <c r="BX31" s="7">
        <f>SUMIFS('fuels and tailpipe emissions'!$C$10:$C$126,'fuels and tailpipe emissions'!$A$10:$A$126,'vehicles specifications'!$F31,'fuels and tailpipe emissions'!$B$10:$B$126,'vehicles specifications'!BX$2)/1000*$AQ31</f>
        <v>8.8284333757342832E-6</v>
      </c>
      <c r="BY31" s="7">
        <f>SUMIFS('fuels and tailpipe emissions'!$C$10:$C$126,'fuels and tailpipe emissions'!$A$10:$A$126,'vehicles specifications'!$F31,'fuels and tailpipe emissions'!$B$10:$B$126,'vehicles specifications'!BY$2)/1000*$AQ31</f>
        <v>2.8066306137696041E-8</v>
      </c>
      <c r="BZ31" s="7">
        <f>SUMIFS('fuels and tailpipe emissions'!$C$10:$C$126,'fuels and tailpipe emissions'!$A$10:$A$126,'vehicles specifications'!$F31,'fuels and tailpipe emissions'!$B$10:$B$126,'vehicles specifications'!BZ$2)/1000*$AQ31</f>
        <v>2.4195091498013828E-10</v>
      </c>
      <c r="CA31" s="7">
        <f>SUMIFS('fuels and tailpipe emissions'!$C$10:$C$126,'fuels and tailpipe emissions'!$A$10:$A$126,'vehicles specifications'!$F31,'fuels and tailpipe emissions'!$B$10:$B$126,'vehicles specifications'!CA$2)/1000*$AQ31</f>
        <v>1.6130060998675886E-10</v>
      </c>
      <c r="CB31" s="7">
        <f>SUMIFS('fuels and tailpipe emissions'!$C$10:$C$126,'fuels and tailpipe emissions'!$A$10:$A$126,'vehicles specifications'!$F31,'fuels and tailpipe emissions'!$B$10:$B$126,'vehicles specifications'!CB$2)/1000*$AQ31</f>
        <v>1.7420465878569957E-6</v>
      </c>
      <c r="CC31" s="7">
        <f>SUMIFS('fuels and tailpipe emissions'!$C$10:$C$126,'fuels and tailpipe emissions'!$A$10:$A$126,'vehicles specifications'!$F31,'fuels and tailpipe emissions'!$B$10:$B$126,'vehicles specifications'!CC$2)/1000*$AQ31</f>
        <v>3.3873128097219361E-8</v>
      </c>
      <c r="CD31" s="7">
        <f>SUMIFS('fuels and tailpipe emissions'!$C$10:$C$126,'fuels and tailpipe emissions'!$A$10:$A$126,'vehicles specifications'!$F31,'fuels and tailpipe emissions'!$B$10:$B$126,'vehicles specifications'!CD$2)/1000*$AQ31</f>
        <v>1.0484539649139326E-8</v>
      </c>
      <c r="CE31" s="7">
        <f>SUMIFS('fuels and tailpipe emissions'!$C$10:$C$126,'fuels and tailpipe emissions'!$A$10:$A$126,'vehicles specifications'!$F31,'fuels and tailpipe emissions'!$B$10:$B$126,'vehicles specifications'!CE$2)/1000*$AQ31</f>
        <v>1.2904048798940712E-8</v>
      </c>
      <c r="CF31" s="7">
        <f>SUMIFS('fuels and tailpipe emissions'!$C$10:$C$126,'fuels and tailpipe emissions'!$A$10:$A$126,'vehicles specifications'!$F31,'fuels and tailpipe emissions'!$B$10:$B$126,'vehicles specifications'!CF$2)/1000*$AQ31</f>
        <v>2.5808097597881416E-11</v>
      </c>
      <c r="CG31" s="7">
        <f>SUMIFS('fuels and tailpipe emissions'!$C$10:$C$126,'fuels and tailpipe emissions'!$A$10:$A$126,'vehicles specifications'!$F31,'fuels and tailpipe emissions'!$B$10:$B$126,'vehicles specifications'!CG$2)/1000*$AQ31</f>
        <v>7.0165765344240103E-9</v>
      </c>
      <c r="CH31" s="7">
        <f>SUMIFS('fuels and tailpipe emissions'!$C$10:$C$126,'fuels and tailpipe emissions'!$A$10:$A$126,'vehicles specifications'!$F31,'fuels and tailpipe emissions'!$B$10:$B$126,'vehicles specifications'!CH$2)/1000*$AQ31</f>
        <v>8.7102329392849792E-9</v>
      </c>
      <c r="CI31" s="7">
        <f>VLOOKUP(B31,'abrasion emissions'!$A$4:$D$32,4,FALSE)</f>
        <v>6.0000000000000002E-6</v>
      </c>
      <c r="CJ31" s="7">
        <f>VLOOKUP(B31,'abrasion emissions'!$A$4:$D$32,2,FALSE)</f>
        <v>5.8379999999999998E-6</v>
      </c>
      <c r="CK31" s="7">
        <f>VLOOKUP(B31,'abrasion emissions'!$A$4:$D$32,3,FALSE)</f>
        <v>3.6740000000000003E-6</v>
      </c>
    </row>
    <row r="32" spans="1:89" x14ac:dyDescent="0.3">
      <c r="A32" t="str">
        <f t="shared" si="1"/>
        <v>Moped, gasoline, &lt;4kW, EURO-5 - 2050 - CH</v>
      </c>
      <c r="B32" t="s">
        <v>647</v>
      </c>
      <c r="D32">
        <v>2050</v>
      </c>
      <c r="E32" t="s">
        <v>37</v>
      </c>
      <c r="F32" t="s">
        <v>149</v>
      </c>
      <c r="G32" t="s">
        <v>39</v>
      </c>
      <c r="H32" t="s">
        <v>35</v>
      </c>
      <c r="J32" s="21">
        <v>33400</v>
      </c>
      <c r="K32" s="21">
        <v>2553</v>
      </c>
      <c r="L32" s="2">
        <f t="shared" si="2"/>
        <v>13.082647865256561</v>
      </c>
      <c r="M32">
        <v>1</v>
      </c>
      <c r="N32">
        <v>70</v>
      </c>
      <c r="O32">
        <v>2</v>
      </c>
      <c r="P32" s="2">
        <f t="shared" si="13"/>
        <v>59.971624999999996</v>
      </c>
      <c r="Q32" s="2">
        <f t="shared" si="3"/>
        <v>131.97162499999999</v>
      </c>
      <c r="R32">
        <v>2.5</v>
      </c>
      <c r="S32" s="2">
        <v>43.262500000000003</v>
      </c>
      <c r="T32" s="1">
        <v>7.0000000000000007E-2</v>
      </c>
      <c r="U32" s="2">
        <f t="shared" si="4"/>
        <v>40.234124999999999</v>
      </c>
      <c r="V32">
        <v>13.7</v>
      </c>
      <c r="W32">
        <v>0</v>
      </c>
      <c r="X32" s="3">
        <v>0</v>
      </c>
      <c r="Y32" s="1">
        <v>0.8</v>
      </c>
      <c r="Z32" s="3">
        <f t="shared" si="5"/>
        <v>0</v>
      </c>
      <c r="AA32" s="3">
        <v>0</v>
      </c>
      <c r="AB32" s="3">
        <v>0</v>
      </c>
      <c r="AC32" s="3">
        <f t="shared" si="7"/>
        <v>0</v>
      </c>
      <c r="AD32" s="3">
        <v>0</v>
      </c>
      <c r="AE32" s="3">
        <v>7</v>
      </c>
      <c r="AF32">
        <f>AE32*'fuels and tailpipe emissions'!$B$3</f>
        <v>5.25</v>
      </c>
      <c r="AG32" s="2">
        <f>AF32*'fuels and tailpipe emissions'!$C$3</f>
        <v>61.833333333333329</v>
      </c>
      <c r="AH32" s="3">
        <f t="shared" si="16"/>
        <v>0.78749999999999998</v>
      </c>
      <c r="AI32">
        <v>0</v>
      </c>
      <c r="AJ32">
        <v>0</v>
      </c>
      <c r="AK32">
        <f t="shared" si="14"/>
        <v>1</v>
      </c>
      <c r="AL32">
        <f t="shared" si="15"/>
        <v>7.0868762624999988E-5</v>
      </c>
      <c r="AM32">
        <v>1.2899999999999999E-3</v>
      </c>
      <c r="AN32" s="2">
        <f t="shared" si="9"/>
        <v>40.234124999999999</v>
      </c>
      <c r="AO32" s="2">
        <f t="shared" si="10"/>
        <v>13.7</v>
      </c>
      <c r="AP32" s="2">
        <f t="shared" si="11"/>
        <v>0</v>
      </c>
      <c r="AQ32" s="6">
        <v>0.79843801943445636</v>
      </c>
      <c r="AR32" s="6" t="str">
        <f>IF($H32="BEV",SUMPRODUCT(#REF!,#REF!),"")</f>
        <v/>
      </c>
      <c r="AS32" s="2">
        <f>SUM(Z32,AG32)/(SUM(AQ32:AR32)/3.6)</f>
        <v>278.79433917446761</v>
      </c>
      <c r="AT32" s="5">
        <f>IF($H32="ICEV-p",$AQ32/('fuels and tailpipe emissions'!$C$3*3.6)*'fuels and tailpipe emissions'!$D$3,"")</f>
        <v>5.9882851457584228E-2</v>
      </c>
      <c r="AU32" s="7">
        <f>IF($H32="ICEV-p",$AQ32/('fuels and tailpipe emissions'!$C$3*3.6)*'fuels and tailpipe emissions'!$E$3,"")</f>
        <v>3.0129736582432315E-7</v>
      </c>
      <c r="AV32" s="7">
        <f>SUMIFS('fuels and tailpipe emissions'!$C$10:$C$126,'fuels and tailpipe emissions'!$A$10:$A$126,'vehicles specifications'!$F32,'fuels and tailpipe emissions'!$B$10:$B$126,'vehicles specifications'!AV$2)/1000*$AQ32</f>
        <v>4.854676844107983E-5</v>
      </c>
      <c r="AW32" s="7">
        <f>SUMIFS('fuels and tailpipe emissions'!$C$10:$C$126,'fuels and tailpipe emissions'!$A$10:$A$126,'vehicles specifications'!$F32,'fuels and tailpipe emissions'!$B$10:$B$126,'vehicles specifications'!AW$2)/1000*$AQ32</f>
        <v>2.2012544660931132E-5</v>
      </c>
      <c r="AX32" s="7">
        <f>SUMIFS('fuels and tailpipe emissions'!$C$10:$C$126,'fuels and tailpipe emissions'!$A$10:$A$126,'vehicles specifications'!$F32,'fuels and tailpipe emissions'!$B$10:$B$126,'vehicles specifications'!AX$2)/1000*$AQ32</f>
        <v>2.3276028801916633E-3</v>
      </c>
      <c r="AY32" s="7">
        <f>SUMIFS('fuels and tailpipe emissions'!$C$10:$C$126,'fuels and tailpipe emissions'!$A$10:$A$126,'vehicles specifications'!$F32,'fuels and tailpipe emissions'!$B$10:$B$126,'vehicles specifications'!AY$2)/1000*$AQ32</f>
        <v>1.1168211395703267E-6</v>
      </c>
      <c r="AZ32" s="7">
        <f>SUMIFS('fuels and tailpipe emissions'!$C$10:$C$126,'fuels and tailpipe emissions'!$A$10:$A$126,'vehicles specifications'!$F32,'fuels and tailpipe emissions'!$B$10:$B$126,'vehicles specifications'!AZ$2)/1000*$AQ32</f>
        <v>1.1168211395703267E-6</v>
      </c>
      <c r="BA32" s="7">
        <f>SUMIFS('fuels and tailpipe emissions'!$C$10:$C$126,'fuels and tailpipe emissions'!$A$10:$A$126,'vehicles specifications'!$F32,'fuels and tailpipe emissions'!$B$10:$B$126,'vehicles specifications'!BA$2)/1000*$AQ32</f>
        <v>8.3751208926211812E-5</v>
      </c>
      <c r="BB32" s="7">
        <f>SUMIFS('fuels and tailpipe emissions'!$C$10:$C$126,'fuels and tailpipe emissions'!$A$10:$A$126,'vehicles specifications'!$F32,'fuels and tailpipe emissions'!$B$10:$B$126,'vehicles specifications'!BB$2)/1000*$AQ32</f>
        <v>6.4139038045523853E-6</v>
      </c>
      <c r="BC32" s="7">
        <f>SUMIFS('fuels and tailpipe emissions'!$C$10:$C$126,'fuels and tailpipe emissions'!$A$10:$A$126,'vehicles specifications'!$F32,'fuels and tailpipe emissions'!$B$10:$B$126,'vehicles specifications'!BC$2)/1000*$AQ32</f>
        <v>3.9148944817726415E-4</v>
      </c>
      <c r="BD32" s="7">
        <f>SUMIFS('fuels and tailpipe emissions'!$C$10:$C$126,'fuels and tailpipe emissions'!$A$10:$A$126,'vehicles specifications'!$F32,'fuels and tailpipe emissions'!$B$10:$B$126,'vehicles specifications'!BD$2)/1000*$AQ32</f>
        <v>2.7605025191986573E-5</v>
      </c>
      <c r="BE32" s="7">
        <f>SUMIFS('fuels and tailpipe emissions'!$C$10:$C$126,'fuels and tailpipe emissions'!$A$10:$A$126,'vehicles specifications'!$F32,'fuels and tailpipe emissions'!$B$10:$B$126,'vehicles specifications'!BE$2)/1000*$AQ32</f>
        <v>5.6248483933514962E-6</v>
      </c>
      <c r="BF32" s="7">
        <f>SUMIFS('fuels and tailpipe emissions'!$C$10:$C$126,'fuels and tailpipe emissions'!$A$10:$A$126,'vehicles specifications'!$F32,'fuels and tailpipe emissions'!$B$10:$B$126,'vehicles specifications'!BF$2)/1000*$AQ32</f>
        <v>4.5344931663325912E-5</v>
      </c>
      <c r="BG32" s="7">
        <f>SUMIFS('fuels and tailpipe emissions'!$C$10:$C$126,'fuels and tailpipe emissions'!$A$10:$A$126,'vehicles specifications'!$F32,'fuels and tailpipe emissions'!$B$10:$B$126,'vehicles specifications'!BG$2)/1000*$AQ32</f>
        <v>1.8605267762624179E-5</v>
      </c>
      <c r="BH32" s="7">
        <f>SUMIFS('fuels and tailpipe emissions'!$C$10:$C$126,'fuels and tailpipe emissions'!$A$10:$A$126,'vehicles specifications'!$F32,'fuels and tailpipe emissions'!$B$10:$B$126,'vehicles specifications'!BH$2)/1000*$AQ32</f>
        <v>1.3932316789686016E-5</v>
      </c>
      <c r="BI32" s="7">
        <f>SUMIFS('fuels and tailpipe emissions'!$C$10:$C$126,'fuels and tailpipe emissions'!$A$10:$A$126,'vehicles specifications'!$F32,'fuels and tailpipe emissions'!$B$10:$B$126,'vehicles specifications'!BI$2)/1000*$AQ32</f>
        <v>9.8651187206472398E-6</v>
      </c>
      <c r="BJ32" s="7">
        <f>SUMIFS('fuels and tailpipe emissions'!$C$10:$C$126,'fuels and tailpipe emissions'!$A$10:$A$126,'vehicles specifications'!$F32,'fuels and tailpipe emissions'!$B$10:$B$126,'vehicles specifications'!BJ$2)/1000*$AQ32</f>
        <v>6.4036735555078573E-6</v>
      </c>
      <c r="BK32" s="7">
        <f>SUMIFS('fuels and tailpipe emissions'!$C$10:$C$126,'fuels and tailpipe emissions'!$A$10:$A$126,'vehicles specifications'!$F32,'fuels and tailpipe emissions'!$B$10:$B$126,'vehicles specifications'!BK$2)/1000*$AQ32</f>
        <v>6.3171374263793726E-5</v>
      </c>
      <c r="BL32" s="7">
        <f>SUMIFS('fuels and tailpipe emissions'!$C$10:$C$126,'fuels and tailpipe emissions'!$A$10:$A$126,'vehicles specifications'!$F32,'fuels and tailpipe emissions'!$B$10:$B$126,'vehicles specifications'!BL$2)/1000*$AQ32</f>
        <v>3.3056801327081096E-5</v>
      </c>
      <c r="BM32" s="7">
        <f>SUMIFS('fuels and tailpipe emissions'!$C$10:$C$126,'fuels and tailpipe emissions'!$A$10:$A$126,'vehicles specifications'!$F32,'fuels and tailpipe emissions'!$B$10:$B$126,'vehicles specifications'!BM$2)/1000*$AQ32</f>
        <v>9.5189742041333027E-7</v>
      </c>
      <c r="BN32" s="7">
        <f>SUMIFS('fuels and tailpipe emissions'!$C$10:$C$126,'fuels and tailpipe emissions'!$A$10:$A$126,'vehicles specifications'!$F32,'fuels and tailpipe emissions'!$B$10:$B$126,'vehicles specifications'!BN$2)/1000*$AQ32</f>
        <v>4.854676844107983E-5</v>
      </c>
      <c r="BO32" s="7">
        <f>SUMIFS('fuels and tailpipe emissions'!$C$10:$C$126,'fuels and tailpipe emissions'!$A$10:$A$126,'vehicles specifications'!$F32,'fuels and tailpipe emissions'!$B$10:$B$126,'vehicles specifications'!BO$2)/1000*$AQ32</f>
        <v>9.5016669783076047E-5</v>
      </c>
      <c r="BP32" s="7">
        <f>SUMIFS('fuels and tailpipe emissions'!$C$10:$C$126,'fuels and tailpipe emissions'!$A$10:$A$126,'vehicles specifications'!$F32,'fuels and tailpipe emissions'!$B$10:$B$126,'vehicles specifications'!BP$2)/1000*$AQ32</f>
        <v>4.698911811676712E-5</v>
      </c>
      <c r="BQ32" s="7">
        <f>SUMIFS('fuels and tailpipe emissions'!$C$10:$C$126,'fuels and tailpipe emissions'!$A$10:$A$126,'vehicles specifications'!$F32,'fuels and tailpipe emissions'!$B$10:$B$126,'vehicles specifications'!BQ$2)/1000*$AQ32</f>
        <v>1.9557165183037508E-5</v>
      </c>
      <c r="BR32" s="7">
        <f>SUMIFS('fuels and tailpipe emissions'!$C$10:$C$126,'fuels and tailpipe emissions'!$A$10:$A$126,'vehicles specifications'!$F32,'fuels and tailpipe emissions'!$B$10:$B$126,'vehicles specifications'!BR$2)/1000*$AQ32</f>
        <v>1.4711141951842378E-5</v>
      </c>
      <c r="BS32" s="7">
        <f>SUMIFS('fuels and tailpipe emissions'!$C$10:$C$126,'fuels and tailpipe emissions'!$A$10:$A$126,'vehicles specifications'!$F32,'fuels and tailpipe emissions'!$B$10:$B$126,'vehicles specifications'!BS$2)/1000*$AQ32</f>
        <v>6.4902096846363412E-6</v>
      </c>
      <c r="BT32" s="7">
        <f>SUMIFS('fuels and tailpipe emissions'!$C$10:$C$126,'fuels and tailpipe emissions'!$A$10:$A$126,'vehicles specifications'!$F32,'fuels and tailpipe emissions'!$B$10:$B$126,'vehicles specifications'!BT$2)/1000*$AQ32</f>
        <v>1.9037948408266605E-6</v>
      </c>
      <c r="BU32" s="7">
        <f>SUMIFS('fuels and tailpipe emissions'!$C$10:$C$126,'fuels and tailpipe emissions'!$A$10:$A$126,'vehicles specifications'!$F32,'fuels and tailpipe emissions'!$B$10:$B$126,'vehicles specifications'!BU$2)/1000*$AQ32</f>
        <v>5.2787038768375589E-6</v>
      </c>
      <c r="BV32" s="7">
        <f>SUMIFS('fuels and tailpipe emissions'!$C$10:$C$126,'fuels and tailpipe emissions'!$A$10:$A$126,'vehicles specifications'!$F32,'fuels and tailpipe emissions'!$B$10:$B$126,'vehicles specifications'!BV$2)/1000*$AQ32</f>
        <v>0</v>
      </c>
      <c r="BW32" s="7">
        <f>SUMIFS('fuels and tailpipe emissions'!$C$10:$C$126,'fuels and tailpipe emissions'!$A$10:$A$126,'vehicles specifications'!$F32,'fuels and tailpipe emissions'!$B$10:$B$126,'vehicles specifications'!BW$2)/1000*$AQ32</f>
        <v>1.6441864534412067E-6</v>
      </c>
      <c r="BX32" s="7">
        <f>SUMIFS('fuels and tailpipe emissions'!$C$10:$C$126,'fuels and tailpipe emissions'!$A$10:$A$126,'vehicles specifications'!$F32,'fuels and tailpipe emissions'!$B$10:$B$126,'vehicles specifications'!BX$2)/1000*$AQ32</f>
        <v>8.7401490419769389E-6</v>
      </c>
      <c r="BY32" s="7">
        <f>SUMIFS('fuels and tailpipe emissions'!$C$10:$C$126,'fuels and tailpipe emissions'!$A$10:$A$126,'vehicles specifications'!$F32,'fuels and tailpipe emissions'!$B$10:$B$126,'vehicles specifications'!BY$2)/1000*$AQ32</f>
        <v>2.7785643076319082E-8</v>
      </c>
      <c r="BZ32" s="7">
        <f>SUMIFS('fuels and tailpipe emissions'!$C$10:$C$126,'fuels and tailpipe emissions'!$A$10:$A$126,'vehicles specifications'!$F32,'fuels and tailpipe emissions'!$B$10:$B$126,'vehicles specifications'!BZ$2)/1000*$AQ32</f>
        <v>2.3953140583033693E-10</v>
      </c>
      <c r="CA32" s="7">
        <f>SUMIFS('fuels and tailpipe emissions'!$C$10:$C$126,'fuels and tailpipe emissions'!$A$10:$A$126,'vehicles specifications'!$F32,'fuels and tailpipe emissions'!$B$10:$B$126,'vehicles specifications'!CA$2)/1000*$AQ32</f>
        <v>1.5968760388689128E-10</v>
      </c>
      <c r="CB32" s="7">
        <f>SUMIFS('fuels and tailpipe emissions'!$C$10:$C$126,'fuels and tailpipe emissions'!$A$10:$A$126,'vehicles specifications'!$F32,'fuels and tailpipe emissions'!$B$10:$B$126,'vehicles specifications'!CB$2)/1000*$AQ32</f>
        <v>1.7246261219784257E-6</v>
      </c>
      <c r="CC32" s="7">
        <f>SUMIFS('fuels and tailpipe emissions'!$C$10:$C$126,'fuels and tailpipe emissions'!$A$10:$A$126,'vehicles specifications'!$F32,'fuels and tailpipe emissions'!$B$10:$B$126,'vehicles specifications'!CC$2)/1000*$AQ32</f>
        <v>3.3534396816247166E-8</v>
      </c>
      <c r="CD32" s="7">
        <f>SUMIFS('fuels and tailpipe emissions'!$C$10:$C$126,'fuels and tailpipe emissions'!$A$10:$A$126,'vehicles specifications'!$F32,'fuels and tailpipe emissions'!$B$10:$B$126,'vehicles specifications'!CD$2)/1000*$AQ32</f>
        <v>1.0379694252647933E-8</v>
      </c>
      <c r="CE32" s="7">
        <f>SUMIFS('fuels and tailpipe emissions'!$C$10:$C$126,'fuels and tailpipe emissions'!$A$10:$A$126,'vehicles specifications'!$F32,'fuels and tailpipe emissions'!$B$10:$B$126,'vehicles specifications'!CE$2)/1000*$AQ32</f>
        <v>1.2775008310951305E-8</v>
      </c>
      <c r="CF32" s="7">
        <f>SUMIFS('fuels and tailpipe emissions'!$C$10:$C$126,'fuels and tailpipe emissions'!$A$10:$A$126,'vehicles specifications'!$F32,'fuels and tailpipe emissions'!$B$10:$B$126,'vehicles specifications'!CF$2)/1000*$AQ32</f>
        <v>2.5550016621902604E-11</v>
      </c>
      <c r="CG32" s="7">
        <f>SUMIFS('fuels and tailpipe emissions'!$C$10:$C$126,'fuels and tailpipe emissions'!$A$10:$A$126,'vehicles specifications'!$F32,'fuels and tailpipe emissions'!$B$10:$B$126,'vehicles specifications'!CG$2)/1000*$AQ32</f>
        <v>6.9464107690797704E-9</v>
      </c>
      <c r="CH32" s="7">
        <f>SUMIFS('fuels and tailpipe emissions'!$C$10:$C$126,'fuels and tailpipe emissions'!$A$10:$A$126,'vehicles specifications'!$F32,'fuels and tailpipe emissions'!$B$10:$B$126,'vehicles specifications'!CH$2)/1000*$AQ32</f>
        <v>8.6231306098921297E-9</v>
      </c>
      <c r="CI32" s="7">
        <f>VLOOKUP(B32,'abrasion emissions'!$A$4:$D$32,4,FALSE)</f>
        <v>6.0000000000000002E-6</v>
      </c>
      <c r="CJ32" s="7">
        <f>VLOOKUP(B32,'abrasion emissions'!$A$4:$D$32,2,FALSE)</f>
        <v>5.8379999999999998E-6</v>
      </c>
      <c r="CK32" s="7">
        <f>VLOOKUP(B32,'abrasion emissions'!$A$4:$D$32,3,FALSE)</f>
        <v>3.6740000000000003E-6</v>
      </c>
    </row>
    <row r="33" spans="1:89" s="21" customFormat="1" x14ac:dyDescent="0.3">
      <c r="A33" s="21" t="str">
        <f t="shared" ref="A33:A38" si="17">B33&amp;" - "&amp;D33&amp;" - "&amp;E33</f>
        <v>Scooter, gasoline, &lt;4kW, EURO-3 - 2006 - CH</v>
      </c>
      <c r="B33" s="21" t="s">
        <v>675</v>
      </c>
      <c r="D33" s="21">
        <v>2006</v>
      </c>
      <c r="E33" s="21" t="s">
        <v>37</v>
      </c>
      <c r="F33" s="21" t="s">
        <v>149</v>
      </c>
      <c r="G33" s="21" t="s">
        <v>39</v>
      </c>
      <c r="H33" s="21" t="s">
        <v>35</v>
      </c>
      <c r="J33" s="21">
        <v>33400</v>
      </c>
      <c r="K33" s="21">
        <v>2553</v>
      </c>
      <c r="L33" s="2">
        <f t="shared" ref="L33:L38" si="18">J33/K33</f>
        <v>13.082647865256561</v>
      </c>
      <c r="M33" s="21">
        <v>1</v>
      </c>
      <c r="N33" s="21">
        <v>70</v>
      </c>
      <c r="O33" s="21">
        <v>4</v>
      </c>
      <c r="P33" s="2">
        <f t="shared" ref="P33:P38" si="19">SUM(U33,V33,W33,AC33,AF33,AH33)</f>
        <v>93.6875</v>
      </c>
      <c r="Q33" s="2">
        <f t="shared" ref="Q33:Q38" si="20">P33+(M33*N33)+O33</f>
        <v>167.6875</v>
      </c>
      <c r="R33" s="21">
        <v>2.8</v>
      </c>
      <c r="S33" s="2">
        <v>53</v>
      </c>
      <c r="T33" s="1">
        <v>-0.05</v>
      </c>
      <c r="U33" s="2">
        <f t="shared" ref="U33:U38" si="21">S33*(1-T33)</f>
        <v>55.650000000000006</v>
      </c>
      <c r="V33" s="21">
        <v>32</v>
      </c>
      <c r="W33" s="21">
        <v>0</v>
      </c>
      <c r="X33" s="3">
        <v>0</v>
      </c>
      <c r="Y33" s="1">
        <v>0.8</v>
      </c>
      <c r="Z33" s="3">
        <f t="shared" ref="Z33:Z38" si="22">Y33*X33</f>
        <v>0</v>
      </c>
      <c r="AA33" s="3">
        <v>0</v>
      </c>
      <c r="AB33" s="3">
        <v>0</v>
      </c>
      <c r="AC33" s="3">
        <f t="shared" ref="AC33:AC38" si="23">AB33+AA33</f>
        <v>0</v>
      </c>
      <c r="AD33" s="3">
        <v>0</v>
      </c>
      <c r="AE33" s="3">
        <v>7</v>
      </c>
      <c r="AF33" s="21">
        <f>AE33*'fuels and tailpipe emissions'!$B$3</f>
        <v>5.25</v>
      </c>
      <c r="AG33" s="2">
        <f>AF33*'fuels and tailpipe emissions'!$C$3</f>
        <v>61.833333333333329</v>
      </c>
      <c r="AH33" s="3">
        <f t="shared" ref="AH33:AH38" si="24">0.15*AF33</f>
        <v>0.78749999999999998</v>
      </c>
      <c r="AI33" s="21">
        <v>0</v>
      </c>
      <c r="AJ33" s="21">
        <v>0</v>
      </c>
      <c r="AK33" s="21">
        <f t="shared" ref="AK33:AK38" si="25">IF(J33/50000&gt;1,J33/50000,1)</f>
        <v>1</v>
      </c>
      <c r="AL33" s="21">
        <f t="shared" ref="AL33:AL38" si="26">0.000537/1000*Q33</f>
        <v>9.0048187499999999E-5</v>
      </c>
      <c r="AM33" s="21">
        <v>1.2899999999999999E-3</v>
      </c>
      <c r="AN33" s="2">
        <f t="shared" ref="AN33:AN38" si="27">U33</f>
        <v>55.650000000000006</v>
      </c>
      <c r="AO33" s="2">
        <f t="shared" ref="AO33:AO38" si="28">SUM(V33:W33)</f>
        <v>32</v>
      </c>
      <c r="AP33" s="2">
        <f t="shared" ref="AP33:AP38" si="29">AC33</f>
        <v>0</v>
      </c>
      <c r="AQ33" s="6">
        <v>1.3796363595586507</v>
      </c>
      <c r="AR33" s="6" t="str">
        <f>IF($H33="BEV",SUMPRODUCT(#REF!,#REF!),"")</f>
        <v/>
      </c>
      <c r="AS33" s="2">
        <f>SUM(Z33,AG33)/(SUM(AQ33:AR33)/3.6)</f>
        <v>161.34686394551844</v>
      </c>
      <c r="AT33" s="5">
        <f>IF($H33="ICEV-p",$AQ33/('fuels and tailpipe emissions'!$C$3*3.6)*'fuels and tailpipe emissions'!$D$3,"")</f>
        <v>0.10347272696689881</v>
      </c>
      <c r="AU33" s="7">
        <f>IF($H33="ICEV-p",$AQ33/('fuels and tailpipe emissions'!$C$3*3.6)*'fuels and tailpipe emissions'!$E$3,"")</f>
        <v>5.206174941730758E-7</v>
      </c>
      <c r="AV33" s="7">
        <f>SUMIFS('fuels and tailpipe emissions'!$C$10:$C$126,'fuels and tailpipe emissions'!$A$10:$A$126,'vehicles specifications'!$F33,'fuels and tailpipe emissions'!$B$10:$B$126,'vehicles specifications'!AV$2)/1000*$AQ33</f>
        <v>8.3884891813930333E-5</v>
      </c>
      <c r="AW33" s="7">
        <f>SUMIFS('fuels and tailpipe emissions'!$C$10:$C$126,'fuels and tailpipe emissions'!$A$10:$A$126,'vehicles specifications'!$F33,'fuels and tailpipe emissions'!$B$10:$B$126,'vehicles specifications'!AW$2)/1000*$AQ33</f>
        <v>3.8035897892412742E-5</v>
      </c>
      <c r="AX33" s="7">
        <f>SUMIFS('fuels and tailpipe emissions'!$C$10:$C$126,'fuels and tailpipe emissions'!$A$10:$A$126,'vehicles specifications'!$F33,'fuels and tailpipe emissions'!$B$10:$B$126,'vehicles specifications'!AX$2)/1000*$AQ33</f>
        <v>4.0219096360171094E-3</v>
      </c>
      <c r="AY33" s="7">
        <f>SUMIFS('fuels and tailpipe emissions'!$C$10:$C$126,'fuels and tailpipe emissions'!$A$10:$A$126,'vehicles specifications'!$F33,'fuels and tailpipe emissions'!$B$10:$B$126,'vehicles specifications'!AY$2)/1000*$AQ33</f>
        <v>1.9297766561345895E-6</v>
      </c>
      <c r="AZ33" s="7">
        <f>SUMIFS('fuels and tailpipe emissions'!$C$10:$C$126,'fuels and tailpipe emissions'!$A$10:$A$126,'vehicles specifications'!$F33,'fuels and tailpipe emissions'!$B$10:$B$126,'vehicles specifications'!AZ$2)/1000*$AQ33</f>
        <v>1.9297766561345895E-6</v>
      </c>
      <c r="BA33" s="7">
        <f>SUMIFS('fuels and tailpipe emissions'!$C$10:$C$126,'fuels and tailpipe emissions'!$A$10:$A$126,'vehicles specifications'!$F33,'fuels and tailpipe emissions'!$B$10:$B$126,'vehicles specifications'!BA$2)/1000*$AQ33</f>
        <v>1.4471531938501332E-4</v>
      </c>
      <c r="BB33" s="7">
        <f>SUMIFS('fuels and tailpipe emissions'!$C$10:$C$126,'fuels and tailpipe emissions'!$A$10:$A$126,'vehicles specifications'!$F33,'fuels and tailpipe emissions'!$B$10:$B$126,'vehicles specifications'!BB$2)/1000*$AQ33</f>
        <v>1.1082707336180945E-5</v>
      </c>
      <c r="BC33" s="7">
        <f>SUMIFS('fuels and tailpipe emissions'!$C$10:$C$126,'fuels and tailpipe emissions'!$A$10:$A$126,'vehicles specifications'!$F33,'fuels and tailpipe emissions'!$B$10:$B$126,'vehicles specifications'!BC$2)/1000*$AQ33</f>
        <v>6.764621222214276E-4</v>
      </c>
      <c r="BD33" s="7">
        <f>SUMIFS('fuels and tailpipe emissions'!$C$10:$C$126,'fuels and tailpipe emissions'!$A$10:$A$126,'vehicles specifications'!$F33,'fuels and tailpipe emissions'!$B$10:$B$126,'vehicles specifications'!BD$2)/1000*$AQ33</f>
        <v>4.7699252207921172E-5</v>
      </c>
      <c r="BE33" s="7">
        <f>SUMIFS('fuels and tailpipe emissions'!$C$10:$C$126,'fuels and tailpipe emissions'!$A$10:$A$126,'vehicles specifications'!$F33,'fuels and tailpipe emissions'!$B$10:$B$126,'vehicles specifications'!BE$2)/1000*$AQ33</f>
        <v>9.7192833652503956E-6</v>
      </c>
      <c r="BF33" s="7">
        <f>SUMIFS('fuels and tailpipe emissions'!$C$10:$C$126,'fuels and tailpipe emissions'!$A$10:$A$126,'vehicles specifications'!$F33,'fuels and tailpipe emissions'!$B$10:$B$126,'vehicles specifications'!BF$2)/1000*$AQ33</f>
        <v>7.8352376667557047E-5</v>
      </c>
      <c r="BG33" s="7">
        <f>SUMIFS('fuels and tailpipe emissions'!$C$10:$C$126,'fuels and tailpipe emissions'!$A$10:$A$126,'vehicles specifications'!$F33,'fuels and tailpipe emissions'!$B$10:$B$126,'vehicles specifications'!BG$2)/1000*$AQ33</f>
        <v>3.2148398823520539E-5</v>
      </c>
      <c r="BH33" s="7">
        <f>SUMIFS('fuels and tailpipe emissions'!$C$10:$C$126,'fuels and tailpipe emissions'!$A$10:$A$126,'vehicles specifications'!$F33,'fuels and tailpipe emissions'!$B$10:$B$126,'vehicles specifications'!BH$2)/1000*$AQ33</f>
        <v>2.4073917258543288E-5</v>
      </c>
      <c r="BI33" s="7">
        <f>SUMIFS('fuels and tailpipe emissions'!$C$10:$C$126,'fuels and tailpipe emissions'!$A$10:$A$126,'vehicles specifications'!$F33,'fuels and tailpipe emissions'!$B$10:$B$126,'vehicles specifications'!BI$2)/1000*$AQ33</f>
        <v>1.7046127748285311E-5</v>
      </c>
      <c r="BJ33" s="7">
        <f>SUMIFS('fuels and tailpipe emissions'!$C$10:$C$126,'fuels and tailpipe emissions'!$A$10:$A$126,'vehicles specifications'!$F33,'fuels and tailpipe emissions'!$B$10:$B$126,'vehicles specifications'!BJ$2)/1000*$AQ33</f>
        <v>1.1065030292746605E-5</v>
      </c>
      <c r="BK33" s="7">
        <f>SUMIFS('fuels and tailpipe emissions'!$C$10:$C$126,'fuels and tailpipe emissions'!$A$10:$A$126,'vehicles specifications'!$F33,'fuels and tailpipe emissions'!$B$10:$B$126,'vehicles specifications'!BK$2)/1000*$AQ33</f>
        <v>1.0915502856358137E-4</v>
      </c>
      <c r="BL33" s="7">
        <f>SUMIFS('fuels and tailpipe emissions'!$C$10:$C$126,'fuels and tailpipe emissions'!$A$10:$A$126,'vehicles specifications'!$F33,'fuels and tailpipe emissions'!$B$10:$B$126,'vehicles specifications'!BL$2)/1000*$AQ33</f>
        <v>5.711948070039463E-5</v>
      </c>
      <c r="BM33" s="7">
        <f>SUMIFS('fuels and tailpipe emissions'!$C$10:$C$126,'fuels and tailpipe emissions'!$A$10:$A$126,'vehicles specifications'!$F33,'fuels and tailpipe emissions'!$B$10:$B$126,'vehicles specifications'!BM$2)/1000*$AQ33</f>
        <v>1.6448018002731441E-6</v>
      </c>
      <c r="BN33" s="7">
        <f>SUMIFS('fuels and tailpipe emissions'!$C$10:$C$126,'fuels and tailpipe emissions'!$A$10:$A$126,'vehicles specifications'!$F33,'fuels and tailpipe emissions'!$B$10:$B$126,'vehicles specifications'!BN$2)/1000*$AQ33</f>
        <v>8.3884891813930333E-5</v>
      </c>
      <c r="BO33" s="7">
        <f>SUMIFS('fuels and tailpipe emissions'!$C$10:$C$126,'fuels and tailpipe emissions'!$A$10:$A$126,'vehicles specifications'!$F33,'fuels and tailpipe emissions'!$B$10:$B$126,'vehicles specifications'!BO$2)/1000*$AQ33</f>
        <v>1.6418112515453746E-4</v>
      </c>
      <c r="BP33" s="7">
        <f>SUMIFS('fuels and tailpipe emissions'!$C$10:$C$126,'fuels and tailpipe emissions'!$A$10:$A$126,'vehicles specifications'!$F33,'fuels and tailpipe emissions'!$B$10:$B$126,'vehicles specifications'!BP$2)/1000*$AQ33</f>
        <v>8.1193397958937932E-5</v>
      </c>
      <c r="BQ33" s="7">
        <f>SUMIFS('fuels and tailpipe emissions'!$C$10:$C$126,'fuels and tailpipe emissions'!$A$10:$A$126,'vehicles specifications'!$F33,'fuels and tailpipe emissions'!$B$10:$B$126,'vehicles specifications'!BQ$2)/1000*$AQ33</f>
        <v>3.3793200623793681E-5</v>
      </c>
      <c r="BR33" s="7">
        <f>SUMIFS('fuels and tailpipe emissions'!$C$10:$C$126,'fuels and tailpipe emissions'!$A$10:$A$126,'vehicles specifications'!$F33,'fuels and tailpipe emissions'!$B$10:$B$126,'vehicles specifications'!BR$2)/1000*$AQ33</f>
        <v>2.5419664186039499E-5</v>
      </c>
      <c r="BS33" s="7">
        <f>SUMIFS('fuels and tailpipe emissions'!$C$10:$C$126,'fuels and tailpipe emissions'!$A$10:$A$126,'vehicles specifications'!$F33,'fuels and tailpipe emissions'!$B$10:$B$126,'vehicles specifications'!BS$2)/1000*$AQ33</f>
        <v>1.1214557729135072E-5</v>
      </c>
      <c r="BT33" s="7">
        <f>SUMIFS('fuels and tailpipe emissions'!$C$10:$C$126,'fuels and tailpipe emissions'!$A$10:$A$126,'vehicles specifications'!$F33,'fuels and tailpipe emissions'!$B$10:$B$126,'vehicles specifications'!BT$2)/1000*$AQ33</f>
        <v>3.2896036005462881E-6</v>
      </c>
      <c r="BU33" s="7">
        <f>SUMIFS('fuels and tailpipe emissions'!$C$10:$C$126,'fuels and tailpipe emissions'!$A$10:$A$126,'vehicles specifications'!$F33,'fuels and tailpipe emissions'!$B$10:$B$126,'vehicles specifications'!BU$2)/1000*$AQ33</f>
        <v>9.1211736196965272E-6</v>
      </c>
      <c r="BV33" s="7">
        <f>SUMIFS('fuels and tailpipe emissions'!$C$10:$C$126,'fuels and tailpipe emissions'!$A$10:$A$126,'vehicles specifications'!$F33,'fuels and tailpipe emissions'!$B$10:$B$126,'vehicles specifications'!BV$2)/1000*$AQ33</f>
        <v>0</v>
      </c>
      <c r="BW33" s="7">
        <f>SUMIFS('fuels and tailpipe emissions'!$C$10:$C$126,'fuels and tailpipe emissions'!$A$10:$A$126,'vehicles specifications'!$F33,'fuels and tailpipe emissions'!$B$10:$B$126,'vehicles specifications'!BW$2)/1000*$AQ33</f>
        <v>2.8410212913808851E-6</v>
      </c>
      <c r="BX33" s="7">
        <f>SUMIFS('fuels and tailpipe emissions'!$C$10:$C$126,'fuels and tailpipe emissions'!$A$10:$A$126,'vehicles specifications'!$F33,'fuels and tailpipe emissions'!$B$10:$B$126,'vehicles specifications'!BX$2)/1000*$AQ33</f>
        <v>1.5102271075235228E-5</v>
      </c>
      <c r="BY33" s="7">
        <f>SUMIFS('fuels and tailpipe emissions'!$C$10:$C$126,'fuels and tailpipe emissions'!$A$10:$A$126,'vehicles specifications'!$F33,'fuels and tailpipe emissions'!$B$10:$B$126,'vehicles specifications'!BY$2)/1000*$AQ33</f>
        <v>4.8011345312641045E-8</v>
      </c>
      <c r="BZ33" s="7">
        <f>SUMIFS('fuels and tailpipe emissions'!$C$10:$C$126,'fuels and tailpipe emissions'!$A$10:$A$126,'vehicles specifications'!$F33,'fuels and tailpipe emissions'!$B$10:$B$126,'vehicles specifications'!BZ$2)/1000*$AQ33</f>
        <v>4.138909078675952E-10</v>
      </c>
      <c r="CA33" s="7">
        <f>SUMIFS('fuels and tailpipe emissions'!$C$10:$C$126,'fuels and tailpipe emissions'!$A$10:$A$126,'vehicles specifications'!$F33,'fuels and tailpipe emissions'!$B$10:$B$126,'vehicles specifications'!CA$2)/1000*$AQ33</f>
        <v>2.7592727191173013E-10</v>
      </c>
      <c r="CB33" s="7">
        <f>SUMIFS('fuels and tailpipe emissions'!$C$10:$C$126,'fuels and tailpipe emissions'!$A$10:$A$126,'vehicles specifications'!$F33,'fuels and tailpipe emissions'!$B$10:$B$126,'vehicles specifications'!CB$2)/1000*$AQ33</f>
        <v>2.9800145366466856E-6</v>
      </c>
      <c r="CC33" s="7">
        <f>SUMIFS('fuels and tailpipe emissions'!$C$10:$C$126,'fuels and tailpipe emissions'!$A$10:$A$126,'vehicles specifications'!$F33,'fuels and tailpipe emissions'!$B$10:$B$126,'vehicles specifications'!CC$2)/1000*$AQ33</f>
        <v>5.7944727101463327E-8</v>
      </c>
      <c r="CD33" s="7">
        <f>SUMIFS('fuels and tailpipe emissions'!$C$10:$C$126,'fuels and tailpipe emissions'!$A$10:$A$126,'vehicles specifications'!$F33,'fuels and tailpipe emissions'!$B$10:$B$126,'vehicles specifications'!CD$2)/1000*$AQ33</f>
        <v>1.7935272674262461E-8</v>
      </c>
      <c r="CE33" s="7">
        <f>SUMIFS('fuels and tailpipe emissions'!$C$10:$C$126,'fuels and tailpipe emissions'!$A$10:$A$126,'vehicles specifications'!$F33,'fuels and tailpipe emissions'!$B$10:$B$126,'vehicles specifications'!CE$2)/1000*$AQ33</f>
        <v>2.2074181752938417E-8</v>
      </c>
      <c r="CF33" s="7">
        <f>SUMIFS('fuels and tailpipe emissions'!$C$10:$C$126,'fuels and tailpipe emissions'!$A$10:$A$126,'vehicles specifications'!$F33,'fuels and tailpipe emissions'!$B$10:$B$126,'vehicles specifications'!CF$2)/1000*$AQ33</f>
        <v>4.414836350587682E-11</v>
      </c>
      <c r="CG33" s="7">
        <f>SUMIFS('fuels and tailpipe emissions'!$C$10:$C$126,'fuels and tailpipe emissions'!$A$10:$A$126,'vehicles specifications'!$F33,'fuels and tailpipe emissions'!$B$10:$B$126,'vehicles specifications'!CG$2)/1000*$AQ33</f>
        <v>1.2002836328160261E-8</v>
      </c>
      <c r="CH33" s="7">
        <f>SUMIFS('fuels and tailpipe emissions'!$C$10:$C$126,'fuels and tailpipe emissions'!$A$10:$A$126,'vehicles specifications'!$F33,'fuels and tailpipe emissions'!$B$10:$B$126,'vehicles specifications'!CH$2)/1000*$AQ33</f>
        <v>1.4900072683233429E-8</v>
      </c>
      <c r="CI33" s="7">
        <f>VLOOKUP(B33,'abrasion emissions'!$A$4:$D$32,4,FALSE)</f>
        <v>6.0000000000000002E-6</v>
      </c>
      <c r="CJ33" s="7">
        <f>VLOOKUP(B33,'abrasion emissions'!$A$4:$D$32,2,FALSE)</f>
        <v>6.3939999999999993E-6</v>
      </c>
      <c r="CK33" s="7">
        <f>VLOOKUP(B33,'abrasion emissions'!$A$4:$D$32,3,FALSE)</f>
        <v>6.1789999999999996E-6</v>
      </c>
    </row>
    <row r="34" spans="1:89" s="21" customFormat="1" x14ac:dyDescent="0.3">
      <c r="A34" s="21" t="str">
        <f t="shared" si="17"/>
        <v>Scooter, gasoline, &lt;4kW, EURO-4 - 2016 - CH</v>
      </c>
      <c r="B34" s="21" t="s">
        <v>676</v>
      </c>
      <c r="D34" s="21">
        <v>2016</v>
      </c>
      <c r="E34" s="21" t="s">
        <v>37</v>
      </c>
      <c r="F34" s="21" t="s">
        <v>148</v>
      </c>
      <c r="G34" s="21" t="s">
        <v>39</v>
      </c>
      <c r="H34" s="21" t="s">
        <v>35</v>
      </c>
      <c r="J34" s="21">
        <v>33400</v>
      </c>
      <c r="K34" s="21">
        <v>2553</v>
      </c>
      <c r="L34" s="2">
        <f t="shared" si="18"/>
        <v>13.082647865256561</v>
      </c>
      <c r="M34" s="21">
        <v>1</v>
      </c>
      <c r="N34" s="21">
        <v>70</v>
      </c>
      <c r="O34" s="21">
        <v>4</v>
      </c>
      <c r="P34" s="2">
        <f t="shared" si="19"/>
        <v>92.097499999999997</v>
      </c>
      <c r="Q34" s="2">
        <f t="shared" si="20"/>
        <v>166.0975</v>
      </c>
      <c r="R34" s="21">
        <v>2.8</v>
      </c>
      <c r="S34" s="2">
        <v>53</v>
      </c>
      <c r="T34" s="1">
        <v>-0.02</v>
      </c>
      <c r="U34" s="2">
        <f t="shared" si="21"/>
        <v>54.06</v>
      </c>
      <c r="V34" s="21">
        <v>32</v>
      </c>
      <c r="W34" s="21">
        <v>0</v>
      </c>
      <c r="X34" s="3">
        <v>0</v>
      </c>
      <c r="Y34" s="1">
        <v>0.8</v>
      </c>
      <c r="Z34" s="3">
        <f t="shared" si="22"/>
        <v>0</v>
      </c>
      <c r="AA34" s="3">
        <v>0</v>
      </c>
      <c r="AB34" s="3">
        <v>0</v>
      </c>
      <c r="AC34" s="3">
        <f t="shared" si="23"/>
        <v>0</v>
      </c>
      <c r="AD34" s="3">
        <v>0</v>
      </c>
      <c r="AE34" s="3">
        <v>7</v>
      </c>
      <c r="AF34" s="21">
        <f>AE34*'fuels and tailpipe emissions'!$B$3</f>
        <v>5.25</v>
      </c>
      <c r="AG34" s="2">
        <f>AF34*'fuels and tailpipe emissions'!$C$3</f>
        <v>61.833333333333329</v>
      </c>
      <c r="AH34" s="3">
        <f t="shared" si="24"/>
        <v>0.78749999999999998</v>
      </c>
      <c r="AI34" s="21">
        <v>0</v>
      </c>
      <c r="AJ34" s="21">
        <v>0</v>
      </c>
      <c r="AK34" s="21">
        <f t="shared" si="25"/>
        <v>1</v>
      </c>
      <c r="AL34" s="21">
        <f t="shared" si="26"/>
        <v>8.9194357499999995E-5</v>
      </c>
      <c r="AM34" s="21">
        <v>1.2899999999999999E-3</v>
      </c>
      <c r="AN34" s="2">
        <f t="shared" si="27"/>
        <v>54.06</v>
      </c>
      <c r="AO34" s="2">
        <f t="shared" si="28"/>
        <v>32</v>
      </c>
      <c r="AP34" s="2">
        <f t="shared" si="29"/>
        <v>0</v>
      </c>
      <c r="AQ34" s="6">
        <v>1.3015437354326893</v>
      </c>
      <c r="AR34" s="6" t="str">
        <f>IF($H34="BEV",SUMPRODUCT(#REF!,#REF!),"")</f>
        <v/>
      </c>
      <c r="AS34" s="2">
        <f>SUM(Z34,AG34)/(SUM(AQ34:AR34)/3.6)</f>
        <v>171.02767578224956</v>
      </c>
      <c r="AT34" s="5">
        <f>IF($H34="ICEV-p",$AQ34/('fuels and tailpipe emissions'!$C$3*3.6)*'fuels and tailpipe emissions'!$D$3,"")</f>
        <v>9.7615780157451718E-2</v>
      </c>
      <c r="AU34" s="7">
        <f>IF($H34="ICEV-p",$AQ34/('fuels and tailpipe emissions'!$C$3*3.6)*'fuels and tailpipe emissions'!$E$3,"")</f>
        <v>4.9114857940856198E-7</v>
      </c>
      <c r="AV34" s="7">
        <f>SUMIFS('fuels and tailpipe emissions'!$C$10:$C$126,'fuels and tailpipe emissions'!$A$10:$A$126,'vehicles specifications'!$F34,'fuels and tailpipe emissions'!$B$10:$B$126,'vehicles specifications'!AV$2)/1000*$AQ34</f>
        <v>7.9136690390500312E-5</v>
      </c>
      <c r="AW34" s="7">
        <f>SUMIFS('fuels and tailpipe emissions'!$C$10:$C$126,'fuels and tailpipe emissions'!$A$10:$A$126,'vehicles specifications'!$F34,'fuels and tailpipe emissions'!$B$10:$B$126,'vehicles specifications'!AW$2)/1000*$AQ34</f>
        <v>3.588292254001202E-5</v>
      </c>
      <c r="AX34" s="7">
        <f>SUMIFS('fuels and tailpipe emissions'!$C$10:$C$126,'fuels and tailpipe emissions'!$A$10:$A$126,'vehicles specifications'!$F34,'fuels and tailpipe emissions'!$B$10:$B$126,'vehicles specifications'!AX$2)/1000*$AQ34</f>
        <v>3.7942543736010467E-3</v>
      </c>
      <c r="AY34" s="7">
        <f>SUMIFS('fuels and tailpipe emissions'!$C$10:$C$126,'fuels and tailpipe emissions'!$A$10:$A$126,'vehicles specifications'!$F34,'fuels and tailpipe emissions'!$B$10:$B$126,'vehicles specifications'!AY$2)/1000*$AQ34</f>
        <v>1.8205440152213105E-6</v>
      </c>
      <c r="AZ34" s="7">
        <f>SUMIFS('fuels and tailpipe emissions'!$C$10:$C$126,'fuels and tailpipe emissions'!$A$10:$A$126,'vehicles specifications'!$F34,'fuels and tailpipe emissions'!$B$10:$B$126,'vehicles specifications'!AZ$2)/1000*$AQ34</f>
        <v>1.8205440152213105E-6</v>
      </c>
      <c r="BA34" s="7">
        <f>SUMIFS('fuels and tailpipe emissions'!$C$10:$C$126,'fuels and tailpipe emissions'!$A$10:$A$126,'vehicles specifications'!$F34,'fuels and tailpipe emissions'!$B$10:$B$126,'vehicles specifications'!BA$2)/1000*$AQ34</f>
        <v>1.3652388621227673E-4</v>
      </c>
      <c r="BB34" s="7">
        <f>SUMIFS('fuels and tailpipe emissions'!$C$10:$C$126,'fuels and tailpipe emissions'!$A$10:$A$126,'vehicles specifications'!$F34,'fuels and tailpipe emissions'!$B$10:$B$126,'vehicles specifications'!BB$2)/1000*$AQ34</f>
        <v>1.0455384279415984E-5</v>
      </c>
      <c r="BC34" s="7">
        <f>SUMIFS('fuels and tailpipe emissions'!$C$10:$C$126,'fuels and tailpipe emissions'!$A$10:$A$126,'vehicles specifications'!$F34,'fuels and tailpipe emissions'!$B$10:$B$126,'vehicles specifications'!BC$2)/1000*$AQ34</f>
        <v>6.3817181341644107E-4</v>
      </c>
      <c r="BD34" s="7">
        <f>SUMIFS('fuels and tailpipe emissions'!$C$10:$C$126,'fuels and tailpipe emissions'!$A$10:$A$126,'vehicles specifications'!$F34,'fuels and tailpipe emissions'!$B$10:$B$126,'vehicles specifications'!BD$2)/1000*$AQ34</f>
        <v>4.499929453577469E-5</v>
      </c>
      <c r="BE34" s="7">
        <f>SUMIFS('fuels and tailpipe emissions'!$C$10:$C$126,'fuels and tailpipe emissions'!$A$10:$A$126,'vehicles specifications'!$F34,'fuels and tailpipe emissions'!$B$10:$B$126,'vehicles specifications'!BE$2)/1000*$AQ34</f>
        <v>9.169135250236222E-6</v>
      </c>
      <c r="BF34" s="7">
        <f>SUMIFS('fuels and tailpipe emissions'!$C$10:$C$126,'fuels and tailpipe emissions'!$A$10:$A$126,'vehicles specifications'!$F34,'fuels and tailpipe emissions'!$B$10:$B$126,'vehicles specifications'!BF$2)/1000*$AQ34</f>
        <v>7.3917336478827389E-5</v>
      </c>
      <c r="BG34" s="7">
        <f>SUMIFS('fuels and tailpipe emissions'!$C$10:$C$126,'fuels and tailpipe emissions'!$A$10:$A$126,'vehicles specifications'!$F34,'fuels and tailpipe emissions'!$B$10:$B$126,'vehicles specifications'!BG$2)/1000*$AQ34</f>
        <v>3.0328678135396732E-5</v>
      </c>
      <c r="BH34" s="7">
        <f>SUMIFS('fuels and tailpipe emissions'!$C$10:$C$126,'fuels and tailpipe emissions'!$A$10:$A$126,'vehicles specifications'!$F34,'fuels and tailpipe emissions'!$B$10:$B$126,'vehicles specifications'!BH$2)/1000*$AQ34</f>
        <v>2.2711242696738953E-5</v>
      </c>
      <c r="BI34" s="7">
        <f>SUMIFS('fuels and tailpipe emissions'!$C$10:$C$126,'fuels and tailpipe emissions'!$A$10:$A$126,'vehicles specifications'!$F34,'fuels and tailpipe emissions'!$B$10:$B$126,'vehicles specifications'!BI$2)/1000*$AQ34</f>
        <v>1.6081252592721991E-5</v>
      </c>
      <c r="BJ34" s="7">
        <f>SUMIFS('fuels and tailpipe emissions'!$C$10:$C$126,'fuels and tailpipe emissions'!$A$10:$A$126,'vehicles specifications'!$F34,'fuels and tailpipe emissions'!$B$10:$B$126,'vehicles specifications'!BJ$2)/1000*$AQ34</f>
        <v>1.0438707823345854E-5</v>
      </c>
      <c r="BK34" s="7">
        <f>SUMIFS('fuels and tailpipe emissions'!$C$10:$C$126,'fuels and tailpipe emissions'!$A$10:$A$126,'vehicles specifications'!$F34,'fuels and tailpipe emissions'!$B$10:$B$126,'vehicles specifications'!BK$2)/1000*$AQ34</f>
        <v>1.029764420411145E-4</v>
      </c>
      <c r="BL34" s="7">
        <f>SUMIFS('fuels and tailpipe emissions'!$C$10:$C$126,'fuels and tailpipe emissions'!$A$10:$A$126,'vehicles specifications'!$F34,'fuels and tailpipe emissions'!$B$10:$B$126,'vehicles specifications'!BL$2)/1000*$AQ34</f>
        <v>5.3886302547542099E-5</v>
      </c>
      <c r="BM34" s="7">
        <f>SUMIFS('fuels and tailpipe emissions'!$C$10:$C$126,'fuels and tailpipe emissions'!$A$10:$A$126,'vehicles specifications'!$F34,'fuels and tailpipe emissions'!$B$10:$B$126,'vehicles specifications'!BM$2)/1000*$AQ34</f>
        <v>1.5516998115784377E-6</v>
      </c>
      <c r="BN34" s="7">
        <f>SUMIFS('fuels and tailpipe emissions'!$C$10:$C$126,'fuels and tailpipe emissions'!$A$10:$A$126,'vehicles specifications'!$F34,'fuels and tailpipe emissions'!$B$10:$B$126,'vehicles specifications'!BN$2)/1000*$AQ34</f>
        <v>7.9136690390500312E-5</v>
      </c>
      <c r="BO34" s="7">
        <f>SUMIFS('fuels and tailpipe emissions'!$C$10:$C$126,'fuels and tailpipe emissions'!$A$10:$A$126,'vehicles specifications'!$F34,'fuels and tailpipe emissions'!$B$10:$B$126,'vehicles specifications'!BO$2)/1000*$AQ34</f>
        <v>1.5488785391937494E-4</v>
      </c>
      <c r="BP34" s="7">
        <f>SUMIFS('fuels and tailpipe emissions'!$C$10:$C$126,'fuels and tailpipe emissions'!$A$10:$A$126,'vehicles specifications'!$F34,'fuels and tailpipe emissions'!$B$10:$B$126,'vehicles specifications'!BP$2)/1000*$AQ34</f>
        <v>7.6597545244281066E-5</v>
      </c>
      <c r="BQ34" s="7">
        <f>SUMIFS('fuels and tailpipe emissions'!$C$10:$C$126,'fuels and tailpipe emissions'!$A$10:$A$126,'vehicles specifications'!$F34,'fuels and tailpipe emissions'!$B$10:$B$126,'vehicles specifications'!BQ$2)/1000*$AQ34</f>
        <v>3.1880377946975169E-5</v>
      </c>
      <c r="BR34" s="7">
        <f>SUMIFS('fuels and tailpipe emissions'!$C$10:$C$126,'fuels and tailpipe emissions'!$A$10:$A$126,'vehicles specifications'!$F34,'fuels and tailpipe emissions'!$B$10:$B$126,'vehicles specifications'!BR$2)/1000*$AQ34</f>
        <v>2.3980815269848583E-5</v>
      </c>
      <c r="BS34" s="7">
        <f>SUMIFS('fuels and tailpipe emissions'!$C$10:$C$126,'fuels and tailpipe emissions'!$A$10:$A$126,'vehicles specifications'!$F34,'fuels and tailpipe emissions'!$B$10:$B$126,'vehicles specifications'!BS$2)/1000*$AQ34</f>
        <v>1.0579771442580255E-5</v>
      </c>
      <c r="BT34" s="7">
        <f>SUMIFS('fuels and tailpipe emissions'!$C$10:$C$126,'fuels and tailpipe emissions'!$A$10:$A$126,'vehicles specifications'!$F34,'fuels and tailpipe emissions'!$B$10:$B$126,'vehicles specifications'!BT$2)/1000*$AQ34</f>
        <v>3.1033996231568754E-6</v>
      </c>
      <c r="BU34" s="7">
        <f>SUMIFS('fuels and tailpipe emissions'!$C$10:$C$126,'fuels and tailpipe emissions'!$A$10:$A$126,'vehicles specifications'!$F34,'fuels and tailpipe emissions'!$B$10:$B$126,'vehicles specifications'!BU$2)/1000*$AQ34</f>
        <v>8.6048807732986105E-6</v>
      </c>
      <c r="BV34" s="7">
        <f>SUMIFS('fuels and tailpipe emissions'!$C$10:$C$126,'fuels and tailpipe emissions'!$A$10:$A$126,'vehicles specifications'!$F34,'fuels and tailpipe emissions'!$B$10:$B$126,'vehicles specifications'!BV$2)/1000*$AQ34</f>
        <v>0</v>
      </c>
      <c r="BW34" s="7">
        <f>SUMIFS('fuels and tailpipe emissions'!$C$10:$C$126,'fuels and tailpipe emissions'!$A$10:$A$126,'vehicles specifications'!$F34,'fuels and tailpipe emissions'!$B$10:$B$126,'vehicles specifications'!BW$2)/1000*$AQ34</f>
        <v>2.680208765453665E-6</v>
      </c>
      <c r="BX34" s="7">
        <f>SUMIFS('fuels and tailpipe emissions'!$C$10:$C$126,'fuels and tailpipe emissions'!$A$10:$A$126,'vehicles specifications'!$F34,'fuels and tailpipe emissions'!$B$10:$B$126,'vehicles specifications'!BX$2)/1000*$AQ34</f>
        <v>1.4247425542674743E-5</v>
      </c>
      <c r="BY34" s="7">
        <f>SUMIFS('fuels and tailpipe emissions'!$C$10:$C$126,'fuels and tailpipe emissions'!$A$10:$A$126,'vehicles specifications'!$F34,'fuels and tailpipe emissions'!$B$10:$B$126,'vehicles specifications'!BY$2)/1000*$AQ34</f>
        <v>4.5293721993057591E-8</v>
      </c>
      <c r="BZ34" s="7">
        <f>SUMIFS('fuels and tailpipe emissions'!$C$10:$C$126,'fuels and tailpipe emissions'!$A$10:$A$126,'vehicles specifications'!$F34,'fuels and tailpipe emissions'!$B$10:$B$126,'vehicles specifications'!BZ$2)/1000*$AQ34</f>
        <v>3.9046312062980679E-10</v>
      </c>
      <c r="CA34" s="7">
        <f>SUMIFS('fuels and tailpipe emissions'!$C$10:$C$126,'fuels and tailpipe emissions'!$A$10:$A$126,'vehicles specifications'!$F34,'fuels and tailpipe emissions'!$B$10:$B$126,'vehicles specifications'!CA$2)/1000*$AQ34</f>
        <v>2.6030874708653786E-10</v>
      </c>
      <c r="CB34" s="7">
        <f>SUMIFS('fuels and tailpipe emissions'!$C$10:$C$126,'fuels and tailpipe emissions'!$A$10:$A$126,'vehicles specifications'!$F34,'fuels and tailpipe emissions'!$B$10:$B$126,'vehicles specifications'!CB$2)/1000*$AQ34</f>
        <v>2.8113344685346088E-6</v>
      </c>
      <c r="CC34" s="7">
        <f>SUMIFS('fuels and tailpipe emissions'!$C$10:$C$126,'fuels and tailpipe emissions'!$A$10:$A$126,'vehicles specifications'!$F34,'fuels and tailpipe emissions'!$B$10:$B$126,'vehicles specifications'!CC$2)/1000*$AQ34</f>
        <v>5.4664836888172948E-8</v>
      </c>
      <c r="CD34" s="7">
        <f>SUMIFS('fuels and tailpipe emissions'!$C$10:$C$126,'fuels and tailpipe emissions'!$A$10:$A$126,'vehicles specifications'!$F34,'fuels and tailpipe emissions'!$B$10:$B$126,'vehicles specifications'!CD$2)/1000*$AQ34</f>
        <v>1.6920068560624963E-8</v>
      </c>
      <c r="CE34" s="7">
        <f>SUMIFS('fuels and tailpipe emissions'!$C$10:$C$126,'fuels and tailpipe emissions'!$A$10:$A$126,'vehicles specifications'!$F34,'fuels and tailpipe emissions'!$B$10:$B$126,'vehicles specifications'!CE$2)/1000*$AQ34</f>
        <v>2.0824699766923036E-8</v>
      </c>
      <c r="CF34" s="7">
        <f>SUMIFS('fuels and tailpipe emissions'!$C$10:$C$126,'fuels and tailpipe emissions'!$A$10:$A$126,'vehicles specifications'!$F34,'fuels and tailpipe emissions'!$B$10:$B$126,'vehicles specifications'!CF$2)/1000*$AQ34</f>
        <v>4.1649399533846058E-11</v>
      </c>
      <c r="CG34" s="7">
        <f>SUMIFS('fuels and tailpipe emissions'!$C$10:$C$126,'fuels and tailpipe emissions'!$A$10:$A$126,'vehicles specifications'!$F34,'fuels and tailpipe emissions'!$B$10:$B$126,'vehicles specifications'!CG$2)/1000*$AQ34</f>
        <v>1.1323430498264398E-8</v>
      </c>
      <c r="CH34" s="7">
        <f>SUMIFS('fuels and tailpipe emissions'!$C$10:$C$126,'fuels and tailpipe emissions'!$A$10:$A$126,'vehicles specifications'!$F34,'fuels and tailpipe emissions'!$B$10:$B$126,'vehicles specifications'!CH$2)/1000*$AQ34</f>
        <v>1.4056672342673046E-8</v>
      </c>
      <c r="CI34" s="7">
        <f>VLOOKUP(B34,'abrasion emissions'!$A$4:$D$32,4,FALSE)</f>
        <v>6.0000000000000002E-6</v>
      </c>
      <c r="CJ34" s="7">
        <f>VLOOKUP(B34,'abrasion emissions'!$A$4:$D$32,2,FALSE)</f>
        <v>6.3939999999999993E-6</v>
      </c>
      <c r="CK34" s="7">
        <f>VLOOKUP(B34,'abrasion emissions'!$A$4:$D$32,3,FALSE)</f>
        <v>6.1789999999999996E-6</v>
      </c>
    </row>
    <row r="35" spans="1:89" s="21" customFormat="1" x14ac:dyDescent="0.3">
      <c r="A35" s="21" t="str">
        <f t="shared" si="17"/>
        <v>Scooter, gasoline, &lt;4kW, EURO-5 - 2020 - CH</v>
      </c>
      <c r="B35" s="21" t="s">
        <v>677</v>
      </c>
      <c r="D35" s="21">
        <v>2020</v>
      </c>
      <c r="E35" s="21" t="s">
        <v>37</v>
      </c>
      <c r="F35" s="21" t="s">
        <v>149</v>
      </c>
      <c r="G35" s="21" t="s">
        <v>39</v>
      </c>
      <c r="H35" s="21" t="s">
        <v>35</v>
      </c>
      <c r="J35" s="21">
        <v>33400</v>
      </c>
      <c r="K35" s="21">
        <v>2553</v>
      </c>
      <c r="L35" s="2">
        <f t="shared" si="18"/>
        <v>13.082647865256561</v>
      </c>
      <c r="M35" s="21">
        <v>1</v>
      </c>
      <c r="N35" s="21">
        <v>70</v>
      </c>
      <c r="O35" s="21">
        <v>4</v>
      </c>
      <c r="P35" s="2">
        <f t="shared" si="19"/>
        <v>91.037499999999994</v>
      </c>
      <c r="Q35" s="2">
        <f t="shared" si="20"/>
        <v>165.03749999999999</v>
      </c>
      <c r="R35" s="21">
        <v>2.8</v>
      </c>
      <c r="S35" s="2">
        <v>53</v>
      </c>
      <c r="T35" s="1">
        <v>0</v>
      </c>
      <c r="U35" s="2">
        <f t="shared" si="21"/>
        <v>53</v>
      </c>
      <c r="V35" s="21">
        <v>32</v>
      </c>
      <c r="W35" s="21">
        <v>0</v>
      </c>
      <c r="X35" s="3">
        <v>0</v>
      </c>
      <c r="Y35" s="1">
        <v>0.8</v>
      </c>
      <c r="Z35" s="3">
        <f t="shared" si="22"/>
        <v>0</v>
      </c>
      <c r="AA35" s="3">
        <v>0</v>
      </c>
      <c r="AB35" s="3">
        <v>0</v>
      </c>
      <c r="AC35" s="3">
        <f t="shared" si="23"/>
        <v>0</v>
      </c>
      <c r="AD35" s="3">
        <v>0</v>
      </c>
      <c r="AE35" s="3">
        <v>7</v>
      </c>
      <c r="AF35" s="21">
        <f>AE35*'fuels and tailpipe emissions'!$B$3</f>
        <v>5.25</v>
      </c>
      <c r="AG35" s="2">
        <f>AF35*'fuels and tailpipe emissions'!$C$3</f>
        <v>61.833333333333329</v>
      </c>
      <c r="AH35" s="3">
        <f t="shared" si="24"/>
        <v>0.78749999999999998</v>
      </c>
      <c r="AI35" s="21">
        <v>0</v>
      </c>
      <c r="AJ35" s="21">
        <v>0</v>
      </c>
      <c r="AK35" s="21">
        <f t="shared" si="25"/>
        <v>1</v>
      </c>
      <c r="AL35" s="21">
        <f t="shared" si="26"/>
        <v>8.8625137499999992E-5</v>
      </c>
      <c r="AM35" s="21">
        <v>1.2899999999999999E-3</v>
      </c>
      <c r="AN35" s="2">
        <f t="shared" si="27"/>
        <v>53</v>
      </c>
      <c r="AO35" s="2">
        <f t="shared" si="28"/>
        <v>32</v>
      </c>
      <c r="AP35" s="2">
        <f t="shared" si="29"/>
        <v>0</v>
      </c>
      <c r="AQ35" s="6">
        <v>1.2885282980783623</v>
      </c>
      <c r="AR35" s="6" t="str">
        <f>IF($H35="BEV",SUMPRODUCT(#REF!,#REF!),"")</f>
        <v/>
      </c>
      <c r="AS35" s="2">
        <f>SUM(Z35,AG35)/(SUM(AQ35:AR35)/3.6)</f>
        <v>172.75522806287836</v>
      </c>
      <c r="AT35" s="5">
        <f>IF($H35="ICEV-p",$AQ35/('fuels and tailpipe emissions'!$C$3*3.6)*'fuels and tailpipe emissions'!$D$3,"")</f>
        <v>9.6639622355877183E-2</v>
      </c>
      <c r="AU35" s="7">
        <f>IF($H35="ICEV-p",$AQ35/('fuels and tailpipe emissions'!$C$3*3.6)*'fuels and tailpipe emissions'!$E$3,"")</f>
        <v>4.8623709361447633E-7</v>
      </c>
      <c r="AV35" s="7">
        <f>SUMIFS('fuels and tailpipe emissions'!$C$10:$C$126,'fuels and tailpipe emissions'!$A$10:$A$126,'vehicles specifications'!$F35,'fuels and tailpipe emissions'!$B$10:$B$126,'vehicles specifications'!AV$2)/1000*$AQ35</f>
        <v>7.8345323486595295E-5</v>
      </c>
      <c r="AW35" s="7">
        <f>SUMIFS('fuels and tailpipe emissions'!$C$10:$C$126,'fuels and tailpipe emissions'!$A$10:$A$126,'vehicles specifications'!$F35,'fuels and tailpipe emissions'!$B$10:$B$126,'vehicles specifications'!AW$2)/1000*$AQ35</f>
        <v>3.5524093314611898E-5</v>
      </c>
      <c r="AX35" s="7">
        <f>SUMIFS('fuels and tailpipe emissions'!$C$10:$C$126,'fuels and tailpipe emissions'!$A$10:$A$126,'vehicles specifications'!$F35,'fuels and tailpipe emissions'!$B$10:$B$126,'vehicles specifications'!AX$2)/1000*$AQ35</f>
        <v>3.7563118298650361E-3</v>
      </c>
      <c r="AY35" s="7">
        <f>SUMIFS('fuels and tailpipe emissions'!$C$10:$C$126,'fuels and tailpipe emissions'!$A$10:$A$126,'vehicles specifications'!$F35,'fuels and tailpipe emissions'!$B$10:$B$126,'vehicles specifications'!AY$2)/1000*$AQ35</f>
        <v>1.8023385750690973E-6</v>
      </c>
      <c r="AZ35" s="7">
        <f>SUMIFS('fuels and tailpipe emissions'!$C$10:$C$126,'fuels and tailpipe emissions'!$A$10:$A$126,'vehicles specifications'!$F35,'fuels and tailpipe emissions'!$B$10:$B$126,'vehicles specifications'!AZ$2)/1000*$AQ35</f>
        <v>1.8023385750690973E-6</v>
      </c>
      <c r="BA35" s="7">
        <f>SUMIFS('fuels and tailpipe emissions'!$C$10:$C$126,'fuels and tailpipe emissions'!$A$10:$A$126,'vehicles specifications'!$F35,'fuels and tailpipe emissions'!$B$10:$B$126,'vehicles specifications'!BA$2)/1000*$AQ35</f>
        <v>1.3515864735015395E-4</v>
      </c>
      <c r="BB35" s="7">
        <f>SUMIFS('fuels and tailpipe emissions'!$C$10:$C$126,'fuels and tailpipe emissions'!$A$10:$A$126,'vehicles specifications'!$F35,'fuels and tailpipe emissions'!$B$10:$B$126,'vehicles specifications'!BB$2)/1000*$AQ35</f>
        <v>1.0350830436621825E-5</v>
      </c>
      <c r="BC35" s="7">
        <f>SUMIFS('fuels and tailpipe emissions'!$C$10:$C$126,'fuels and tailpipe emissions'!$A$10:$A$126,'vehicles specifications'!$F35,'fuels and tailpipe emissions'!$B$10:$B$126,'vehicles specifications'!BC$2)/1000*$AQ35</f>
        <v>6.3179009528227666E-4</v>
      </c>
      <c r="BD35" s="7">
        <f>SUMIFS('fuels and tailpipe emissions'!$C$10:$C$126,'fuels and tailpipe emissions'!$A$10:$A$126,'vehicles specifications'!$F35,'fuels and tailpipe emissions'!$B$10:$B$126,'vehicles specifications'!BD$2)/1000*$AQ35</f>
        <v>4.4549301590416936E-5</v>
      </c>
      <c r="BE35" s="7">
        <f>SUMIFS('fuels and tailpipe emissions'!$C$10:$C$126,'fuels and tailpipe emissions'!$A$10:$A$126,'vehicles specifications'!$F35,'fuels and tailpipe emissions'!$B$10:$B$126,'vehicles specifications'!BE$2)/1000*$AQ35</f>
        <v>9.0774438977338592E-6</v>
      </c>
      <c r="BF35" s="7">
        <f>SUMIFS('fuels and tailpipe emissions'!$C$10:$C$126,'fuels and tailpipe emissions'!$A$10:$A$126,'vehicles specifications'!$F35,'fuels and tailpipe emissions'!$B$10:$B$126,'vehicles specifications'!BF$2)/1000*$AQ35</f>
        <v>7.3178163114039118E-5</v>
      </c>
      <c r="BG35" s="7">
        <f>SUMIFS('fuels and tailpipe emissions'!$C$10:$C$126,'fuels and tailpipe emissions'!$A$10:$A$126,'vehicles specifications'!$F35,'fuels and tailpipe emissions'!$B$10:$B$126,'vehicles specifications'!BG$2)/1000*$AQ35</f>
        <v>3.0025391354042764E-5</v>
      </c>
      <c r="BH35" s="7">
        <f>SUMIFS('fuels and tailpipe emissions'!$C$10:$C$126,'fuels and tailpipe emissions'!$A$10:$A$126,'vehicles specifications'!$F35,'fuels and tailpipe emissions'!$B$10:$B$126,'vehicles specifications'!BH$2)/1000*$AQ35</f>
        <v>2.248413026977156E-5</v>
      </c>
      <c r="BI35" s="7">
        <f>SUMIFS('fuels and tailpipe emissions'!$C$10:$C$126,'fuels and tailpipe emissions'!$A$10:$A$126,'vehicles specifications'!$F35,'fuels and tailpipe emissions'!$B$10:$B$126,'vehicles specifications'!BI$2)/1000*$AQ35</f>
        <v>1.5920440066794769E-5</v>
      </c>
      <c r="BJ35" s="7">
        <f>SUMIFS('fuels and tailpipe emissions'!$C$10:$C$126,'fuels and tailpipe emissions'!$A$10:$A$126,'vehicles specifications'!$F35,'fuels and tailpipe emissions'!$B$10:$B$126,'vehicles specifications'!BJ$2)/1000*$AQ35</f>
        <v>1.0334320745112393E-5</v>
      </c>
      <c r="BK35" s="7">
        <f>SUMIFS('fuels and tailpipe emissions'!$C$10:$C$126,'fuels and tailpipe emissions'!$A$10:$A$126,'vehicles specifications'!$F35,'fuels and tailpipe emissions'!$B$10:$B$126,'vehicles specifications'!BK$2)/1000*$AQ35</f>
        <v>1.0194667762070334E-4</v>
      </c>
      <c r="BL35" s="7">
        <f>SUMIFS('fuels and tailpipe emissions'!$C$10:$C$126,'fuels and tailpipe emissions'!$A$10:$A$126,'vehicles specifications'!$F35,'fuels and tailpipe emissions'!$B$10:$B$126,'vehicles specifications'!BL$2)/1000*$AQ35</f>
        <v>5.3347439522066674E-5</v>
      </c>
      <c r="BM35" s="7">
        <f>SUMIFS('fuels and tailpipe emissions'!$C$10:$C$126,'fuels and tailpipe emissions'!$A$10:$A$126,'vehicles specifications'!$F35,'fuels and tailpipe emissions'!$B$10:$B$126,'vehicles specifications'!BM$2)/1000*$AQ35</f>
        <v>1.5361828134626532E-6</v>
      </c>
      <c r="BN35" s="7">
        <f>SUMIFS('fuels and tailpipe emissions'!$C$10:$C$126,'fuels and tailpipe emissions'!$A$10:$A$126,'vehicles specifications'!$F35,'fuels and tailpipe emissions'!$B$10:$B$126,'vehicles specifications'!BN$2)/1000*$AQ35</f>
        <v>7.8345323486595295E-5</v>
      </c>
      <c r="BO35" s="7">
        <f>SUMIFS('fuels and tailpipe emissions'!$C$10:$C$126,'fuels and tailpipe emissions'!$A$10:$A$126,'vehicles specifications'!$F35,'fuels and tailpipe emissions'!$B$10:$B$126,'vehicles specifications'!BO$2)/1000*$AQ35</f>
        <v>1.5333897538018121E-4</v>
      </c>
      <c r="BP35" s="7">
        <f>SUMIFS('fuels and tailpipe emissions'!$C$10:$C$126,'fuels and tailpipe emissions'!$A$10:$A$126,'vehicles specifications'!$F35,'fuels and tailpipe emissions'!$B$10:$B$126,'vehicles specifications'!BP$2)/1000*$AQ35</f>
        <v>7.583156979183825E-5</v>
      </c>
      <c r="BQ35" s="7">
        <f>SUMIFS('fuels and tailpipe emissions'!$C$10:$C$126,'fuels and tailpipe emissions'!$A$10:$A$126,'vehicles specifications'!$F35,'fuels and tailpipe emissions'!$B$10:$B$126,'vehicles specifications'!BQ$2)/1000*$AQ35</f>
        <v>3.1561574167505416E-5</v>
      </c>
      <c r="BR35" s="7">
        <f>SUMIFS('fuels and tailpipe emissions'!$C$10:$C$126,'fuels and tailpipe emissions'!$A$10:$A$126,'vehicles specifications'!$F35,'fuels and tailpipe emissions'!$B$10:$B$126,'vehicles specifications'!BR$2)/1000*$AQ35</f>
        <v>2.3741007117150096E-5</v>
      </c>
      <c r="BS35" s="7">
        <f>SUMIFS('fuels and tailpipe emissions'!$C$10:$C$126,'fuels and tailpipe emissions'!$A$10:$A$126,'vehicles specifications'!$F35,'fuels and tailpipe emissions'!$B$10:$B$126,'vehicles specifications'!BS$2)/1000*$AQ35</f>
        <v>1.0473973728154453E-5</v>
      </c>
      <c r="BT35" s="7">
        <f>SUMIFS('fuels and tailpipe emissions'!$C$10:$C$126,'fuels and tailpipe emissions'!$A$10:$A$126,'vehicles specifications'!$F35,'fuels and tailpipe emissions'!$B$10:$B$126,'vehicles specifications'!BT$2)/1000*$AQ35</f>
        <v>3.0723656269253065E-6</v>
      </c>
      <c r="BU35" s="7">
        <f>SUMIFS('fuels and tailpipe emissions'!$C$10:$C$126,'fuels and tailpipe emissions'!$A$10:$A$126,'vehicles specifications'!$F35,'fuels and tailpipe emissions'!$B$10:$B$126,'vehicles specifications'!BU$2)/1000*$AQ35</f>
        <v>8.5188319655656235E-6</v>
      </c>
      <c r="BV35" s="7">
        <f>SUMIFS('fuels and tailpipe emissions'!$C$10:$C$126,'fuels and tailpipe emissions'!$A$10:$A$126,'vehicles specifications'!$F35,'fuels and tailpipe emissions'!$B$10:$B$126,'vehicles specifications'!BV$2)/1000*$AQ35</f>
        <v>0</v>
      </c>
      <c r="BW35" s="7">
        <f>SUMIFS('fuels and tailpipe emissions'!$C$10:$C$126,'fuels and tailpipe emissions'!$A$10:$A$126,'vehicles specifications'!$F35,'fuels and tailpipe emissions'!$B$10:$B$126,'vehicles specifications'!BW$2)/1000*$AQ35</f>
        <v>2.653406677799128E-6</v>
      </c>
      <c r="BX35" s="7">
        <f>SUMIFS('fuels and tailpipe emissions'!$C$10:$C$126,'fuels and tailpipe emissions'!$A$10:$A$126,'vehicles specifications'!$F35,'fuels and tailpipe emissions'!$B$10:$B$126,'vehicles specifications'!BX$2)/1000*$AQ35</f>
        <v>1.4104951287247996E-5</v>
      </c>
      <c r="BY35" s="7">
        <f>SUMIFS('fuels and tailpipe emissions'!$C$10:$C$126,'fuels and tailpipe emissions'!$A$10:$A$126,'vehicles specifications'!$F35,'fuels and tailpipe emissions'!$B$10:$B$126,'vehicles specifications'!BY$2)/1000*$AQ35</f>
        <v>4.4840784773127008E-8</v>
      </c>
      <c r="BZ35" s="7">
        <f>SUMIFS('fuels and tailpipe emissions'!$C$10:$C$126,'fuels and tailpipe emissions'!$A$10:$A$126,'vehicles specifications'!$F35,'fuels and tailpipe emissions'!$B$10:$B$126,'vehicles specifications'!BZ$2)/1000*$AQ35</f>
        <v>3.8655848942350867E-10</v>
      </c>
      <c r="CA35" s="7">
        <f>SUMIFS('fuels and tailpipe emissions'!$C$10:$C$126,'fuels and tailpipe emissions'!$A$10:$A$126,'vehicles specifications'!$F35,'fuels and tailpipe emissions'!$B$10:$B$126,'vehicles specifications'!CA$2)/1000*$AQ35</f>
        <v>2.5770565961567248E-10</v>
      </c>
      <c r="CB35" s="7">
        <f>SUMIFS('fuels and tailpipe emissions'!$C$10:$C$126,'fuels and tailpipe emissions'!$A$10:$A$126,'vehicles specifications'!$F35,'fuels and tailpipe emissions'!$B$10:$B$126,'vehicles specifications'!CB$2)/1000*$AQ35</f>
        <v>2.7832211238492627E-6</v>
      </c>
      <c r="CC35" s="7">
        <f>SUMIFS('fuels and tailpipe emissions'!$C$10:$C$126,'fuels and tailpipe emissions'!$A$10:$A$126,'vehicles specifications'!$F35,'fuels and tailpipe emissions'!$B$10:$B$126,'vehicles specifications'!CC$2)/1000*$AQ35</f>
        <v>5.4118188519291219E-8</v>
      </c>
      <c r="CD35" s="7">
        <f>SUMIFS('fuels and tailpipe emissions'!$C$10:$C$126,'fuels and tailpipe emissions'!$A$10:$A$126,'vehicles specifications'!$F35,'fuels and tailpipe emissions'!$B$10:$B$126,'vehicles specifications'!CD$2)/1000*$AQ35</f>
        <v>1.675086787501871E-8</v>
      </c>
      <c r="CE35" s="7">
        <f>SUMIFS('fuels and tailpipe emissions'!$C$10:$C$126,'fuels and tailpipe emissions'!$A$10:$A$126,'vehicles specifications'!$F35,'fuels and tailpipe emissions'!$B$10:$B$126,'vehicles specifications'!CE$2)/1000*$AQ35</f>
        <v>2.0616452769253802E-8</v>
      </c>
      <c r="CF35" s="7">
        <f>SUMIFS('fuels and tailpipe emissions'!$C$10:$C$126,'fuels and tailpipe emissions'!$A$10:$A$126,'vehicles specifications'!$F35,'fuels and tailpipe emissions'!$B$10:$B$126,'vehicles specifications'!CF$2)/1000*$AQ35</f>
        <v>4.1232905538507593E-11</v>
      </c>
      <c r="CG35" s="7">
        <f>SUMIFS('fuels and tailpipe emissions'!$C$10:$C$126,'fuels and tailpipe emissions'!$A$10:$A$126,'vehicles specifications'!$F35,'fuels and tailpipe emissions'!$B$10:$B$126,'vehicles specifications'!CG$2)/1000*$AQ35</f>
        <v>1.1210196193281752E-8</v>
      </c>
      <c r="CH35" s="7">
        <f>SUMIFS('fuels and tailpipe emissions'!$C$10:$C$126,'fuels and tailpipe emissions'!$A$10:$A$126,'vehicles specifications'!$F35,'fuels and tailpipe emissions'!$B$10:$B$126,'vehicles specifications'!CH$2)/1000*$AQ35</f>
        <v>1.3916105619246315E-8</v>
      </c>
      <c r="CI35" s="7">
        <f>VLOOKUP(B35,'abrasion emissions'!$A$4:$D$32,4,FALSE)</f>
        <v>6.0000000000000002E-6</v>
      </c>
      <c r="CJ35" s="7">
        <f>VLOOKUP(B35,'abrasion emissions'!$A$4:$D$32,2,FALSE)</f>
        <v>6.3939999999999993E-6</v>
      </c>
      <c r="CK35" s="7">
        <f>VLOOKUP(B35,'abrasion emissions'!$A$4:$D$32,3,FALSE)</f>
        <v>6.1789999999999996E-6</v>
      </c>
    </row>
    <row r="36" spans="1:89" s="21" customFormat="1" x14ac:dyDescent="0.3">
      <c r="A36" s="21" t="str">
        <f t="shared" si="17"/>
        <v>Scooter, gasoline, &lt;4kW, EURO-5 - 2030 - CH</v>
      </c>
      <c r="B36" s="21" t="s">
        <v>677</v>
      </c>
      <c r="D36" s="21">
        <v>2030</v>
      </c>
      <c r="E36" s="21" t="s">
        <v>37</v>
      </c>
      <c r="F36" s="21" t="s">
        <v>149</v>
      </c>
      <c r="G36" s="21" t="s">
        <v>39</v>
      </c>
      <c r="H36" s="21" t="s">
        <v>35</v>
      </c>
      <c r="J36" s="21">
        <v>33400</v>
      </c>
      <c r="K36" s="21">
        <v>2553</v>
      </c>
      <c r="L36" s="2">
        <f t="shared" si="18"/>
        <v>13.082647865256561</v>
      </c>
      <c r="M36" s="21">
        <v>1</v>
      </c>
      <c r="N36" s="21">
        <v>70</v>
      </c>
      <c r="O36" s="21">
        <v>4</v>
      </c>
      <c r="P36" s="2">
        <f t="shared" si="19"/>
        <v>88.447499999999991</v>
      </c>
      <c r="Q36" s="2">
        <f t="shared" si="20"/>
        <v>162.44749999999999</v>
      </c>
      <c r="R36" s="21">
        <v>2.8</v>
      </c>
      <c r="S36" s="2">
        <v>53</v>
      </c>
      <c r="T36" s="1">
        <v>0.03</v>
      </c>
      <c r="U36" s="2">
        <f t="shared" si="21"/>
        <v>51.41</v>
      </c>
      <c r="V36" s="21">
        <v>31</v>
      </c>
      <c r="W36" s="21">
        <v>0</v>
      </c>
      <c r="X36" s="3">
        <v>0</v>
      </c>
      <c r="Y36" s="1">
        <v>0.8</v>
      </c>
      <c r="Z36" s="3">
        <f t="shared" si="22"/>
        <v>0</v>
      </c>
      <c r="AA36" s="3">
        <v>0</v>
      </c>
      <c r="AB36" s="3">
        <v>0</v>
      </c>
      <c r="AC36" s="3">
        <f t="shared" si="23"/>
        <v>0</v>
      </c>
      <c r="AD36" s="3">
        <v>0</v>
      </c>
      <c r="AE36" s="3">
        <v>7</v>
      </c>
      <c r="AF36" s="21">
        <f>AE36*'fuels and tailpipe emissions'!$B$3</f>
        <v>5.25</v>
      </c>
      <c r="AG36" s="2">
        <f>AF36*'fuels and tailpipe emissions'!$C$3</f>
        <v>61.833333333333329</v>
      </c>
      <c r="AH36" s="3">
        <f t="shared" si="24"/>
        <v>0.78749999999999998</v>
      </c>
      <c r="AI36" s="21">
        <v>0</v>
      </c>
      <c r="AJ36" s="21">
        <v>0</v>
      </c>
      <c r="AK36" s="21">
        <f t="shared" si="25"/>
        <v>1</v>
      </c>
      <c r="AL36" s="21">
        <f t="shared" si="26"/>
        <v>8.723430749999999E-5</v>
      </c>
      <c r="AM36" s="21">
        <v>1.2899999999999999E-3</v>
      </c>
      <c r="AN36" s="2">
        <f t="shared" si="27"/>
        <v>51.41</v>
      </c>
      <c r="AO36" s="2">
        <f t="shared" si="28"/>
        <v>31</v>
      </c>
      <c r="AP36" s="2">
        <f t="shared" si="29"/>
        <v>0</v>
      </c>
      <c r="AQ36" s="6">
        <v>1.2756430150975786</v>
      </c>
      <c r="AR36" s="6" t="str">
        <f>IF($H36="BEV",SUMPRODUCT(#REF!,#REF!),"")</f>
        <v/>
      </c>
      <c r="AS36" s="2">
        <f>SUM(Z36,AG36)/(SUM(AQ36:AR36)/3.6)</f>
        <v>174.5002303665438</v>
      </c>
      <c r="AT36" s="5">
        <f>IF($H36="ICEV-p",$AQ36/('fuels and tailpipe emissions'!$C$3*3.6)*'fuels and tailpipe emissions'!$D$3,"")</f>
        <v>9.5673226132318406E-2</v>
      </c>
      <c r="AU36" s="7">
        <f>IF($H36="ICEV-p",$AQ36/('fuels and tailpipe emissions'!$C$3*3.6)*'fuels and tailpipe emissions'!$E$3,"")</f>
        <v>4.8137472267833157E-7</v>
      </c>
      <c r="AV36" s="7">
        <f>SUMIFS('fuels and tailpipe emissions'!$C$10:$C$126,'fuels and tailpipe emissions'!$A$10:$A$126,'vehicles specifications'!$F36,'fuels and tailpipe emissions'!$B$10:$B$126,'vehicles specifications'!AV$2)/1000*$AQ36</f>
        <v>7.7561870251729333E-5</v>
      </c>
      <c r="AW36" s="7">
        <f>SUMIFS('fuels and tailpipe emissions'!$C$10:$C$126,'fuels and tailpipe emissions'!$A$10:$A$126,'vehicles specifications'!$F36,'fuels and tailpipe emissions'!$B$10:$B$126,'vehicles specifications'!AW$2)/1000*$AQ36</f>
        <v>3.516885238146577E-5</v>
      </c>
      <c r="AX36" s="7">
        <f>SUMIFS('fuels and tailpipe emissions'!$C$10:$C$126,'fuels and tailpipe emissions'!$A$10:$A$126,'vehicles specifications'!$F36,'fuels and tailpipe emissions'!$B$10:$B$126,'vehicles specifications'!AX$2)/1000*$AQ36</f>
        <v>3.7187487115663853E-3</v>
      </c>
      <c r="AY36" s="7">
        <f>SUMIFS('fuels and tailpipe emissions'!$C$10:$C$126,'fuels and tailpipe emissions'!$A$10:$A$126,'vehicles specifications'!$F36,'fuels and tailpipe emissions'!$B$10:$B$126,'vehicles specifications'!AY$2)/1000*$AQ36</f>
        <v>1.7843151893184062E-6</v>
      </c>
      <c r="AZ36" s="7">
        <f>SUMIFS('fuels and tailpipe emissions'!$C$10:$C$126,'fuels and tailpipe emissions'!$A$10:$A$126,'vehicles specifications'!$F36,'fuels and tailpipe emissions'!$B$10:$B$126,'vehicles specifications'!AZ$2)/1000*$AQ36</f>
        <v>1.7843151893184062E-6</v>
      </c>
      <c r="BA36" s="7">
        <f>SUMIFS('fuels and tailpipe emissions'!$C$10:$C$126,'fuels and tailpipe emissions'!$A$10:$A$126,'vehicles specifications'!$F36,'fuels and tailpipe emissions'!$B$10:$B$126,'vehicles specifications'!BA$2)/1000*$AQ36</f>
        <v>1.3380706087665241E-4</v>
      </c>
      <c r="BB36" s="7">
        <f>SUMIFS('fuels and tailpipe emissions'!$C$10:$C$126,'fuels and tailpipe emissions'!$A$10:$A$126,'vehicles specifications'!$F36,'fuels and tailpipe emissions'!$B$10:$B$126,'vehicles specifications'!BB$2)/1000*$AQ36</f>
        <v>1.0247322132255605E-5</v>
      </c>
      <c r="BC36" s="7">
        <f>SUMIFS('fuels and tailpipe emissions'!$C$10:$C$126,'fuels and tailpipe emissions'!$A$10:$A$126,'vehicles specifications'!$F36,'fuels and tailpipe emissions'!$B$10:$B$126,'vehicles specifications'!BC$2)/1000*$AQ36</f>
        <v>6.2547219432945386E-4</v>
      </c>
      <c r="BD36" s="7">
        <f>SUMIFS('fuels and tailpipe emissions'!$C$10:$C$126,'fuels and tailpipe emissions'!$A$10:$A$126,'vehicles specifications'!$F36,'fuels and tailpipe emissions'!$B$10:$B$126,'vehicles specifications'!BD$2)/1000*$AQ36</f>
        <v>4.4103808574512766E-5</v>
      </c>
      <c r="BE36" s="7">
        <f>SUMIFS('fuels and tailpipe emissions'!$C$10:$C$126,'fuels and tailpipe emissions'!$A$10:$A$126,'vehicles specifications'!$F36,'fuels and tailpipe emissions'!$B$10:$B$126,'vehicles specifications'!BE$2)/1000*$AQ36</f>
        <v>8.9866694587565205E-6</v>
      </c>
      <c r="BF36" s="7">
        <f>SUMIFS('fuels and tailpipe emissions'!$C$10:$C$126,'fuels and tailpipe emissions'!$A$10:$A$126,'vehicles specifications'!$F36,'fuels and tailpipe emissions'!$B$10:$B$126,'vehicles specifications'!BF$2)/1000*$AQ36</f>
        <v>7.2446381482898714E-5</v>
      </c>
      <c r="BG36" s="7">
        <f>SUMIFS('fuels and tailpipe emissions'!$C$10:$C$126,'fuels and tailpipe emissions'!$A$10:$A$126,'vehicles specifications'!$F36,'fuels and tailpipe emissions'!$B$10:$B$126,'vehicles specifications'!BG$2)/1000*$AQ36</f>
        <v>2.9725137440502336E-5</v>
      </c>
      <c r="BH36" s="7">
        <f>SUMIFS('fuels and tailpipe emissions'!$C$10:$C$126,'fuels and tailpipe emissions'!$A$10:$A$126,'vehicles specifications'!$F36,'fuels and tailpipe emissions'!$B$10:$B$126,'vehicles specifications'!BH$2)/1000*$AQ36</f>
        <v>2.2259288967073843E-5</v>
      </c>
      <c r="BI36" s="7">
        <f>SUMIFS('fuels and tailpipe emissions'!$C$10:$C$126,'fuels and tailpipe emissions'!$A$10:$A$126,'vehicles specifications'!$F36,'fuels and tailpipe emissions'!$B$10:$B$126,'vehicles specifications'!BI$2)/1000*$AQ36</f>
        <v>1.5761235666126822E-5</v>
      </c>
      <c r="BJ36" s="7">
        <f>SUMIFS('fuels and tailpipe emissions'!$C$10:$C$126,'fuels and tailpipe emissions'!$A$10:$A$126,'vehicles specifications'!$F36,'fuels and tailpipe emissions'!$B$10:$B$126,'vehicles specifications'!BJ$2)/1000*$AQ36</f>
        <v>1.0230977537661269E-5</v>
      </c>
      <c r="BK36" s="7">
        <f>SUMIFS('fuels and tailpipe emissions'!$C$10:$C$126,'fuels and tailpipe emissions'!$A$10:$A$126,'vehicles specifications'!$F36,'fuels and tailpipe emissions'!$B$10:$B$126,'vehicles specifications'!BK$2)/1000*$AQ36</f>
        <v>1.009272108444963E-4</v>
      </c>
      <c r="BL36" s="7">
        <f>SUMIFS('fuels and tailpipe emissions'!$C$10:$C$126,'fuels and tailpipe emissions'!$A$10:$A$126,'vehicles specifications'!$F36,'fuels and tailpipe emissions'!$B$10:$B$126,'vehicles specifications'!BL$2)/1000*$AQ36</f>
        <v>5.2813965126846007E-5</v>
      </c>
      <c r="BM36" s="7">
        <f>SUMIFS('fuels and tailpipe emissions'!$C$10:$C$126,'fuels and tailpipe emissions'!$A$10:$A$126,'vehicles specifications'!$F36,'fuels and tailpipe emissions'!$B$10:$B$126,'vehicles specifications'!BM$2)/1000*$AQ36</f>
        <v>1.5208209853280265E-6</v>
      </c>
      <c r="BN36" s="7">
        <f>SUMIFS('fuels and tailpipe emissions'!$C$10:$C$126,'fuels and tailpipe emissions'!$A$10:$A$126,'vehicles specifications'!$F36,'fuels and tailpipe emissions'!$B$10:$B$126,'vehicles specifications'!BN$2)/1000*$AQ36</f>
        <v>7.7561870251729333E-5</v>
      </c>
      <c r="BO36" s="7">
        <f>SUMIFS('fuels and tailpipe emissions'!$C$10:$C$126,'fuels and tailpipe emissions'!$A$10:$A$126,'vehicles specifications'!$F36,'fuels and tailpipe emissions'!$B$10:$B$126,'vehicles specifications'!BO$2)/1000*$AQ36</f>
        <v>1.5180558562637937E-4</v>
      </c>
      <c r="BP36" s="7">
        <f>SUMIFS('fuels and tailpipe emissions'!$C$10:$C$126,'fuels and tailpipe emissions'!$A$10:$A$126,'vehicles specifications'!$F36,'fuels and tailpipe emissions'!$B$10:$B$126,'vehicles specifications'!BP$2)/1000*$AQ36</f>
        <v>7.5073254093919859E-5</v>
      </c>
      <c r="BQ36" s="7">
        <f>SUMIFS('fuels and tailpipe emissions'!$C$10:$C$126,'fuels and tailpipe emissions'!$A$10:$A$126,'vehicles specifications'!$F36,'fuels and tailpipe emissions'!$B$10:$B$126,'vehicles specifications'!BQ$2)/1000*$AQ36</f>
        <v>3.1245958425830361E-5</v>
      </c>
      <c r="BR36" s="7">
        <f>SUMIFS('fuels and tailpipe emissions'!$C$10:$C$126,'fuels and tailpipe emissions'!$A$10:$A$126,'vehicles specifications'!$F36,'fuels and tailpipe emissions'!$B$10:$B$126,'vehicles specifications'!BR$2)/1000*$AQ36</f>
        <v>2.3503597045978593E-5</v>
      </c>
      <c r="BS36" s="7">
        <f>SUMIFS('fuels and tailpipe emissions'!$C$10:$C$126,'fuels and tailpipe emissions'!$A$10:$A$126,'vehicles specifications'!$F36,'fuels and tailpipe emissions'!$B$10:$B$126,'vehicles specifications'!BS$2)/1000*$AQ36</f>
        <v>1.0369233990872907E-5</v>
      </c>
      <c r="BT36" s="7">
        <f>SUMIFS('fuels and tailpipe emissions'!$C$10:$C$126,'fuels and tailpipe emissions'!$A$10:$A$126,'vehicles specifications'!$F36,'fuels and tailpipe emissions'!$B$10:$B$126,'vehicles specifications'!BT$2)/1000*$AQ36</f>
        <v>3.0416419706560531E-6</v>
      </c>
      <c r="BU36" s="7">
        <f>SUMIFS('fuels and tailpipe emissions'!$C$10:$C$126,'fuels and tailpipe emissions'!$A$10:$A$126,'vehicles specifications'!$F36,'fuels and tailpipe emissions'!$B$10:$B$126,'vehicles specifications'!BU$2)/1000*$AQ36</f>
        <v>8.4336436459099656E-6</v>
      </c>
      <c r="BV36" s="7">
        <f>SUMIFS('fuels and tailpipe emissions'!$C$10:$C$126,'fuels and tailpipe emissions'!$A$10:$A$126,'vehicles specifications'!$F36,'fuels and tailpipe emissions'!$B$10:$B$126,'vehicles specifications'!BV$2)/1000*$AQ36</f>
        <v>0</v>
      </c>
      <c r="BW36" s="7">
        <f>SUMIFS('fuels and tailpipe emissions'!$C$10:$C$126,'fuels and tailpipe emissions'!$A$10:$A$126,'vehicles specifications'!$F36,'fuels and tailpipe emissions'!$B$10:$B$126,'vehicles specifications'!BW$2)/1000*$AQ36</f>
        <v>2.6268726110211365E-6</v>
      </c>
      <c r="BX36" s="7">
        <f>SUMIFS('fuels and tailpipe emissions'!$C$10:$C$126,'fuels and tailpipe emissions'!$A$10:$A$126,'vehicles specifications'!$F36,'fuels and tailpipe emissions'!$B$10:$B$126,'vehicles specifications'!BX$2)/1000*$AQ36</f>
        <v>1.3963901774375514E-5</v>
      </c>
      <c r="BY36" s="7">
        <f>SUMIFS('fuels and tailpipe emissions'!$C$10:$C$126,'fuels and tailpipe emissions'!$A$10:$A$126,'vehicles specifications'!$F36,'fuels and tailpipe emissions'!$B$10:$B$126,'vehicles specifications'!BY$2)/1000*$AQ36</f>
        <v>4.4392376925395736E-8</v>
      </c>
      <c r="BZ36" s="7">
        <f>SUMIFS('fuels and tailpipe emissions'!$C$10:$C$126,'fuels and tailpipe emissions'!$A$10:$A$126,'vehicles specifications'!$F36,'fuels and tailpipe emissions'!$B$10:$B$126,'vehicles specifications'!BZ$2)/1000*$AQ36</f>
        <v>3.826929045292736E-10</v>
      </c>
      <c r="CA36" s="7">
        <f>SUMIFS('fuels and tailpipe emissions'!$C$10:$C$126,'fuels and tailpipe emissions'!$A$10:$A$126,'vehicles specifications'!$F36,'fuels and tailpipe emissions'!$B$10:$B$126,'vehicles specifications'!CA$2)/1000*$AQ36</f>
        <v>2.5512860301951575E-10</v>
      </c>
      <c r="CB36" s="7">
        <f>SUMIFS('fuels and tailpipe emissions'!$C$10:$C$126,'fuels and tailpipe emissions'!$A$10:$A$126,'vehicles specifications'!$F36,'fuels and tailpipe emissions'!$B$10:$B$126,'vehicles specifications'!CB$2)/1000*$AQ36</f>
        <v>2.75538891261077E-6</v>
      </c>
      <c r="CC36" s="7">
        <f>SUMIFS('fuels and tailpipe emissions'!$C$10:$C$126,'fuels and tailpipe emissions'!$A$10:$A$126,'vehicles specifications'!$F36,'fuels and tailpipe emissions'!$B$10:$B$126,'vehicles specifications'!CC$2)/1000*$AQ36</f>
        <v>5.35770066340983E-8</v>
      </c>
      <c r="CD36" s="7">
        <f>SUMIFS('fuels and tailpipe emissions'!$C$10:$C$126,'fuels and tailpipe emissions'!$A$10:$A$126,'vehicles specifications'!$F36,'fuels and tailpipe emissions'!$B$10:$B$126,'vehicles specifications'!CD$2)/1000*$AQ36</f>
        <v>1.6583359196268521E-8</v>
      </c>
      <c r="CE36" s="7">
        <f>SUMIFS('fuels and tailpipe emissions'!$C$10:$C$126,'fuels and tailpipe emissions'!$A$10:$A$126,'vehicles specifications'!$F36,'fuels and tailpipe emissions'!$B$10:$B$126,'vehicles specifications'!CE$2)/1000*$AQ36</f>
        <v>2.0410288241561264E-8</v>
      </c>
      <c r="CF36" s="7">
        <f>SUMIFS('fuels and tailpipe emissions'!$C$10:$C$126,'fuels and tailpipe emissions'!$A$10:$A$126,'vehicles specifications'!$F36,'fuels and tailpipe emissions'!$B$10:$B$126,'vehicles specifications'!CF$2)/1000*$AQ36</f>
        <v>4.0820576483122511E-11</v>
      </c>
      <c r="CG36" s="7">
        <f>SUMIFS('fuels and tailpipe emissions'!$C$10:$C$126,'fuels and tailpipe emissions'!$A$10:$A$126,'vehicles specifications'!$F36,'fuels and tailpipe emissions'!$B$10:$B$126,'vehicles specifications'!CG$2)/1000*$AQ36</f>
        <v>1.1098094231348934E-8</v>
      </c>
      <c r="CH36" s="7">
        <f>SUMIFS('fuels and tailpipe emissions'!$C$10:$C$126,'fuels and tailpipe emissions'!$A$10:$A$126,'vehicles specifications'!$F36,'fuels and tailpipe emissions'!$B$10:$B$126,'vehicles specifications'!CH$2)/1000*$AQ36</f>
        <v>1.3776944563053849E-8</v>
      </c>
      <c r="CI36" s="7">
        <f>VLOOKUP(B36,'abrasion emissions'!$A$4:$D$32,4,FALSE)</f>
        <v>6.0000000000000002E-6</v>
      </c>
      <c r="CJ36" s="7">
        <f>VLOOKUP(B36,'abrasion emissions'!$A$4:$D$32,2,FALSE)</f>
        <v>6.3939999999999993E-6</v>
      </c>
      <c r="CK36" s="7">
        <f>VLOOKUP(B36,'abrasion emissions'!$A$4:$D$32,3,FALSE)</f>
        <v>6.1789999999999996E-6</v>
      </c>
    </row>
    <row r="37" spans="1:89" s="21" customFormat="1" x14ac:dyDescent="0.3">
      <c r="A37" s="21" t="str">
        <f t="shared" si="17"/>
        <v>Scooter, gasoline, &lt;4kW, EURO-5 - 2040 - CH</v>
      </c>
      <c r="B37" s="21" t="s">
        <v>677</v>
      </c>
      <c r="D37" s="21">
        <v>2040</v>
      </c>
      <c r="E37" s="21" t="s">
        <v>37</v>
      </c>
      <c r="F37" s="21" t="s">
        <v>149</v>
      </c>
      <c r="G37" s="21" t="s">
        <v>39</v>
      </c>
      <c r="H37" s="21" t="s">
        <v>35</v>
      </c>
      <c r="J37" s="21">
        <v>33400</v>
      </c>
      <c r="K37" s="21">
        <v>2553</v>
      </c>
      <c r="L37" s="2">
        <f t="shared" si="18"/>
        <v>13.082647865256561</v>
      </c>
      <c r="M37" s="21">
        <v>1</v>
      </c>
      <c r="N37" s="21">
        <v>70</v>
      </c>
      <c r="O37" s="21">
        <v>4</v>
      </c>
      <c r="P37" s="2">
        <f t="shared" si="19"/>
        <v>86.487499999999983</v>
      </c>
      <c r="Q37" s="2">
        <f t="shared" si="20"/>
        <v>160.48749999999998</v>
      </c>
      <c r="R37" s="21">
        <v>2.8</v>
      </c>
      <c r="S37" s="2">
        <v>53</v>
      </c>
      <c r="T37" s="1">
        <v>0.05</v>
      </c>
      <c r="U37" s="2">
        <f t="shared" si="21"/>
        <v>50.349999999999994</v>
      </c>
      <c r="V37" s="21">
        <v>30.1</v>
      </c>
      <c r="W37" s="21">
        <v>0</v>
      </c>
      <c r="X37" s="3">
        <v>0</v>
      </c>
      <c r="Y37" s="1">
        <v>0.8</v>
      </c>
      <c r="Z37" s="3">
        <f t="shared" si="22"/>
        <v>0</v>
      </c>
      <c r="AA37" s="3">
        <v>0</v>
      </c>
      <c r="AB37" s="3">
        <v>0</v>
      </c>
      <c r="AC37" s="3">
        <f t="shared" si="23"/>
        <v>0</v>
      </c>
      <c r="AD37" s="3">
        <v>0</v>
      </c>
      <c r="AE37" s="3">
        <v>7</v>
      </c>
      <c r="AF37" s="21">
        <f>AE37*'fuels and tailpipe emissions'!$B$3</f>
        <v>5.25</v>
      </c>
      <c r="AG37" s="2">
        <f>AF37*'fuels and tailpipe emissions'!$C$3</f>
        <v>61.833333333333329</v>
      </c>
      <c r="AH37" s="3">
        <f t="shared" si="24"/>
        <v>0.78749999999999998</v>
      </c>
      <c r="AI37" s="21">
        <v>0</v>
      </c>
      <c r="AJ37" s="21">
        <v>0</v>
      </c>
      <c r="AK37" s="21">
        <f t="shared" si="25"/>
        <v>1</v>
      </c>
      <c r="AL37" s="21">
        <f t="shared" si="26"/>
        <v>8.6181787499999991E-5</v>
      </c>
      <c r="AM37" s="21">
        <v>1.2899999999999999E-3</v>
      </c>
      <c r="AN37" s="2">
        <f t="shared" si="27"/>
        <v>50.349999999999994</v>
      </c>
      <c r="AO37" s="2">
        <f t="shared" si="28"/>
        <v>30.1</v>
      </c>
      <c r="AP37" s="2">
        <f t="shared" si="29"/>
        <v>0</v>
      </c>
      <c r="AQ37" s="6">
        <v>1.2628865849466029</v>
      </c>
      <c r="AR37" s="6" t="str">
        <f>IF($H37="BEV",SUMPRODUCT(#REF!,#REF!),"")</f>
        <v/>
      </c>
      <c r="AS37" s="2">
        <f>SUM(Z37,AG37)/(SUM(AQ37:AR37)/3.6)</f>
        <v>176.26285895610485</v>
      </c>
      <c r="AT37" s="5">
        <f>IF($H37="ICEV-p",$AQ37/('fuels and tailpipe emissions'!$C$3*3.6)*'fuels and tailpipe emissions'!$D$3,"")</f>
        <v>9.4716493870995233E-2</v>
      </c>
      <c r="AU37" s="7">
        <f>IF($H37="ICEV-p",$AQ37/('fuels and tailpipe emissions'!$C$3*3.6)*'fuels and tailpipe emissions'!$E$3,"")</f>
        <v>4.7656097545154825E-7</v>
      </c>
      <c r="AV37" s="7">
        <f>SUMIFS('fuels and tailpipe emissions'!$C$10:$C$126,'fuels and tailpipe emissions'!$A$10:$A$126,'vehicles specifications'!$F37,'fuels and tailpipe emissions'!$B$10:$B$126,'vehicles specifications'!AV$2)/1000*$AQ37</f>
        <v>7.6786251549212049E-5</v>
      </c>
      <c r="AW37" s="7">
        <f>SUMIFS('fuels and tailpipe emissions'!$C$10:$C$126,'fuels and tailpipe emissions'!$A$10:$A$126,'vehicles specifications'!$F37,'fuels and tailpipe emissions'!$B$10:$B$126,'vehicles specifications'!AW$2)/1000*$AQ37</f>
        <v>3.4817163857651117E-5</v>
      </c>
      <c r="AX37" s="7">
        <f>SUMIFS('fuels and tailpipe emissions'!$C$10:$C$126,'fuels and tailpipe emissions'!$A$10:$A$126,'vehicles specifications'!$F37,'fuels and tailpipe emissions'!$B$10:$B$126,'vehicles specifications'!AX$2)/1000*$AQ37</f>
        <v>3.6815612244507218E-3</v>
      </c>
      <c r="AY37" s="7">
        <f>SUMIFS('fuels and tailpipe emissions'!$C$10:$C$126,'fuels and tailpipe emissions'!$A$10:$A$126,'vehicles specifications'!$F37,'fuels and tailpipe emissions'!$B$10:$B$126,'vehicles specifications'!AY$2)/1000*$AQ37</f>
        <v>1.7664720374252222E-6</v>
      </c>
      <c r="AZ37" s="7">
        <f>SUMIFS('fuels and tailpipe emissions'!$C$10:$C$126,'fuels and tailpipe emissions'!$A$10:$A$126,'vehicles specifications'!$F37,'fuels and tailpipe emissions'!$B$10:$B$126,'vehicles specifications'!AZ$2)/1000*$AQ37</f>
        <v>1.7664720374252222E-6</v>
      </c>
      <c r="BA37" s="7">
        <f>SUMIFS('fuels and tailpipe emissions'!$C$10:$C$126,'fuels and tailpipe emissions'!$A$10:$A$126,'vehicles specifications'!$F37,'fuels and tailpipe emissions'!$B$10:$B$126,'vehicles specifications'!BA$2)/1000*$AQ37</f>
        <v>1.3246899026788587E-4</v>
      </c>
      <c r="BB37" s="7">
        <f>SUMIFS('fuels and tailpipe emissions'!$C$10:$C$126,'fuels and tailpipe emissions'!$A$10:$A$126,'vehicles specifications'!$F37,'fuels and tailpipe emissions'!$B$10:$B$126,'vehicles specifications'!BB$2)/1000*$AQ37</f>
        <v>1.014484891093305E-5</v>
      </c>
      <c r="BC37" s="7">
        <f>SUMIFS('fuels and tailpipe emissions'!$C$10:$C$126,'fuels and tailpipe emissions'!$A$10:$A$126,'vehicles specifications'!$F37,'fuels and tailpipe emissions'!$B$10:$B$126,'vehicles specifications'!BC$2)/1000*$AQ37</f>
        <v>6.192174723861593E-4</v>
      </c>
      <c r="BD37" s="7">
        <f>SUMIFS('fuels and tailpipe emissions'!$C$10:$C$126,'fuels and tailpipe emissions'!$A$10:$A$126,'vehicles specifications'!$F37,'fuels and tailpipe emissions'!$B$10:$B$126,'vehicles specifications'!BD$2)/1000*$AQ37</f>
        <v>4.3662770488767639E-5</v>
      </c>
      <c r="BE37" s="7">
        <f>SUMIFS('fuels and tailpipe emissions'!$C$10:$C$126,'fuels and tailpipe emissions'!$A$10:$A$126,'vehicles specifications'!$F37,'fuels and tailpipe emissions'!$B$10:$B$126,'vehicles specifications'!BE$2)/1000*$AQ37</f>
        <v>8.8968027641689555E-6</v>
      </c>
      <c r="BF37" s="7">
        <f>SUMIFS('fuels and tailpipe emissions'!$C$10:$C$126,'fuels and tailpipe emissions'!$A$10:$A$126,'vehicles specifications'!$F37,'fuels and tailpipe emissions'!$B$10:$B$126,'vehicles specifications'!BF$2)/1000*$AQ37</f>
        <v>7.1721917668069734E-5</v>
      </c>
      <c r="BG37" s="7">
        <f>SUMIFS('fuels and tailpipe emissions'!$C$10:$C$126,'fuels and tailpipe emissions'!$A$10:$A$126,'vehicles specifications'!$F37,'fuels and tailpipe emissions'!$B$10:$B$126,'vehicles specifications'!BG$2)/1000*$AQ37</f>
        <v>2.9427886066097313E-5</v>
      </c>
      <c r="BH37" s="7">
        <f>SUMIFS('fuels and tailpipe emissions'!$C$10:$C$126,'fuels and tailpipe emissions'!$A$10:$A$126,'vehicles specifications'!$F37,'fuels and tailpipe emissions'!$B$10:$B$126,'vehicles specifications'!BH$2)/1000*$AQ37</f>
        <v>2.2036696077403105E-5</v>
      </c>
      <c r="BI37" s="7">
        <f>SUMIFS('fuels and tailpipe emissions'!$C$10:$C$126,'fuels and tailpipe emissions'!$A$10:$A$126,'vehicles specifications'!$F37,'fuels and tailpipe emissions'!$B$10:$B$126,'vehicles specifications'!BI$2)/1000*$AQ37</f>
        <v>1.5603623309465551E-5</v>
      </c>
      <c r="BJ37" s="7">
        <f>SUMIFS('fuels and tailpipe emissions'!$C$10:$C$126,'fuels and tailpipe emissions'!$A$10:$A$126,'vehicles specifications'!$F37,'fuels and tailpipe emissions'!$B$10:$B$126,'vehicles specifications'!BJ$2)/1000*$AQ37</f>
        <v>1.0128667762284656E-5</v>
      </c>
      <c r="BK37" s="7">
        <f>SUMIFS('fuels and tailpipe emissions'!$C$10:$C$126,'fuels and tailpipe emissions'!$A$10:$A$126,'vehicles specifications'!$F37,'fuels and tailpipe emissions'!$B$10:$B$126,'vehicles specifications'!BK$2)/1000*$AQ37</f>
        <v>9.9917938736051348E-5</v>
      </c>
      <c r="BL37" s="7">
        <f>SUMIFS('fuels and tailpipe emissions'!$C$10:$C$126,'fuels and tailpipe emissions'!$A$10:$A$126,'vehicles specifications'!$F37,'fuels and tailpipe emissions'!$B$10:$B$126,'vehicles specifications'!BL$2)/1000*$AQ37</f>
        <v>5.2285825475577546E-5</v>
      </c>
      <c r="BM37" s="7">
        <f>SUMIFS('fuels and tailpipe emissions'!$C$10:$C$126,'fuels and tailpipe emissions'!$A$10:$A$126,'vehicles specifications'!$F37,'fuels and tailpipe emissions'!$B$10:$B$126,'vehicles specifications'!BM$2)/1000*$AQ37</f>
        <v>1.5056127754747464E-6</v>
      </c>
      <c r="BN37" s="7">
        <f>SUMIFS('fuels and tailpipe emissions'!$C$10:$C$126,'fuels and tailpipe emissions'!$A$10:$A$126,'vehicles specifications'!$F37,'fuels and tailpipe emissions'!$B$10:$B$126,'vehicles specifications'!BN$2)/1000*$AQ37</f>
        <v>7.6786251549212049E-5</v>
      </c>
      <c r="BO37" s="7">
        <f>SUMIFS('fuels and tailpipe emissions'!$C$10:$C$126,'fuels and tailpipe emissions'!$A$10:$A$126,'vehicles specifications'!$F37,'fuels and tailpipe emissions'!$B$10:$B$126,'vehicles specifications'!BO$2)/1000*$AQ37</f>
        <v>1.5028752977011559E-4</v>
      </c>
      <c r="BP37" s="7">
        <f>SUMIFS('fuels and tailpipe emissions'!$C$10:$C$126,'fuels and tailpipe emissions'!$A$10:$A$126,'vehicles specifications'!$F37,'fuels and tailpipe emissions'!$B$10:$B$126,'vehicles specifications'!BP$2)/1000*$AQ37</f>
        <v>7.4322521552980665E-5</v>
      </c>
      <c r="BQ37" s="7">
        <f>SUMIFS('fuels and tailpipe emissions'!$C$10:$C$126,'fuels and tailpipe emissions'!$A$10:$A$126,'vehicles specifications'!$F37,'fuels and tailpipe emissions'!$B$10:$B$126,'vehicles specifications'!BQ$2)/1000*$AQ37</f>
        <v>3.0933498841572057E-5</v>
      </c>
      <c r="BR37" s="7">
        <f>SUMIFS('fuels and tailpipe emissions'!$C$10:$C$126,'fuels and tailpipe emissions'!$A$10:$A$126,'vehicles specifications'!$F37,'fuels and tailpipe emissions'!$B$10:$B$126,'vehicles specifications'!BR$2)/1000*$AQ37</f>
        <v>2.3268561075518807E-5</v>
      </c>
      <c r="BS37" s="7">
        <f>SUMIFS('fuels and tailpipe emissions'!$C$10:$C$126,'fuels and tailpipe emissions'!$A$10:$A$126,'vehicles specifications'!$F37,'fuels and tailpipe emissions'!$B$10:$B$126,'vehicles specifications'!BS$2)/1000*$AQ37</f>
        <v>1.0265541650964179E-5</v>
      </c>
      <c r="BT37" s="7">
        <f>SUMIFS('fuels and tailpipe emissions'!$C$10:$C$126,'fuels and tailpipe emissions'!$A$10:$A$126,'vehicles specifications'!$F37,'fuels and tailpipe emissions'!$B$10:$B$126,'vehicles specifications'!BT$2)/1000*$AQ37</f>
        <v>3.0112255509494928E-6</v>
      </c>
      <c r="BU37" s="7">
        <f>SUMIFS('fuels and tailpipe emissions'!$C$10:$C$126,'fuels and tailpipe emissions'!$A$10:$A$126,'vehicles specifications'!$F37,'fuels and tailpipe emissions'!$B$10:$B$126,'vehicles specifications'!BU$2)/1000*$AQ37</f>
        <v>8.3493072094508672E-6</v>
      </c>
      <c r="BV37" s="7">
        <f>SUMIFS('fuels and tailpipe emissions'!$C$10:$C$126,'fuels and tailpipe emissions'!$A$10:$A$126,'vehicles specifications'!$F37,'fuels and tailpipe emissions'!$B$10:$B$126,'vehicles specifications'!BV$2)/1000*$AQ37</f>
        <v>0</v>
      </c>
      <c r="BW37" s="7">
        <f>SUMIFS('fuels and tailpipe emissions'!$C$10:$C$126,'fuels and tailpipe emissions'!$A$10:$A$126,'vehicles specifications'!$F37,'fuels and tailpipe emissions'!$B$10:$B$126,'vehicles specifications'!BW$2)/1000*$AQ37</f>
        <v>2.6006038849109253E-6</v>
      </c>
      <c r="BX37" s="7">
        <f>SUMIFS('fuels and tailpipe emissions'!$C$10:$C$126,'fuels and tailpipe emissions'!$A$10:$A$126,'vehicles specifications'!$F37,'fuels and tailpipe emissions'!$B$10:$B$126,'vehicles specifications'!BX$2)/1000*$AQ37</f>
        <v>1.382426275663176E-5</v>
      </c>
      <c r="BY37" s="7">
        <f>SUMIFS('fuels and tailpipe emissions'!$C$10:$C$126,'fuels and tailpipe emissions'!$A$10:$A$126,'vehicles specifications'!$F37,'fuels and tailpipe emissions'!$B$10:$B$126,'vehicles specifications'!BY$2)/1000*$AQ37</f>
        <v>4.3948453156141782E-8</v>
      </c>
      <c r="BZ37" s="7">
        <f>SUMIFS('fuels and tailpipe emissions'!$C$10:$C$126,'fuels and tailpipe emissions'!$A$10:$A$126,'vehicles specifications'!$F37,'fuels and tailpipe emissions'!$B$10:$B$126,'vehicles specifications'!BZ$2)/1000*$AQ37</f>
        <v>3.7886597548398086E-10</v>
      </c>
      <c r="CA37" s="7">
        <f>SUMIFS('fuels and tailpipe emissions'!$C$10:$C$126,'fuels and tailpipe emissions'!$A$10:$A$126,'vehicles specifications'!$F37,'fuels and tailpipe emissions'!$B$10:$B$126,'vehicles specifications'!CA$2)/1000*$AQ37</f>
        <v>2.5257731698932057E-10</v>
      </c>
      <c r="CB37" s="7">
        <f>SUMIFS('fuels and tailpipe emissions'!$C$10:$C$126,'fuels and tailpipe emissions'!$A$10:$A$126,'vehicles specifications'!$F37,'fuels and tailpipe emissions'!$B$10:$B$126,'vehicles specifications'!CB$2)/1000*$AQ37</f>
        <v>2.7278350234846621E-6</v>
      </c>
      <c r="CC37" s="7">
        <f>SUMIFS('fuels and tailpipe emissions'!$C$10:$C$126,'fuels and tailpipe emissions'!$A$10:$A$126,'vehicles specifications'!$F37,'fuels and tailpipe emissions'!$B$10:$B$126,'vehicles specifications'!CC$2)/1000*$AQ37</f>
        <v>5.3041236567757318E-8</v>
      </c>
      <c r="CD37" s="7">
        <f>SUMIFS('fuels and tailpipe emissions'!$C$10:$C$126,'fuels and tailpipe emissions'!$A$10:$A$126,'vehicles specifications'!$F37,'fuels and tailpipe emissions'!$B$10:$B$126,'vehicles specifications'!CD$2)/1000*$AQ37</f>
        <v>1.6417525604305839E-8</v>
      </c>
      <c r="CE37" s="7">
        <f>SUMIFS('fuels and tailpipe emissions'!$C$10:$C$126,'fuels and tailpipe emissions'!$A$10:$A$126,'vehicles specifications'!$F37,'fuels and tailpipe emissions'!$B$10:$B$126,'vehicles specifications'!CE$2)/1000*$AQ37</f>
        <v>2.0206185359145651E-8</v>
      </c>
      <c r="CF37" s="7">
        <f>SUMIFS('fuels and tailpipe emissions'!$C$10:$C$126,'fuels and tailpipe emissions'!$A$10:$A$126,'vehicles specifications'!$F37,'fuels and tailpipe emissions'!$B$10:$B$126,'vehicles specifications'!CF$2)/1000*$AQ37</f>
        <v>4.0412370718291291E-11</v>
      </c>
      <c r="CG37" s="7">
        <f>SUMIFS('fuels and tailpipe emissions'!$C$10:$C$126,'fuels and tailpipe emissions'!$A$10:$A$126,'vehicles specifications'!$F37,'fuels and tailpipe emissions'!$B$10:$B$126,'vehicles specifications'!CG$2)/1000*$AQ37</f>
        <v>1.0987113289035445E-8</v>
      </c>
      <c r="CH37" s="7">
        <f>SUMIFS('fuels and tailpipe emissions'!$C$10:$C$126,'fuels and tailpipe emissions'!$A$10:$A$126,'vehicles specifications'!$F37,'fuels and tailpipe emissions'!$B$10:$B$126,'vehicles specifications'!CH$2)/1000*$AQ37</f>
        <v>1.3639175117423312E-8</v>
      </c>
      <c r="CI37" s="7">
        <f>VLOOKUP(B37,'abrasion emissions'!$A$4:$D$32,4,FALSE)</f>
        <v>6.0000000000000002E-6</v>
      </c>
      <c r="CJ37" s="7">
        <f>VLOOKUP(B37,'abrasion emissions'!$A$4:$D$32,2,FALSE)</f>
        <v>6.3939999999999993E-6</v>
      </c>
      <c r="CK37" s="7">
        <f>VLOOKUP(B37,'abrasion emissions'!$A$4:$D$32,3,FALSE)</f>
        <v>6.1789999999999996E-6</v>
      </c>
    </row>
    <row r="38" spans="1:89" s="21" customFormat="1" x14ac:dyDescent="0.3">
      <c r="A38" s="21" t="str">
        <f t="shared" si="17"/>
        <v>Scooter, gasoline, &lt;4kW, EURO-5 - 2050 - CH</v>
      </c>
      <c r="B38" s="21" t="s">
        <v>677</v>
      </c>
      <c r="D38" s="21">
        <v>2050</v>
      </c>
      <c r="E38" s="21" t="s">
        <v>37</v>
      </c>
      <c r="F38" s="21" t="s">
        <v>149</v>
      </c>
      <c r="G38" s="21" t="s">
        <v>39</v>
      </c>
      <c r="H38" s="21" t="s">
        <v>35</v>
      </c>
      <c r="J38" s="21">
        <v>33400</v>
      </c>
      <c r="K38" s="21">
        <v>2553</v>
      </c>
      <c r="L38" s="2">
        <f t="shared" si="18"/>
        <v>13.082647865256561</v>
      </c>
      <c r="M38" s="21">
        <v>1</v>
      </c>
      <c r="N38" s="21">
        <v>70</v>
      </c>
      <c r="O38" s="21">
        <v>4</v>
      </c>
      <c r="P38" s="2">
        <f t="shared" si="19"/>
        <v>84.527499999999989</v>
      </c>
      <c r="Q38" s="2">
        <f t="shared" si="20"/>
        <v>158.52749999999997</v>
      </c>
      <c r="R38" s="21">
        <v>2.8</v>
      </c>
      <c r="S38" s="2">
        <v>53</v>
      </c>
      <c r="T38" s="1">
        <v>7.0000000000000007E-2</v>
      </c>
      <c r="U38" s="2">
        <f t="shared" si="21"/>
        <v>49.29</v>
      </c>
      <c r="V38" s="21">
        <v>29.2</v>
      </c>
      <c r="W38" s="21">
        <v>0</v>
      </c>
      <c r="X38" s="3">
        <v>0</v>
      </c>
      <c r="Y38" s="1">
        <v>0.8</v>
      </c>
      <c r="Z38" s="3">
        <f t="shared" si="22"/>
        <v>0</v>
      </c>
      <c r="AA38" s="3">
        <v>0</v>
      </c>
      <c r="AB38" s="3">
        <v>0</v>
      </c>
      <c r="AC38" s="3">
        <f t="shared" si="23"/>
        <v>0</v>
      </c>
      <c r="AD38" s="3">
        <v>0</v>
      </c>
      <c r="AE38" s="3">
        <v>7</v>
      </c>
      <c r="AF38" s="21">
        <f>AE38*'fuels and tailpipe emissions'!$B$3</f>
        <v>5.25</v>
      </c>
      <c r="AG38" s="2">
        <f>AF38*'fuels and tailpipe emissions'!$C$3</f>
        <v>61.833333333333329</v>
      </c>
      <c r="AH38" s="3">
        <f t="shared" si="24"/>
        <v>0.78749999999999998</v>
      </c>
      <c r="AI38" s="21">
        <v>0</v>
      </c>
      <c r="AJ38" s="21">
        <v>0</v>
      </c>
      <c r="AK38" s="21">
        <f t="shared" si="25"/>
        <v>1</v>
      </c>
      <c r="AL38" s="21">
        <f t="shared" si="26"/>
        <v>8.5129267499999993E-5</v>
      </c>
      <c r="AM38" s="21">
        <v>1.2899999999999999E-3</v>
      </c>
      <c r="AN38" s="2">
        <f t="shared" si="27"/>
        <v>49.29</v>
      </c>
      <c r="AO38" s="2">
        <f t="shared" si="28"/>
        <v>29.2</v>
      </c>
      <c r="AP38" s="2">
        <f t="shared" si="29"/>
        <v>0</v>
      </c>
      <c r="AQ38" s="6">
        <v>1.2502577190971369</v>
      </c>
      <c r="AR38" s="6" t="str">
        <f>IF($H38="BEV",SUMPRODUCT(#REF!,#REF!),"")</f>
        <v/>
      </c>
      <c r="AS38" s="2">
        <f>SUM(Z38,AG38)/(SUM(AQ38:AR38)/3.6)</f>
        <v>178.04329187485337</v>
      </c>
      <c r="AT38" s="5">
        <f>IF($H38="ICEV-p",$AQ38/('fuels and tailpipe emissions'!$C$3*3.6)*'fuels and tailpipe emissions'!$D$3,"")</f>
        <v>9.3769328932285276E-2</v>
      </c>
      <c r="AU38" s="7">
        <f>IF($H38="ICEV-p",$AQ38/('fuels and tailpipe emissions'!$C$3*3.6)*'fuels and tailpipe emissions'!$E$3,"")</f>
        <v>4.7179536569703278E-7</v>
      </c>
      <c r="AV38" s="7">
        <f>SUMIFS('fuels and tailpipe emissions'!$C$10:$C$126,'fuels and tailpipe emissions'!$A$10:$A$126,'vehicles specifications'!$F38,'fuels and tailpipe emissions'!$B$10:$B$126,'vehicles specifications'!AV$2)/1000*$AQ38</f>
        <v>7.6018389033719928E-5</v>
      </c>
      <c r="AW38" s="7">
        <f>SUMIFS('fuels and tailpipe emissions'!$C$10:$C$126,'fuels and tailpipe emissions'!$A$10:$A$126,'vehicles specifications'!$F38,'fuels and tailpipe emissions'!$B$10:$B$126,'vehicles specifications'!AW$2)/1000*$AQ38</f>
        <v>3.4468992219074605E-5</v>
      </c>
      <c r="AX38" s="7">
        <f>SUMIFS('fuels and tailpipe emissions'!$C$10:$C$126,'fuels and tailpipe emissions'!$A$10:$A$126,'vehicles specifications'!$F38,'fuels and tailpipe emissions'!$B$10:$B$126,'vehicles specifications'!AX$2)/1000*$AQ38</f>
        <v>3.6447456122062146E-3</v>
      </c>
      <c r="AY38" s="7">
        <f>SUMIFS('fuels and tailpipe emissions'!$C$10:$C$126,'fuels and tailpipe emissions'!$A$10:$A$126,'vehicles specifications'!$F38,'fuels and tailpipe emissions'!$B$10:$B$126,'vehicles specifications'!AY$2)/1000*$AQ38</f>
        <v>1.7488073170509701E-6</v>
      </c>
      <c r="AZ38" s="7">
        <f>SUMIFS('fuels and tailpipe emissions'!$C$10:$C$126,'fuels and tailpipe emissions'!$A$10:$A$126,'vehicles specifications'!$F38,'fuels and tailpipe emissions'!$B$10:$B$126,'vehicles specifications'!AZ$2)/1000*$AQ38</f>
        <v>1.7488073170509701E-6</v>
      </c>
      <c r="BA38" s="7">
        <f>SUMIFS('fuels and tailpipe emissions'!$C$10:$C$126,'fuels and tailpipe emissions'!$A$10:$A$126,'vehicles specifications'!$F38,'fuels and tailpipe emissions'!$B$10:$B$126,'vehicles specifications'!BA$2)/1000*$AQ38</f>
        <v>1.3114430036520702E-4</v>
      </c>
      <c r="BB38" s="7">
        <f>SUMIFS('fuels and tailpipe emissions'!$C$10:$C$126,'fuels and tailpipe emissions'!$A$10:$A$126,'vehicles specifications'!$F38,'fuels and tailpipe emissions'!$B$10:$B$126,'vehicles specifications'!BB$2)/1000*$AQ38</f>
        <v>1.004340042182372E-5</v>
      </c>
      <c r="BC38" s="7">
        <f>SUMIFS('fuels and tailpipe emissions'!$C$10:$C$126,'fuels and tailpipe emissions'!$A$10:$A$126,'vehicles specifications'!$F38,'fuels and tailpipe emissions'!$B$10:$B$126,'vehicles specifications'!BC$2)/1000*$AQ38</f>
        <v>6.130252976622977E-4</v>
      </c>
      <c r="BD38" s="7">
        <f>SUMIFS('fuels and tailpipe emissions'!$C$10:$C$126,'fuels and tailpipe emissions'!$A$10:$A$126,'vehicles specifications'!$F38,'fuels and tailpipe emissions'!$B$10:$B$126,'vehicles specifications'!BD$2)/1000*$AQ38</f>
        <v>4.3226142783879964E-5</v>
      </c>
      <c r="BE38" s="7">
        <f>SUMIFS('fuels and tailpipe emissions'!$C$10:$C$126,'fuels and tailpipe emissions'!$A$10:$A$126,'vehicles specifications'!$F38,'fuels and tailpipe emissions'!$B$10:$B$126,'vehicles specifications'!BE$2)/1000*$AQ38</f>
        <v>8.8078347365272657E-6</v>
      </c>
      <c r="BF38" s="7">
        <f>SUMIFS('fuels and tailpipe emissions'!$C$10:$C$126,'fuels and tailpipe emissions'!$A$10:$A$126,'vehicles specifications'!$F38,'fuels and tailpipe emissions'!$B$10:$B$126,'vehicles specifications'!BF$2)/1000*$AQ38</f>
        <v>7.1004698491389037E-5</v>
      </c>
      <c r="BG38" s="7">
        <f>SUMIFS('fuels and tailpipe emissions'!$C$10:$C$126,'fuels and tailpipe emissions'!$A$10:$A$126,'vehicles specifications'!$F38,'fuels and tailpipe emissions'!$B$10:$B$126,'vehicles specifications'!BG$2)/1000*$AQ38</f>
        <v>2.913360720543634E-5</v>
      </c>
      <c r="BH38" s="7">
        <f>SUMIFS('fuels and tailpipe emissions'!$C$10:$C$126,'fuels and tailpipe emissions'!$A$10:$A$126,'vehicles specifications'!$F38,'fuels and tailpipe emissions'!$B$10:$B$126,'vehicles specifications'!BH$2)/1000*$AQ38</f>
        <v>2.1816329116629077E-5</v>
      </c>
      <c r="BI38" s="7">
        <f>SUMIFS('fuels and tailpipe emissions'!$C$10:$C$126,'fuels and tailpipe emissions'!$A$10:$A$126,'vehicles specifications'!$F38,'fuels and tailpipe emissions'!$B$10:$B$126,'vehicles specifications'!BI$2)/1000*$AQ38</f>
        <v>1.5447587076370898E-5</v>
      </c>
      <c r="BJ38" s="7">
        <f>SUMIFS('fuels and tailpipe emissions'!$C$10:$C$126,'fuels and tailpipe emissions'!$A$10:$A$126,'vehicles specifications'!$F38,'fuels and tailpipe emissions'!$B$10:$B$126,'vehicles specifications'!BJ$2)/1000*$AQ38</f>
        <v>1.002738108466181E-5</v>
      </c>
      <c r="BK38" s="7">
        <f>SUMIFS('fuels and tailpipe emissions'!$C$10:$C$126,'fuels and tailpipe emissions'!$A$10:$A$126,'vehicles specifications'!$F38,'fuels and tailpipe emissions'!$B$10:$B$126,'vehicles specifications'!BK$2)/1000*$AQ38</f>
        <v>9.8918759348690837E-5</v>
      </c>
      <c r="BL38" s="7">
        <f>SUMIFS('fuels and tailpipe emissions'!$C$10:$C$126,'fuels and tailpipe emissions'!$A$10:$A$126,'vehicles specifications'!$F38,'fuels and tailpipe emissions'!$B$10:$B$126,'vehicles specifications'!BL$2)/1000*$AQ38</f>
        <v>5.1762967220821776E-5</v>
      </c>
      <c r="BM38" s="7">
        <f>SUMIFS('fuels and tailpipe emissions'!$C$10:$C$126,'fuels and tailpipe emissions'!$A$10:$A$126,'vehicles specifications'!$F38,'fuels and tailpipe emissions'!$B$10:$B$126,'vehicles specifications'!BM$2)/1000*$AQ38</f>
        <v>1.4905566477199989E-6</v>
      </c>
      <c r="BN38" s="7">
        <f>SUMIFS('fuels and tailpipe emissions'!$C$10:$C$126,'fuels and tailpipe emissions'!$A$10:$A$126,'vehicles specifications'!$F38,'fuels and tailpipe emissions'!$B$10:$B$126,'vehicles specifications'!BN$2)/1000*$AQ38</f>
        <v>7.6018389033719928E-5</v>
      </c>
      <c r="BO38" s="7">
        <f>SUMIFS('fuels and tailpipe emissions'!$C$10:$C$126,'fuels and tailpipe emissions'!$A$10:$A$126,'vehicles specifications'!$F38,'fuels and tailpipe emissions'!$B$10:$B$126,'vehicles specifications'!BO$2)/1000*$AQ38</f>
        <v>1.4878465447241445E-4</v>
      </c>
      <c r="BP38" s="7">
        <f>SUMIFS('fuels and tailpipe emissions'!$C$10:$C$126,'fuels and tailpipe emissions'!$A$10:$A$126,'vehicles specifications'!$F38,'fuels and tailpipe emissions'!$B$10:$B$126,'vehicles specifications'!BP$2)/1000*$AQ38</f>
        <v>7.3579296337450856E-5</v>
      </c>
      <c r="BQ38" s="7">
        <f>SUMIFS('fuels and tailpipe emissions'!$C$10:$C$126,'fuels and tailpipe emissions'!$A$10:$A$126,'vehicles specifications'!$F38,'fuels and tailpipe emissions'!$B$10:$B$126,'vehicles specifications'!BQ$2)/1000*$AQ38</f>
        <v>3.0624163853156341E-5</v>
      </c>
      <c r="BR38" s="7">
        <f>SUMIFS('fuels and tailpipe emissions'!$C$10:$C$126,'fuels and tailpipe emissions'!$A$10:$A$126,'vehicles specifications'!$F38,'fuels and tailpipe emissions'!$B$10:$B$126,'vehicles specifications'!BR$2)/1000*$AQ38</f>
        <v>2.3035875464763623E-5</v>
      </c>
      <c r="BS38" s="7">
        <f>SUMIFS('fuels and tailpipe emissions'!$C$10:$C$126,'fuels and tailpipe emissions'!$A$10:$A$126,'vehicles specifications'!$F38,'fuels and tailpipe emissions'!$B$10:$B$126,'vehicles specifications'!BS$2)/1000*$AQ38</f>
        <v>1.0162886234454536E-5</v>
      </c>
      <c r="BT38" s="7">
        <f>SUMIFS('fuels and tailpipe emissions'!$C$10:$C$126,'fuels and tailpipe emissions'!$A$10:$A$126,'vehicles specifications'!$F38,'fuels and tailpipe emissions'!$B$10:$B$126,'vehicles specifications'!BT$2)/1000*$AQ38</f>
        <v>2.9811132954399978E-6</v>
      </c>
      <c r="BU38" s="7">
        <f>SUMIFS('fuels and tailpipe emissions'!$C$10:$C$126,'fuels and tailpipe emissions'!$A$10:$A$126,'vehicles specifications'!$F38,'fuels and tailpipe emissions'!$B$10:$B$126,'vehicles specifications'!BU$2)/1000*$AQ38</f>
        <v>8.2658141373563583E-6</v>
      </c>
      <c r="BV38" s="7">
        <f>SUMIFS('fuels and tailpipe emissions'!$C$10:$C$126,'fuels and tailpipe emissions'!$A$10:$A$126,'vehicles specifications'!$F38,'fuels and tailpipe emissions'!$B$10:$B$126,'vehicles specifications'!BV$2)/1000*$AQ38</f>
        <v>0</v>
      </c>
      <c r="BW38" s="7">
        <f>SUMIFS('fuels and tailpipe emissions'!$C$10:$C$126,'fuels and tailpipe emissions'!$A$10:$A$126,'vehicles specifications'!$F38,'fuels and tailpipe emissions'!$B$10:$B$126,'vehicles specifications'!BW$2)/1000*$AQ38</f>
        <v>2.5745978460618164E-6</v>
      </c>
      <c r="BX38" s="7">
        <f>SUMIFS('fuels and tailpipe emissions'!$C$10:$C$126,'fuels and tailpipe emissions'!$A$10:$A$126,'vehicles specifications'!$F38,'fuels and tailpipe emissions'!$B$10:$B$126,'vehicles specifications'!BX$2)/1000*$AQ38</f>
        <v>1.3686020129065443E-5</v>
      </c>
      <c r="BY38" s="7">
        <f>SUMIFS('fuels and tailpipe emissions'!$C$10:$C$126,'fuels and tailpipe emissions'!$A$10:$A$126,'vehicles specifications'!$F38,'fuels and tailpipe emissions'!$B$10:$B$126,'vehicles specifications'!BY$2)/1000*$AQ38</f>
        <v>4.3508968624580363E-8</v>
      </c>
      <c r="BZ38" s="7">
        <f>SUMIFS('fuels and tailpipe emissions'!$C$10:$C$126,'fuels and tailpipe emissions'!$A$10:$A$126,'vehicles specifications'!$F38,'fuels and tailpipe emissions'!$B$10:$B$126,'vehicles specifications'!BZ$2)/1000*$AQ38</f>
        <v>3.7507731572914109E-10</v>
      </c>
      <c r="CA38" s="7">
        <f>SUMIFS('fuels and tailpipe emissions'!$C$10:$C$126,'fuels and tailpipe emissions'!$A$10:$A$126,'vehicles specifications'!$F38,'fuels and tailpipe emissions'!$B$10:$B$126,'vehicles specifications'!CA$2)/1000*$AQ38</f>
        <v>2.5005154381942739E-10</v>
      </c>
      <c r="CB38" s="7">
        <f>SUMIFS('fuels and tailpipe emissions'!$C$10:$C$126,'fuels and tailpipe emissions'!$A$10:$A$126,'vehicles specifications'!$F38,'fuels and tailpipe emissions'!$B$10:$B$126,'vehicles specifications'!CB$2)/1000*$AQ38</f>
        <v>2.7005566732498157E-6</v>
      </c>
      <c r="CC38" s="7">
        <f>SUMIFS('fuels and tailpipe emissions'!$C$10:$C$126,'fuels and tailpipe emissions'!$A$10:$A$126,'vehicles specifications'!$F38,'fuels and tailpipe emissions'!$B$10:$B$126,'vehicles specifications'!CC$2)/1000*$AQ38</f>
        <v>5.251082420207975E-8</v>
      </c>
      <c r="CD38" s="7">
        <f>SUMIFS('fuels and tailpipe emissions'!$C$10:$C$126,'fuels and tailpipe emissions'!$A$10:$A$126,'vehicles specifications'!$F38,'fuels and tailpipe emissions'!$B$10:$B$126,'vehicles specifications'!CD$2)/1000*$AQ38</f>
        <v>1.625335034826278E-8</v>
      </c>
      <c r="CE38" s="7">
        <f>SUMIFS('fuels and tailpipe emissions'!$C$10:$C$126,'fuels and tailpipe emissions'!$A$10:$A$126,'vehicles specifications'!$F38,'fuels and tailpipe emissions'!$B$10:$B$126,'vehicles specifications'!CE$2)/1000*$AQ38</f>
        <v>2.0004123505554197E-8</v>
      </c>
      <c r="CF38" s="7">
        <f>SUMIFS('fuels and tailpipe emissions'!$C$10:$C$126,'fuels and tailpipe emissions'!$A$10:$A$126,'vehicles specifications'!$F38,'fuels and tailpipe emissions'!$B$10:$B$126,'vehicles specifications'!CF$2)/1000*$AQ38</f>
        <v>4.0008247011108378E-11</v>
      </c>
      <c r="CG38" s="7">
        <f>SUMIFS('fuels and tailpipe emissions'!$C$10:$C$126,'fuels and tailpipe emissions'!$A$10:$A$126,'vehicles specifications'!$F38,'fuels and tailpipe emissions'!$B$10:$B$126,'vehicles specifications'!CG$2)/1000*$AQ38</f>
        <v>1.0877242156145091E-8</v>
      </c>
      <c r="CH38" s="7">
        <f>SUMIFS('fuels and tailpipe emissions'!$C$10:$C$126,'fuels and tailpipe emissions'!$A$10:$A$126,'vehicles specifications'!$F38,'fuels and tailpipe emissions'!$B$10:$B$126,'vehicles specifications'!CH$2)/1000*$AQ38</f>
        <v>1.350278336624908E-8</v>
      </c>
      <c r="CI38" s="7">
        <f>VLOOKUP(B38,'abrasion emissions'!$A$4:$D$32,4,FALSE)</f>
        <v>6.0000000000000002E-6</v>
      </c>
      <c r="CJ38" s="7">
        <f>VLOOKUP(B38,'abrasion emissions'!$A$4:$D$32,2,FALSE)</f>
        <v>6.3939999999999993E-6</v>
      </c>
      <c r="CK38" s="7">
        <f>VLOOKUP(B38,'abrasion emissions'!$A$4:$D$32,3,FALSE)</f>
        <v>6.1789999999999996E-6</v>
      </c>
    </row>
    <row r="39" spans="1:89" x14ac:dyDescent="0.3">
      <c r="A39" t="str">
        <f t="shared" si="1"/>
        <v>Scooter, gasoline, 4-11kW, EURO-3 - 2006 - CH</v>
      </c>
      <c r="B39" t="s">
        <v>636</v>
      </c>
      <c r="D39">
        <v>2006</v>
      </c>
      <c r="E39" t="s">
        <v>37</v>
      </c>
      <c r="F39" t="s">
        <v>149</v>
      </c>
      <c r="G39" t="s">
        <v>39</v>
      </c>
      <c r="H39" t="s">
        <v>35</v>
      </c>
      <c r="J39" s="21">
        <v>39800</v>
      </c>
      <c r="K39">
        <v>2731</v>
      </c>
      <c r="L39" s="2">
        <f t="shared" si="2"/>
        <v>14.573416331014281</v>
      </c>
      <c r="M39">
        <v>1</v>
      </c>
      <c r="N39">
        <v>70</v>
      </c>
      <c r="O39">
        <v>4</v>
      </c>
      <c r="P39" s="2">
        <f t="shared" si="13"/>
        <v>132.53749999999999</v>
      </c>
      <c r="Q39" s="2">
        <f t="shared" si="3"/>
        <v>206.53749999999999</v>
      </c>
      <c r="R39">
        <v>8.8000000000000007</v>
      </c>
      <c r="S39" s="2">
        <v>90</v>
      </c>
      <c r="T39" s="1">
        <v>-0.05</v>
      </c>
      <c r="U39" s="2">
        <f t="shared" si="4"/>
        <v>94.5</v>
      </c>
      <c r="V39">
        <v>32</v>
      </c>
      <c r="W39">
        <v>0</v>
      </c>
      <c r="X39" s="3">
        <v>0</v>
      </c>
      <c r="Y39" s="1">
        <v>0.8</v>
      </c>
      <c r="Z39" s="3">
        <f t="shared" si="5"/>
        <v>0</v>
      </c>
      <c r="AA39" s="3">
        <v>0</v>
      </c>
      <c r="AB39" s="3">
        <v>0</v>
      </c>
      <c r="AC39" s="3">
        <f t="shared" si="7"/>
        <v>0</v>
      </c>
      <c r="AD39" s="3">
        <v>0</v>
      </c>
      <c r="AE39" s="3">
        <v>7</v>
      </c>
      <c r="AF39">
        <f>AE39*'fuels and tailpipe emissions'!$B$3</f>
        <v>5.25</v>
      </c>
      <c r="AG39" s="2">
        <f>AF39*'fuels and tailpipe emissions'!$C$3</f>
        <v>61.833333333333329</v>
      </c>
      <c r="AH39" s="3">
        <f t="shared" si="16"/>
        <v>0.78749999999999998</v>
      </c>
      <c r="AI39">
        <v>0</v>
      </c>
      <c r="AJ39">
        <v>0</v>
      </c>
      <c r="AK39">
        <f t="shared" si="14"/>
        <v>1</v>
      </c>
      <c r="AL39">
        <f t="shared" si="15"/>
        <v>1.1091063749999999E-4</v>
      </c>
      <c r="AM39">
        <v>1.2899999999999999E-3</v>
      </c>
      <c r="AN39" s="2">
        <f t="shared" si="9"/>
        <v>94.5</v>
      </c>
      <c r="AO39" s="2">
        <f t="shared" si="10"/>
        <v>32</v>
      </c>
      <c r="AP39" s="2">
        <f t="shared" si="11"/>
        <v>0</v>
      </c>
      <c r="AQ39" s="6">
        <v>1.0581604158713176</v>
      </c>
      <c r="AR39" s="6" t="str">
        <f>IF($H39="BEV",SUMPRODUCT(#REF!,#REF!),"")</f>
        <v/>
      </c>
      <c r="AS39" s="2">
        <f>SUM(Z39,AG39)/(SUM(AQ39:AR39)/3.6)</f>
        <v>210.36507949194564</v>
      </c>
      <c r="AT39" s="5">
        <f>IF($H39="ICEV-p",$AQ39/('fuels and tailpipe emissions'!$C$3*3.6)*'fuels and tailpipe emissions'!$D$3,"")</f>
        <v>7.9362031190348833E-2</v>
      </c>
      <c r="AU39" s="7">
        <f>IF($H39="ICEV-p",$AQ39/('fuels and tailpipe emissions'!$C$3*3.6)*'fuels and tailpipe emissions'!$E$3,"")</f>
        <v>3.9930581730993117E-7</v>
      </c>
      <c r="AV39" s="7">
        <f>SUMIFS('fuels and tailpipe emissions'!$C$10:$C$126,'fuels and tailpipe emissions'!$A$10:$A$126,'vehicles specifications'!$F39,'fuels and tailpipe emissions'!$B$10:$B$126,'vehicles specifications'!AV$2)/1000*$AQ39</f>
        <v>6.4338455124178328E-5</v>
      </c>
      <c r="AW39" s="7">
        <f>SUMIFS('fuels and tailpipe emissions'!$C$10:$C$126,'fuels and tailpipe emissions'!$A$10:$A$126,'vehicles specifications'!$F39,'fuels and tailpipe emissions'!$B$10:$B$126,'vehicles specifications'!AW$2)/1000*$AQ39</f>
        <v>2.9172963769054263E-5</v>
      </c>
      <c r="AX39" s="7">
        <f>SUMIFS('fuels and tailpipe emissions'!$C$10:$C$126,'fuels and tailpipe emissions'!$A$10:$A$126,'vehicles specifications'!$F39,'fuels and tailpipe emissions'!$B$10:$B$126,'vehicles specifications'!AX$2)/1000*$AQ39</f>
        <v>3.0847444281666904E-3</v>
      </c>
      <c r="AY39" s="7">
        <f>SUMIFS('fuels and tailpipe emissions'!$C$10:$C$126,'fuels and tailpipe emissions'!$A$10:$A$126,'vehicles specifications'!$F39,'fuels and tailpipe emissions'!$B$10:$B$126,'vehicles specifications'!AY$2)/1000*$AQ39</f>
        <v>1.4801097802665792E-6</v>
      </c>
      <c r="AZ39" s="7">
        <f>SUMIFS('fuels and tailpipe emissions'!$C$10:$C$126,'fuels and tailpipe emissions'!$A$10:$A$126,'vehicles specifications'!$F39,'fuels and tailpipe emissions'!$B$10:$B$126,'vehicles specifications'!AZ$2)/1000*$AQ39</f>
        <v>1.4801097802665792E-6</v>
      </c>
      <c r="BA39" s="7">
        <f>SUMIFS('fuels and tailpipe emissions'!$C$10:$C$126,'fuels and tailpipe emissions'!$A$10:$A$126,'vehicles specifications'!$F39,'fuels and tailpipe emissions'!$B$10:$B$126,'vehicles specifications'!BA$2)/1000*$AQ39</f>
        <v>1.1099448161280961E-4</v>
      </c>
      <c r="BB39" s="7">
        <f>SUMIFS('fuels and tailpipe emissions'!$C$10:$C$126,'fuels and tailpipe emissions'!$A$10:$A$126,'vehicles specifications'!$F39,'fuels and tailpipe emissions'!$B$10:$B$126,'vehicles specifications'!BB$2)/1000*$AQ39</f>
        <v>8.5002704680709625E-6</v>
      </c>
      <c r="BC39" s="7">
        <f>SUMIFS('fuels and tailpipe emissions'!$C$10:$C$126,'fuels and tailpipe emissions'!$A$10:$A$126,'vehicles specifications'!$F39,'fuels and tailpipe emissions'!$B$10:$B$126,'vehicles specifications'!BC$2)/1000*$AQ39</f>
        <v>5.1883631191048621E-4</v>
      </c>
      <c r="BD39" s="7">
        <f>SUMIFS('fuels and tailpipe emissions'!$C$10:$C$126,'fuels and tailpipe emissions'!$A$10:$A$126,'vehicles specifications'!$F39,'fuels and tailpipe emissions'!$B$10:$B$126,'vehicles specifications'!BD$2)/1000*$AQ39</f>
        <v>3.6584611737277873E-5</v>
      </c>
      <c r="BE39" s="7">
        <f>SUMIFS('fuels and tailpipe emissions'!$C$10:$C$126,'fuels and tailpipe emissions'!$A$10:$A$126,'vehicles specifications'!$F39,'fuels and tailpipe emissions'!$B$10:$B$126,'vehicles specifications'!BE$2)/1000*$AQ39</f>
        <v>7.454544711357561E-6</v>
      </c>
      <c r="BF39" s="7">
        <f>SUMIFS('fuels and tailpipe emissions'!$C$10:$C$126,'fuels and tailpipe emissions'!$A$10:$A$126,'vehicles specifications'!$F39,'fuels and tailpipe emissions'!$B$10:$B$126,'vehicles specifications'!BF$2)/1000*$AQ39</f>
        <v>6.0095098903867111E-5</v>
      </c>
      <c r="BG39" s="7">
        <f>SUMIFS('fuels and tailpipe emissions'!$C$10:$C$126,'fuels and tailpipe emissions'!$A$10:$A$126,'vehicles specifications'!$F39,'fuels and tailpipe emissions'!$B$10:$B$126,'vehicles specifications'!BG$2)/1000*$AQ39</f>
        <v>2.4657340199105778E-5</v>
      </c>
      <c r="BH39" s="7">
        <f>SUMIFS('fuels and tailpipe emissions'!$C$10:$C$126,'fuels and tailpipe emissions'!$A$10:$A$126,'vehicles specifications'!$F39,'fuels and tailpipe emissions'!$B$10:$B$126,'vehicles specifications'!BH$2)/1000*$AQ39</f>
        <v>1.8464333823516422E-5</v>
      </c>
      <c r="BI39" s="7">
        <f>SUMIFS('fuels and tailpipe emissions'!$C$10:$C$126,'fuels and tailpipe emissions'!$A$10:$A$126,'vehicles specifications'!$F39,'fuels and tailpipe emissions'!$B$10:$B$126,'vehicles specifications'!BI$2)/1000*$AQ39</f>
        <v>1.3074124570688646E-5</v>
      </c>
      <c r="BJ39" s="7">
        <f>SUMIFS('fuels and tailpipe emissions'!$C$10:$C$126,'fuels and tailpipe emissions'!$A$10:$A$126,'vehicles specifications'!$F39,'fuels and tailpipe emissions'!$B$10:$B$126,'vehicles specifications'!BJ$2)/1000*$AQ39</f>
        <v>8.4867124406224538E-6</v>
      </c>
      <c r="BK39" s="7">
        <f>SUMIFS('fuels and tailpipe emissions'!$C$10:$C$126,'fuels and tailpipe emissions'!$A$10:$A$126,'vehicles specifications'!$F39,'fuels and tailpipe emissions'!$B$10:$B$126,'vehicles specifications'!BK$2)/1000*$AQ39</f>
        <v>8.3720271373707988E-5</v>
      </c>
      <c r="BL39" s="7">
        <f>SUMIFS('fuels and tailpipe emissions'!$C$10:$C$126,'fuels and tailpipe emissions'!$A$10:$A$126,'vehicles specifications'!$F39,'fuels and tailpipe emissions'!$B$10:$B$126,'vehicles specifications'!BL$2)/1000*$AQ39</f>
        <v>4.3809785842132124E-5</v>
      </c>
      <c r="BM39" s="7">
        <f>SUMIFS('fuels and tailpipe emissions'!$C$10:$C$126,'fuels and tailpipe emissions'!$A$10:$A$126,'vehicles specifications'!$F39,'fuels and tailpipe emissions'!$B$10:$B$126,'vehicles specifications'!BM$2)/1000*$AQ39</f>
        <v>1.2615383357682027E-6</v>
      </c>
      <c r="BN39" s="7">
        <f>SUMIFS('fuels and tailpipe emissions'!$C$10:$C$126,'fuels and tailpipe emissions'!$A$10:$A$126,'vehicles specifications'!$F39,'fuels and tailpipe emissions'!$B$10:$B$126,'vehicles specifications'!BN$2)/1000*$AQ39</f>
        <v>6.4338455124178328E-5</v>
      </c>
      <c r="BO39" s="7">
        <f>SUMIFS('fuels and tailpipe emissions'!$C$10:$C$126,'fuels and tailpipe emissions'!$A$10:$A$126,'vehicles specifications'!$F39,'fuels and tailpipe emissions'!$B$10:$B$126,'vehicles specifications'!BO$2)/1000*$AQ39</f>
        <v>1.2592446297031695E-4</v>
      </c>
      <c r="BP39" s="7">
        <f>SUMIFS('fuels and tailpipe emissions'!$C$10:$C$126,'fuels and tailpipe emissions'!$A$10:$A$126,'vehicles specifications'!$F39,'fuels and tailpipe emissions'!$B$10:$B$126,'vehicles specifications'!BP$2)/1000*$AQ39</f>
        <v>6.2274119665648545E-5</v>
      </c>
      <c r="BQ39" s="7">
        <f>SUMIFS('fuels and tailpipe emissions'!$C$10:$C$126,'fuels and tailpipe emissions'!$A$10:$A$126,'vehicles specifications'!$F39,'fuels and tailpipe emissions'!$B$10:$B$126,'vehicles specifications'!BQ$2)/1000*$AQ39</f>
        <v>2.5918878534873981E-5</v>
      </c>
      <c r="BR39" s="7">
        <f>SUMIFS('fuels and tailpipe emissions'!$C$10:$C$126,'fuels and tailpipe emissions'!$A$10:$A$126,'vehicles specifications'!$F39,'fuels and tailpipe emissions'!$B$10:$B$126,'vehicles specifications'!BR$2)/1000*$AQ39</f>
        <v>1.9496501552781316E-5</v>
      </c>
      <c r="BS39" s="7">
        <f>SUMIFS('fuels and tailpipe emissions'!$C$10:$C$126,'fuels and tailpipe emissions'!$A$10:$A$126,'vehicles specifications'!$F39,'fuels and tailpipe emissions'!$B$10:$B$126,'vehicles specifications'!BS$2)/1000*$AQ39</f>
        <v>8.6013977438741078E-6</v>
      </c>
      <c r="BT39" s="7">
        <f>SUMIFS('fuels and tailpipe emissions'!$C$10:$C$126,'fuels and tailpipe emissions'!$A$10:$A$126,'vehicles specifications'!$F39,'fuels and tailpipe emissions'!$B$10:$B$126,'vehicles specifications'!BT$2)/1000*$AQ39</f>
        <v>2.5230766715364054E-6</v>
      </c>
      <c r="BU39" s="7">
        <f>SUMIFS('fuels and tailpipe emissions'!$C$10:$C$126,'fuels and tailpipe emissions'!$A$10:$A$126,'vehicles specifications'!$F39,'fuels and tailpipe emissions'!$B$10:$B$126,'vehicles specifications'!BU$2)/1000*$AQ39</f>
        <v>6.9958034983509425E-6</v>
      </c>
      <c r="BV39" s="7">
        <f>SUMIFS('fuels and tailpipe emissions'!$C$10:$C$126,'fuels and tailpipe emissions'!$A$10:$A$126,'vehicles specifications'!$F39,'fuels and tailpipe emissions'!$B$10:$B$126,'vehicles specifications'!BV$2)/1000*$AQ39</f>
        <v>0</v>
      </c>
      <c r="BW39" s="7">
        <f>SUMIFS('fuels and tailpipe emissions'!$C$10:$C$126,'fuels and tailpipe emissions'!$A$10:$A$126,'vehicles specifications'!$F39,'fuels and tailpipe emissions'!$B$10:$B$126,'vehicles specifications'!BW$2)/1000*$AQ39</f>
        <v>2.1790207617814409E-6</v>
      </c>
      <c r="BX39" s="7">
        <f>SUMIFS('fuels and tailpipe emissions'!$C$10:$C$126,'fuels and tailpipe emissions'!$A$10:$A$126,'vehicles specifications'!$F39,'fuels and tailpipe emissions'!$B$10:$B$126,'vehicles specifications'!BX$2)/1000*$AQ39</f>
        <v>1.1583215628417132E-5</v>
      </c>
      <c r="BY39" s="7">
        <f>SUMIFS('fuels and tailpipe emissions'!$C$10:$C$126,'fuels and tailpipe emissions'!$A$10:$A$126,'vehicles specifications'!$F39,'fuels and tailpipe emissions'!$B$10:$B$126,'vehicles specifications'!BY$2)/1000*$AQ39</f>
        <v>3.6823982472321851E-8</v>
      </c>
      <c r="BZ39" s="7">
        <f>SUMIFS('fuels and tailpipe emissions'!$C$10:$C$126,'fuels and tailpipe emissions'!$A$10:$A$126,'vehicles specifications'!$F39,'fuels and tailpipe emissions'!$B$10:$B$126,'vehicles specifications'!BZ$2)/1000*$AQ39</f>
        <v>3.1744812476139525E-10</v>
      </c>
      <c r="CA39" s="7">
        <f>SUMIFS('fuels and tailpipe emissions'!$C$10:$C$126,'fuels and tailpipe emissions'!$A$10:$A$126,'vehicles specifications'!$F39,'fuels and tailpipe emissions'!$B$10:$B$126,'vehicles specifications'!CA$2)/1000*$AQ39</f>
        <v>2.1163208317426353E-10</v>
      </c>
      <c r="CB39" s="7">
        <f>SUMIFS('fuels and tailpipe emissions'!$C$10:$C$126,'fuels and tailpipe emissions'!$A$10:$A$126,'vehicles specifications'!$F39,'fuels and tailpipe emissions'!$B$10:$B$126,'vehicles specifications'!CB$2)/1000*$AQ39</f>
        <v>2.2856264982820463E-6</v>
      </c>
      <c r="CC39" s="7">
        <f>SUMIFS('fuels and tailpipe emissions'!$C$10:$C$126,'fuels and tailpipe emissions'!$A$10:$A$126,'vehicles specifications'!$F39,'fuels and tailpipe emissions'!$B$10:$B$126,'vehicles specifications'!CC$2)/1000*$AQ39</f>
        <v>4.444273746659534E-8</v>
      </c>
      <c r="CD39" s="7">
        <f>SUMIFS('fuels and tailpipe emissions'!$C$10:$C$126,'fuels and tailpipe emissions'!$A$10:$A$126,'vehicles specifications'!$F39,'fuels and tailpipe emissions'!$B$10:$B$126,'vehicles specifications'!CD$2)/1000*$AQ39</f>
        <v>1.3756085406327129E-8</v>
      </c>
      <c r="CE39" s="7">
        <f>SUMIFS('fuels and tailpipe emissions'!$C$10:$C$126,'fuels and tailpipe emissions'!$A$10:$A$126,'vehicles specifications'!$F39,'fuels and tailpipe emissions'!$B$10:$B$126,'vehicles specifications'!CE$2)/1000*$AQ39</f>
        <v>1.6930566653941085E-8</v>
      </c>
      <c r="CF39" s="7">
        <f>SUMIFS('fuels and tailpipe emissions'!$C$10:$C$126,'fuels and tailpipe emissions'!$A$10:$A$126,'vehicles specifications'!$F39,'fuels and tailpipe emissions'!$B$10:$B$126,'vehicles specifications'!CF$2)/1000*$AQ39</f>
        <v>3.3861133307882163E-11</v>
      </c>
      <c r="CG39" s="7">
        <f>SUMIFS('fuels and tailpipe emissions'!$C$10:$C$126,'fuels and tailpipe emissions'!$A$10:$A$126,'vehicles specifications'!$F39,'fuels and tailpipe emissions'!$B$10:$B$126,'vehicles specifications'!CG$2)/1000*$AQ39</f>
        <v>9.2059956180804626E-9</v>
      </c>
      <c r="CH39" s="7">
        <f>SUMIFS('fuels and tailpipe emissions'!$C$10:$C$126,'fuels and tailpipe emissions'!$A$10:$A$126,'vehicles specifications'!$F39,'fuels and tailpipe emissions'!$B$10:$B$126,'vehicles specifications'!CH$2)/1000*$AQ39</f>
        <v>1.1428132491410231E-8</v>
      </c>
      <c r="CI39" s="7">
        <f>VLOOKUP(B39,'abrasion emissions'!$A$4:$D$32,4,FALSE)</f>
        <v>6.0000000000000002E-6</v>
      </c>
      <c r="CJ39" s="7">
        <f>VLOOKUP(B39,'abrasion emissions'!$A$4:$D$32,2,FALSE)</f>
        <v>6.3939999999999993E-6</v>
      </c>
      <c r="CK39" s="7">
        <f>VLOOKUP(B39,'abrasion emissions'!$A$4:$D$32,3,FALSE)</f>
        <v>6.1789999999999996E-6</v>
      </c>
    </row>
    <row r="40" spans="1:89" x14ac:dyDescent="0.3">
      <c r="A40" t="str">
        <f t="shared" si="1"/>
        <v>Scooter, gasoline, 4-11kW, EURO-4 - 2016 - CH</v>
      </c>
      <c r="B40" t="s">
        <v>637</v>
      </c>
      <c r="D40">
        <v>2016</v>
      </c>
      <c r="E40" t="s">
        <v>37</v>
      </c>
      <c r="F40" t="s">
        <v>148</v>
      </c>
      <c r="G40" t="s">
        <v>39</v>
      </c>
      <c r="H40" t="s">
        <v>35</v>
      </c>
      <c r="J40" s="21">
        <v>39800</v>
      </c>
      <c r="K40" s="21">
        <v>2731</v>
      </c>
      <c r="L40" s="2">
        <f t="shared" si="2"/>
        <v>14.573416331014281</v>
      </c>
      <c r="M40">
        <v>1</v>
      </c>
      <c r="N40">
        <v>70</v>
      </c>
      <c r="O40">
        <v>4</v>
      </c>
      <c r="P40" s="2">
        <f t="shared" si="13"/>
        <v>129.83750000000001</v>
      </c>
      <c r="Q40" s="2">
        <f t="shared" si="3"/>
        <v>203.83750000000001</v>
      </c>
      <c r="R40" s="21">
        <v>8.8000000000000007</v>
      </c>
      <c r="S40" s="2">
        <v>90</v>
      </c>
      <c r="T40" s="1">
        <v>-0.02</v>
      </c>
      <c r="U40" s="2">
        <f t="shared" si="4"/>
        <v>91.8</v>
      </c>
      <c r="V40">
        <v>32</v>
      </c>
      <c r="W40">
        <v>0</v>
      </c>
      <c r="X40" s="3">
        <v>0</v>
      </c>
      <c r="Y40" s="1">
        <v>0.8</v>
      </c>
      <c r="Z40" s="3">
        <f t="shared" si="5"/>
        <v>0</v>
      </c>
      <c r="AA40" s="3">
        <v>0</v>
      </c>
      <c r="AB40" s="3">
        <v>0</v>
      </c>
      <c r="AC40" s="3">
        <f t="shared" si="7"/>
        <v>0</v>
      </c>
      <c r="AD40" s="3">
        <v>0</v>
      </c>
      <c r="AE40" s="3">
        <v>7</v>
      </c>
      <c r="AF40">
        <f>AE40*'fuels and tailpipe emissions'!$B$3</f>
        <v>5.25</v>
      </c>
      <c r="AG40" s="2">
        <f>AF40*'fuels and tailpipe emissions'!$C$3</f>
        <v>61.833333333333329</v>
      </c>
      <c r="AH40" s="3">
        <f t="shared" si="16"/>
        <v>0.78749999999999998</v>
      </c>
      <c r="AI40">
        <v>0</v>
      </c>
      <c r="AJ40">
        <v>0</v>
      </c>
      <c r="AK40">
        <f t="shared" ref="AK40:AK70" si="30">IF(J40/50000&gt;1,J40/50000,1)</f>
        <v>1</v>
      </c>
      <c r="AL40">
        <f t="shared" si="15"/>
        <v>1.0946073750000001E-4</v>
      </c>
      <c r="AM40">
        <v>1.2899999999999999E-3</v>
      </c>
      <c r="AN40" s="2">
        <f t="shared" si="9"/>
        <v>91.8</v>
      </c>
      <c r="AO40" s="2">
        <f t="shared" si="10"/>
        <v>32</v>
      </c>
      <c r="AP40" s="2">
        <f t="shared" si="11"/>
        <v>0</v>
      </c>
      <c r="AQ40" s="6">
        <v>1.0476835800706115</v>
      </c>
      <c r="AR40" s="6" t="str">
        <f>IF($H40="BEV",SUMPRODUCT(#REF!,#REF!),"")</f>
        <v/>
      </c>
      <c r="AS40" s="2">
        <f>SUM(Z40,AG40)/(SUM(AQ40:AR40)/3.6)</f>
        <v>212.46873028686511</v>
      </c>
      <c r="AT40" s="5">
        <f>IF($H40="ICEV-p",$AQ40/('fuels and tailpipe emissions'!$C$3*3.6)*'fuels and tailpipe emissions'!$D$3,"")</f>
        <v>7.8576268505295865E-2</v>
      </c>
      <c r="AU40" s="7">
        <f>IF($H40="ICEV-p",$AQ40/('fuels and tailpipe emissions'!$C$3*3.6)*'fuels and tailpipe emissions'!$E$3,"")</f>
        <v>3.9535229436626849E-7</v>
      </c>
      <c r="AV40" s="7">
        <f>SUMIFS('fuels and tailpipe emissions'!$C$10:$C$126,'fuels and tailpipe emissions'!$A$10:$A$126,'vehicles specifications'!$F40,'fuels and tailpipe emissions'!$B$10:$B$126,'vehicles specifications'!AV$2)/1000*$AQ40</f>
        <v>6.3701440717008236E-5</v>
      </c>
      <c r="AW40" s="7">
        <f>SUMIFS('fuels and tailpipe emissions'!$C$10:$C$126,'fuels and tailpipe emissions'!$A$10:$A$126,'vehicles specifications'!$F40,'fuels and tailpipe emissions'!$B$10:$B$126,'vehicles specifications'!AW$2)/1000*$AQ40</f>
        <v>2.8884122543618082E-5</v>
      </c>
      <c r="AX40" s="7">
        <f>SUMIFS('fuels and tailpipe emissions'!$C$10:$C$126,'fuels and tailpipe emissions'!$A$10:$A$126,'vehicles specifications'!$F40,'fuels and tailpipe emissions'!$B$10:$B$126,'vehicles specifications'!AX$2)/1000*$AQ40</f>
        <v>3.054202404125436E-3</v>
      </c>
      <c r="AY40" s="7">
        <f>SUMIFS('fuels and tailpipe emissions'!$C$10:$C$126,'fuels and tailpipe emissions'!$A$10:$A$126,'vehicles specifications'!$F40,'fuels and tailpipe emissions'!$B$10:$B$126,'vehicles specifications'!AY$2)/1000*$AQ40</f>
        <v>1.465455227986712E-6</v>
      </c>
      <c r="AZ40" s="7">
        <f>SUMIFS('fuels and tailpipe emissions'!$C$10:$C$126,'fuels and tailpipe emissions'!$A$10:$A$126,'vehicles specifications'!$F40,'fuels and tailpipe emissions'!$B$10:$B$126,'vehicles specifications'!AZ$2)/1000*$AQ40</f>
        <v>1.465455227986712E-6</v>
      </c>
      <c r="BA40" s="7">
        <f>SUMIFS('fuels and tailpipe emissions'!$C$10:$C$126,'fuels and tailpipe emissions'!$A$10:$A$126,'vehicles specifications'!$F40,'fuels and tailpipe emissions'!$B$10:$B$126,'vehicles specifications'!BA$2)/1000*$AQ40</f>
        <v>1.0989552634931646E-4</v>
      </c>
      <c r="BB40" s="7">
        <f>SUMIFS('fuels and tailpipe emissions'!$C$10:$C$126,'fuels and tailpipe emissions'!$A$10:$A$126,'vehicles specifications'!$F40,'fuels and tailpipe emissions'!$B$10:$B$126,'vehicles specifications'!BB$2)/1000*$AQ40</f>
        <v>8.416109374327685E-6</v>
      </c>
      <c r="BC40" s="7">
        <f>SUMIFS('fuels and tailpipe emissions'!$C$10:$C$126,'fuels and tailpipe emissions'!$A$10:$A$126,'vehicles specifications'!$F40,'fuels and tailpipe emissions'!$B$10:$B$126,'vehicles specifications'!BC$2)/1000*$AQ40</f>
        <v>5.1369931872325368E-4</v>
      </c>
      <c r="BD40" s="7">
        <f>SUMIFS('fuels and tailpipe emissions'!$C$10:$C$126,'fuels and tailpipe emissions'!$A$10:$A$126,'vehicles specifications'!$F40,'fuels and tailpipe emissions'!$B$10:$B$126,'vehicles specifications'!BD$2)/1000*$AQ40</f>
        <v>3.6222387858690965E-5</v>
      </c>
      <c r="BE40" s="7">
        <f>SUMIFS('fuels and tailpipe emissions'!$C$10:$C$126,'fuels and tailpipe emissions'!$A$10:$A$126,'vehicles specifications'!$F40,'fuels and tailpipe emissions'!$B$10:$B$126,'vehicles specifications'!BE$2)/1000*$AQ40</f>
        <v>7.3807373379777832E-6</v>
      </c>
      <c r="BF40" s="7">
        <f>SUMIFS('fuels and tailpipe emissions'!$C$10:$C$126,'fuels and tailpipe emissions'!$A$10:$A$126,'vehicles specifications'!$F40,'fuels and tailpipe emissions'!$B$10:$B$126,'vehicles specifications'!BF$2)/1000*$AQ40</f>
        <v>5.9500097924620903E-5</v>
      </c>
      <c r="BG40" s="7">
        <f>SUMIFS('fuels and tailpipe emissions'!$C$10:$C$126,'fuels and tailpipe emissions'!$A$10:$A$126,'vehicles specifications'!$F40,'fuels and tailpipe emissions'!$B$10:$B$126,'vehicles specifications'!BG$2)/1000*$AQ40</f>
        <v>2.4413208117926513E-5</v>
      </c>
      <c r="BH40" s="7">
        <f>SUMIFS('fuels and tailpipe emissions'!$C$10:$C$126,'fuels and tailpipe emissions'!$A$10:$A$126,'vehicles specifications'!$F40,'fuels and tailpipe emissions'!$B$10:$B$126,'vehicles specifications'!BH$2)/1000*$AQ40</f>
        <v>1.8281518637144973E-5</v>
      </c>
      <c r="BI40" s="7">
        <f>SUMIFS('fuels and tailpipe emissions'!$C$10:$C$126,'fuels and tailpipe emissions'!$A$10:$A$126,'vehicles specifications'!$F40,'fuels and tailpipe emissions'!$B$10:$B$126,'vehicles specifications'!BI$2)/1000*$AQ40</f>
        <v>1.2944677792761034E-5</v>
      </c>
      <c r="BJ40" s="7">
        <f>SUMIFS('fuels and tailpipe emissions'!$C$10:$C$126,'fuels and tailpipe emissions'!$A$10:$A$126,'vehicles specifications'!$F40,'fuels and tailpipe emissions'!$B$10:$B$126,'vehicles specifications'!BJ$2)/1000*$AQ40</f>
        <v>8.4026855847747068E-6</v>
      </c>
      <c r="BK40" s="7">
        <f>SUMIFS('fuels and tailpipe emissions'!$C$10:$C$126,'fuels and tailpipe emissions'!$A$10:$A$126,'vehicles specifications'!$F40,'fuels and tailpipe emissions'!$B$10:$B$126,'vehicles specifications'!BK$2)/1000*$AQ40</f>
        <v>8.2891357795750482E-5</v>
      </c>
      <c r="BL40" s="7">
        <f>SUMIFS('fuels and tailpipe emissions'!$C$10:$C$126,'fuels and tailpipe emissions'!$A$10:$A$126,'vehicles specifications'!$F40,'fuels and tailpipe emissions'!$B$10:$B$126,'vehicles specifications'!BL$2)/1000*$AQ40</f>
        <v>4.3376025586269431E-5</v>
      </c>
      <c r="BM40" s="7">
        <f>SUMIFS('fuels and tailpipe emissions'!$C$10:$C$126,'fuels and tailpipe emissions'!$A$10:$A$126,'vehicles specifications'!$F40,'fuels and tailpipe emissions'!$B$10:$B$126,'vehicles specifications'!BM$2)/1000*$AQ40</f>
        <v>1.2490478571962403E-6</v>
      </c>
      <c r="BN40" s="7">
        <f>SUMIFS('fuels and tailpipe emissions'!$C$10:$C$126,'fuels and tailpipe emissions'!$A$10:$A$126,'vehicles specifications'!$F40,'fuels and tailpipe emissions'!$B$10:$B$126,'vehicles specifications'!BN$2)/1000*$AQ40</f>
        <v>6.3701440717008236E-5</v>
      </c>
      <c r="BO40" s="7">
        <f>SUMIFS('fuels and tailpipe emissions'!$C$10:$C$126,'fuels and tailpipe emissions'!$A$10:$A$126,'vehicles specifications'!$F40,'fuels and tailpipe emissions'!$B$10:$B$126,'vehicles specifications'!BO$2)/1000*$AQ40</f>
        <v>1.246776861092247E-4</v>
      </c>
      <c r="BP40" s="7">
        <f>SUMIFS('fuels and tailpipe emissions'!$C$10:$C$126,'fuels and tailpipe emissions'!$A$10:$A$126,'vehicles specifications'!$F40,'fuels and tailpipe emissions'!$B$10:$B$126,'vehicles specifications'!BP$2)/1000*$AQ40</f>
        <v>6.1657544223414404E-5</v>
      </c>
      <c r="BQ40" s="7">
        <f>SUMIFS('fuels and tailpipe emissions'!$C$10:$C$126,'fuels and tailpipe emissions'!$A$10:$A$126,'vehicles specifications'!$F40,'fuels and tailpipe emissions'!$B$10:$B$126,'vehicles specifications'!BQ$2)/1000*$AQ40</f>
        <v>2.566225597512275E-5</v>
      </c>
      <c r="BR40" s="7">
        <f>SUMIFS('fuels and tailpipe emissions'!$C$10:$C$126,'fuels and tailpipe emissions'!$A$10:$A$126,'vehicles specifications'!$F40,'fuels and tailpipe emissions'!$B$10:$B$126,'vehicles specifications'!BR$2)/1000*$AQ40</f>
        <v>1.9303466883941896E-5</v>
      </c>
      <c r="BS40" s="7">
        <f>SUMIFS('fuels and tailpipe emissions'!$C$10:$C$126,'fuels and tailpipe emissions'!$A$10:$A$126,'vehicles specifications'!$F40,'fuels and tailpipe emissions'!$B$10:$B$126,'vehicles specifications'!BS$2)/1000*$AQ40</f>
        <v>8.5162353899743643E-6</v>
      </c>
      <c r="BT40" s="7">
        <f>SUMIFS('fuels and tailpipe emissions'!$C$10:$C$126,'fuels and tailpipe emissions'!$A$10:$A$126,'vehicles specifications'!$F40,'fuels and tailpipe emissions'!$B$10:$B$126,'vehicles specifications'!BT$2)/1000*$AQ40</f>
        <v>2.4980957143924805E-6</v>
      </c>
      <c r="BU40" s="7">
        <f>SUMIFS('fuels and tailpipe emissions'!$C$10:$C$126,'fuels and tailpipe emissions'!$A$10:$A$126,'vehicles specifications'!$F40,'fuels and tailpipe emissions'!$B$10:$B$126,'vehicles specifications'!BU$2)/1000*$AQ40</f>
        <v>6.9265381171791515E-6</v>
      </c>
      <c r="BV40" s="7">
        <f>SUMIFS('fuels and tailpipe emissions'!$C$10:$C$126,'fuels and tailpipe emissions'!$A$10:$A$126,'vehicles specifications'!$F40,'fuels and tailpipe emissions'!$B$10:$B$126,'vehicles specifications'!BV$2)/1000*$AQ40</f>
        <v>0</v>
      </c>
      <c r="BW40" s="7">
        <f>SUMIFS('fuels and tailpipe emissions'!$C$10:$C$126,'fuels and tailpipe emissions'!$A$10:$A$126,'vehicles specifications'!$F40,'fuels and tailpipe emissions'!$B$10:$B$126,'vehicles specifications'!BW$2)/1000*$AQ40</f>
        <v>2.1574462987935059E-6</v>
      </c>
      <c r="BX40" s="7">
        <f>SUMIFS('fuels and tailpipe emissions'!$C$10:$C$126,'fuels and tailpipe emissions'!$A$10:$A$126,'vehicles specifications'!$F40,'fuels and tailpipe emissions'!$B$10:$B$126,'vehicles specifications'!BX$2)/1000*$AQ40</f>
        <v>1.1468530325165477E-5</v>
      </c>
      <c r="BY40" s="7">
        <f>SUMIFS('fuels and tailpipe emissions'!$C$10:$C$126,'fuels and tailpipe emissions'!$A$10:$A$126,'vehicles specifications'!$F40,'fuels and tailpipe emissions'!$B$10:$B$126,'vehicles specifications'!BY$2)/1000*$AQ40</f>
        <v>3.6459388586457277E-8</v>
      </c>
      <c r="BZ40" s="7">
        <f>SUMIFS('fuels and tailpipe emissions'!$C$10:$C$126,'fuels and tailpipe emissions'!$A$10:$A$126,'vehicles specifications'!$F40,'fuels and tailpipe emissions'!$B$10:$B$126,'vehicles specifications'!BZ$2)/1000*$AQ40</f>
        <v>3.1430507402118343E-10</v>
      </c>
      <c r="CA40" s="7">
        <f>SUMIFS('fuels and tailpipe emissions'!$C$10:$C$126,'fuels and tailpipe emissions'!$A$10:$A$126,'vehicles specifications'!$F40,'fuels and tailpipe emissions'!$B$10:$B$126,'vehicles specifications'!CA$2)/1000*$AQ40</f>
        <v>2.095367160141223E-10</v>
      </c>
      <c r="CB40" s="7">
        <f>SUMIFS('fuels and tailpipe emissions'!$C$10:$C$126,'fuels and tailpipe emissions'!$A$10:$A$126,'vehicles specifications'!$F40,'fuels and tailpipe emissions'!$B$10:$B$126,'vehicles specifications'!CB$2)/1000*$AQ40</f>
        <v>2.262996532952521E-6</v>
      </c>
      <c r="CC40" s="7">
        <f>SUMIFS('fuels and tailpipe emissions'!$C$10:$C$126,'fuels and tailpipe emissions'!$A$10:$A$126,'vehicles specifications'!$F40,'fuels and tailpipe emissions'!$B$10:$B$126,'vehicles specifications'!CC$2)/1000*$AQ40</f>
        <v>4.4002710362965682E-8</v>
      </c>
      <c r="CD40" s="7">
        <f>SUMIFS('fuels and tailpipe emissions'!$C$10:$C$126,'fuels and tailpipe emissions'!$A$10:$A$126,'vehicles specifications'!$F40,'fuels and tailpipe emissions'!$B$10:$B$126,'vehicles specifications'!CD$2)/1000*$AQ40</f>
        <v>1.3619886540917949E-8</v>
      </c>
      <c r="CE40" s="7">
        <f>SUMIFS('fuels and tailpipe emissions'!$C$10:$C$126,'fuels and tailpipe emissions'!$A$10:$A$126,'vehicles specifications'!$F40,'fuels and tailpipe emissions'!$B$10:$B$126,'vehicles specifications'!CE$2)/1000*$AQ40</f>
        <v>1.6762937281129788E-8</v>
      </c>
      <c r="CF40" s="7">
        <f>SUMIFS('fuels and tailpipe emissions'!$C$10:$C$126,'fuels and tailpipe emissions'!$A$10:$A$126,'vehicles specifications'!$F40,'fuels and tailpipe emissions'!$B$10:$B$126,'vehicles specifications'!CF$2)/1000*$AQ40</f>
        <v>3.3525874562259564E-11</v>
      </c>
      <c r="CG40" s="7">
        <f>SUMIFS('fuels and tailpipe emissions'!$C$10:$C$126,'fuels and tailpipe emissions'!$A$10:$A$126,'vehicles specifications'!$F40,'fuels and tailpipe emissions'!$B$10:$B$126,'vehicles specifications'!CG$2)/1000*$AQ40</f>
        <v>9.1148471466143193E-9</v>
      </c>
      <c r="CH40" s="7">
        <f>SUMIFS('fuels and tailpipe emissions'!$C$10:$C$126,'fuels and tailpipe emissions'!$A$10:$A$126,'vehicles specifications'!$F40,'fuels and tailpipe emissions'!$B$10:$B$126,'vehicles specifications'!CH$2)/1000*$AQ40</f>
        <v>1.1314982664762604E-8</v>
      </c>
      <c r="CI40" s="7">
        <f>VLOOKUP(B40,'abrasion emissions'!$A$4:$D$32,4,FALSE)</f>
        <v>6.0000000000000002E-6</v>
      </c>
      <c r="CJ40" s="7">
        <f>VLOOKUP(B40,'abrasion emissions'!$A$4:$D$32,2,FALSE)</f>
        <v>6.3939999999999993E-6</v>
      </c>
      <c r="CK40" s="7">
        <f>VLOOKUP(B40,'abrasion emissions'!$A$4:$D$32,3,FALSE)</f>
        <v>6.1789999999999996E-6</v>
      </c>
    </row>
    <row r="41" spans="1:89" x14ac:dyDescent="0.3">
      <c r="A41" t="str">
        <f t="shared" si="1"/>
        <v>Scooter, gasoline, 4-11kW, EURO-5 - 2020 - CH</v>
      </c>
      <c r="B41" t="s">
        <v>638</v>
      </c>
      <c r="D41">
        <v>2020</v>
      </c>
      <c r="E41" t="s">
        <v>37</v>
      </c>
      <c r="F41" t="s">
        <v>149</v>
      </c>
      <c r="G41" t="s">
        <v>39</v>
      </c>
      <c r="H41" t="s">
        <v>35</v>
      </c>
      <c r="J41" s="21">
        <v>39800</v>
      </c>
      <c r="K41" s="21">
        <v>2731</v>
      </c>
      <c r="L41" s="2">
        <f t="shared" si="2"/>
        <v>14.573416331014281</v>
      </c>
      <c r="M41">
        <v>1</v>
      </c>
      <c r="N41">
        <v>70</v>
      </c>
      <c r="O41">
        <v>4</v>
      </c>
      <c r="P41" s="2">
        <f t="shared" si="13"/>
        <v>128.03749999999999</v>
      </c>
      <c r="Q41" s="2">
        <f t="shared" si="3"/>
        <v>202.03749999999999</v>
      </c>
      <c r="R41" s="21">
        <v>8.8000000000000007</v>
      </c>
      <c r="S41" s="2">
        <v>90</v>
      </c>
      <c r="T41" s="1">
        <v>0</v>
      </c>
      <c r="U41" s="2">
        <f t="shared" si="4"/>
        <v>90</v>
      </c>
      <c r="V41">
        <v>32</v>
      </c>
      <c r="W41">
        <v>0</v>
      </c>
      <c r="X41" s="3">
        <v>0</v>
      </c>
      <c r="Y41" s="1">
        <v>0.8</v>
      </c>
      <c r="Z41" s="3">
        <f t="shared" si="5"/>
        <v>0</v>
      </c>
      <c r="AA41" s="3">
        <v>0</v>
      </c>
      <c r="AB41" s="3">
        <v>0</v>
      </c>
      <c r="AC41" s="3">
        <f t="shared" si="7"/>
        <v>0</v>
      </c>
      <c r="AD41" s="3">
        <v>0</v>
      </c>
      <c r="AE41" s="3">
        <v>7</v>
      </c>
      <c r="AF41">
        <f>AE41*'fuels and tailpipe emissions'!$B$3</f>
        <v>5.25</v>
      </c>
      <c r="AG41" s="2">
        <f>AF41*'fuels and tailpipe emissions'!$C$3</f>
        <v>61.833333333333329</v>
      </c>
      <c r="AH41" s="3">
        <f t="shared" si="16"/>
        <v>0.78749999999999998</v>
      </c>
      <c r="AI41">
        <v>0</v>
      </c>
      <c r="AJ41">
        <v>0</v>
      </c>
      <c r="AK41">
        <f t="shared" si="30"/>
        <v>1</v>
      </c>
      <c r="AL41">
        <f t="shared" si="15"/>
        <v>1.084941375E-4</v>
      </c>
      <c r="AM41">
        <v>1.2899999999999999E-3</v>
      </c>
      <c r="AN41" s="2">
        <f t="shared" si="9"/>
        <v>90</v>
      </c>
      <c r="AO41" s="2">
        <f t="shared" si="10"/>
        <v>32</v>
      </c>
      <c r="AP41" s="2">
        <f t="shared" si="11"/>
        <v>0</v>
      </c>
      <c r="AQ41" s="6">
        <v>1.0372067442699053</v>
      </c>
      <c r="AR41" s="6" t="str">
        <f>IF($H41="BEV",SUMPRODUCT(#REF!,#REF!),"")</f>
        <v/>
      </c>
      <c r="AS41" s="2">
        <f>SUM(Z41,AG41)/(SUM(AQ41:AR41)/3.6)</f>
        <v>214.61487907764152</v>
      </c>
      <c r="AT41" s="5">
        <f>IF($H41="ICEV-p",$AQ41/('fuels and tailpipe emissions'!$C$3*3.6)*'fuels and tailpipe emissions'!$D$3,"")</f>
        <v>7.7790505820242911E-2</v>
      </c>
      <c r="AU41" s="7">
        <f>IF($H41="ICEV-p",$AQ41/('fuels and tailpipe emissions'!$C$3*3.6)*'fuels and tailpipe emissions'!$E$3,"")</f>
        <v>3.9139877142260582E-7</v>
      </c>
      <c r="AV41" s="7">
        <f>SUMIFS('fuels and tailpipe emissions'!$C$10:$C$126,'fuels and tailpipe emissions'!$A$10:$A$126,'vehicles specifications'!$F41,'fuels and tailpipe emissions'!$B$10:$B$126,'vehicles specifications'!AV$2)/1000*$AQ41</f>
        <v>6.3064426309838157E-5</v>
      </c>
      <c r="AW41" s="7">
        <f>SUMIFS('fuels and tailpipe emissions'!$C$10:$C$126,'fuels and tailpipe emissions'!$A$10:$A$126,'vehicles specifications'!$F41,'fuels and tailpipe emissions'!$B$10:$B$126,'vehicles specifications'!AW$2)/1000*$AQ41</f>
        <v>2.8595281318181901E-5</v>
      </c>
      <c r="AX41" s="7">
        <f>SUMIFS('fuels and tailpipe emissions'!$C$10:$C$126,'fuels and tailpipe emissions'!$A$10:$A$126,'vehicles specifications'!$F41,'fuels and tailpipe emissions'!$B$10:$B$126,'vehicles specifications'!AX$2)/1000*$AQ41</f>
        <v>3.0236603800841816E-3</v>
      </c>
      <c r="AY41" s="7">
        <f>SUMIFS('fuels and tailpipe emissions'!$C$10:$C$126,'fuels and tailpipe emissions'!$A$10:$A$126,'vehicles specifications'!$F41,'fuels and tailpipe emissions'!$B$10:$B$126,'vehicles specifications'!AY$2)/1000*$AQ41</f>
        <v>1.4508006757068449E-6</v>
      </c>
      <c r="AZ41" s="7">
        <f>SUMIFS('fuels and tailpipe emissions'!$C$10:$C$126,'fuels and tailpipe emissions'!$A$10:$A$126,'vehicles specifications'!$F41,'fuels and tailpipe emissions'!$B$10:$B$126,'vehicles specifications'!AZ$2)/1000*$AQ41</f>
        <v>1.4508006757068449E-6</v>
      </c>
      <c r="BA41" s="7">
        <f>SUMIFS('fuels and tailpipe emissions'!$C$10:$C$126,'fuels and tailpipe emissions'!$A$10:$A$126,'vehicles specifications'!$F41,'fuels and tailpipe emissions'!$B$10:$B$126,'vehicles specifications'!BA$2)/1000*$AQ41</f>
        <v>1.0879657108582329E-4</v>
      </c>
      <c r="BB41" s="7">
        <f>SUMIFS('fuels and tailpipe emissions'!$C$10:$C$126,'fuels and tailpipe emissions'!$A$10:$A$126,'vehicles specifications'!$F41,'fuels and tailpipe emissions'!$B$10:$B$126,'vehicles specifications'!BB$2)/1000*$AQ41</f>
        <v>8.3319482805844091E-6</v>
      </c>
      <c r="BC41" s="7">
        <f>SUMIFS('fuels and tailpipe emissions'!$C$10:$C$126,'fuels and tailpipe emissions'!$A$10:$A$126,'vehicles specifications'!$F41,'fuels and tailpipe emissions'!$B$10:$B$126,'vehicles specifications'!BC$2)/1000*$AQ41</f>
        <v>5.0856232553602115E-4</v>
      </c>
      <c r="BD41" s="7">
        <f>SUMIFS('fuels and tailpipe emissions'!$C$10:$C$126,'fuels and tailpipe emissions'!$A$10:$A$126,'vehicles specifications'!$F41,'fuels and tailpipe emissions'!$B$10:$B$126,'vehicles specifications'!BD$2)/1000*$AQ41</f>
        <v>3.5860163980104051E-5</v>
      </c>
      <c r="BE41" s="7">
        <f>SUMIFS('fuels and tailpipe emissions'!$C$10:$C$126,'fuels and tailpipe emissions'!$A$10:$A$126,'vehicles specifications'!$F41,'fuels and tailpipe emissions'!$B$10:$B$126,'vehicles specifications'!BE$2)/1000*$AQ41</f>
        <v>7.3069299645980046E-6</v>
      </c>
      <c r="BF41" s="7">
        <f>SUMIFS('fuels and tailpipe emissions'!$C$10:$C$126,'fuels and tailpipe emissions'!$A$10:$A$126,'vehicles specifications'!$F41,'fuels and tailpipe emissions'!$B$10:$B$126,'vehicles specifications'!BF$2)/1000*$AQ41</f>
        <v>5.8905096945374687E-5</v>
      </c>
      <c r="BG41" s="7">
        <f>SUMIFS('fuels and tailpipe emissions'!$C$10:$C$126,'fuels and tailpipe emissions'!$A$10:$A$126,'vehicles specifications'!$F41,'fuels and tailpipe emissions'!$B$10:$B$126,'vehicles specifications'!BG$2)/1000*$AQ41</f>
        <v>2.4169076036747247E-5</v>
      </c>
      <c r="BH41" s="7">
        <f>SUMIFS('fuels and tailpipe emissions'!$C$10:$C$126,'fuels and tailpipe emissions'!$A$10:$A$126,'vehicles specifications'!$F41,'fuels and tailpipe emissions'!$B$10:$B$126,'vehicles specifications'!BH$2)/1000*$AQ41</f>
        <v>1.8098703450773521E-5</v>
      </c>
      <c r="BI41" s="7">
        <f>SUMIFS('fuels and tailpipe emissions'!$C$10:$C$126,'fuels and tailpipe emissions'!$A$10:$A$126,'vehicles specifications'!$F41,'fuels and tailpipe emissions'!$B$10:$B$126,'vehicles specifications'!BI$2)/1000*$AQ41</f>
        <v>1.2815231014833424E-5</v>
      </c>
      <c r="BJ41" s="7">
        <f>SUMIFS('fuels and tailpipe emissions'!$C$10:$C$126,'fuels and tailpipe emissions'!$A$10:$A$126,'vehicles specifications'!$F41,'fuels and tailpipe emissions'!$B$10:$B$126,'vehicles specifications'!BJ$2)/1000*$AQ41</f>
        <v>8.3186587289269597E-6</v>
      </c>
      <c r="BK41" s="7">
        <f>SUMIFS('fuels and tailpipe emissions'!$C$10:$C$126,'fuels and tailpipe emissions'!$A$10:$A$126,'vehicles specifications'!$F41,'fuels and tailpipe emissions'!$B$10:$B$126,'vehicles specifications'!BK$2)/1000*$AQ41</f>
        <v>8.2062444217792976E-5</v>
      </c>
      <c r="BL41" s="7">
        <f>SUMIFS('fuels and tailpipe emissions'!$C$10:$C$126,'fuels and tailpipe emissions'!$A$10:$A$126,'vehicles specifications'!$F41,'fuels and tailpipe emissions'!$B$10:$B$126,'vehicles specifications'!BL$2)/1000*$AQ41</f>
        <v>4.2942265330406731E-5</v>
      </c>
      <c r="BM41" s="7">
        <f>SUMIFS('fuels and tailpipe emissions'!$C$10:$C$126,'fuels and tailpipe emissions'!$A$10:$A$126,'vehicles specifications'!$F41,'fuels and tailpipe emissions'!$B$10:$B$126,'vehicles specifications'!BM$2)/1000*$AQ41</f>
        <v>1.2365573786242778E-6</v>
      </c>
      <c r="BN41" s="7">
        <f>SUMIFS('fuels and tailpipe emissions'!$C$10:$C$126,'fuels and tailpipe emissions'!$A$10:$A$126,'vehicles specifications'!$F41,'fuels and tailpipe emissions'!$B$10:$B$126,'vehicles specifications'!BN$2)/1000*$AQ41</f>
        <v>6.3064426309838157E-5</v>
      </c>
      <c r="BO41" s="7">
        <f>SUMIFS('fuels and tailpipe emissions'!$C$10:$C$126,'fuels and tailpipe emissions'!$A$10:$A$126,'vehicles specifications'!$F41,'fuels and tailpipe emissions'!$B$10:$B$126,'vehicles specifications'!BO$2)/1000*$AQ41</f>
        <v>1.2343090924813246E-4</v>
      </c>
      <c r="BP41" s="7">
        <f>SUMIFS('fuels and tailpipe emissions'!$C$10:$C$126,'fuels and tailpipe emissions'!$A$10:$A$126,'vehicles specifications'!$F41,'fuels and tailpipe emissions'!$B$10:$B$126,'vehicles specifications'!BP$2)/1000*$AQ41</f>
        <v>6.1040968781180262E-5</v>
      </c>
      <c r="BQ41" s="7">
        <f>SUMIFS('fuels and tailpipe emissions'!$C$10:$C$126,'fuels and tailpipe emissions'!$A$10:$A$126,'vehicles specifications'!$F41,'fuels and tailpipe emissions'!$B$10:$B$126,'vehicles specifications'!BQ$2)/1000*$AQ41</f>
        <v>2.5405633415371523E-5</v>
      </c>
      <c r="BR41" s="7">
        <f>SUMIFS('fuels and tailpipe emissions'!$C$10:$C$126,'fuels and tailpipe emissions'!$A$10:$A$126,'vehicles specifications'!$F41,'fuels and tailpipe emissions'!$B$10:$B$126,'vehicles specifications'!BR$2)/1000*$AQ41</f>
        <v>1.9110432215102475E-5</v>
      </c>
      <c r="BS41" s="7">
        <f>SUMIFS('fuels and tailpipe emissions'!$C$10:$C$126,'fuels and tailpipe emissions'!$A$10:$A$126,'vehicles specifications'!$F41,'fuels and tailpipe emissions'!$B$10:$B$126,'vehicles specifications'!BS$2)/1000*$AQ41</f>
        <v>8.4310730360746207E-6</v>
      </c>
      <c r="BT41" s="7">
        <f>SUMIFS('fuels and tailpipe emissions'!$C$10:$C$126,'fuels and tailpipe emissions'!$A$10:$A$126,'vehicles specifications'!$F41,'fuels and tailpipe emissions'!$B$10:$B$126,'vehicles specifications'!BT$2)/1000*$AQ41</f>
        <v>2.4731147572485556E-6</v>
      </c>
      <c r="BU41" s="7">
        <f>SUMIFS('fuels and tailpipe emissions'!$C$10:$C$126,'fuels and tailpipe emissions'!$A$10:$A$126,'vehicles specifications'!$F41,'fuels and tailpipe emissions'!$B$10:$B$126,'vehicles specifications'!BU$2)/1000*$AQ41</f>
        <v>6.8572727360073596E-6</v>
      </c>
      <c r="BV41" s="7">
        <f>SUMIFS('fuels and tailpipe emissions'!$C$10:$C$126,'fuels and tailpipe emissions'!$A$10:$A$126,'vehicles specifications'!$F41,'fuels and tailpipe emissions'!$B$10:$B$126,'vehicles specifications'!BV$2)/1000*$AQ41</f>
        <v>0</v>
      </c>
      <c r="BW41" s="7">
        <f>SUMIFS('fuels and tailpipe emissions'!$C$10:$C$126,'fuels and tailpipe emissions'!$A$10:$A$126,'vehicles specifications'!$F41,'fuels and tailpipe emissions'!$B$10:$B$126,'vehicles specifications'!BW$2)/1000*$AQ41</f>
        <v>2.1358718358055709E-6</v>
      </c>
      <c r="BX41" s="7">
        <f>SUMIFS('fuels and tailpipe emissions'!$C$10:$C$126,'fuels and tailpipe emissions'!$A$10:$A$126,'vehicles specifications'!$F41,'fuels and tailpipe emissions'!$B$10:$B$126,'vehicles specifications'!BX$2)/1000*$AQ41</f>
        <v>1.1353845021913823E-5</v>
      </c>
      <c r="BY41" s="7">
        <f>SUMIFS('fuels and tailpipe emissions'!$C$10:$C$126,'fuels and tailpipe emissions'!$A$10:$A$126,'vehicles specifications'!$F41,'fuels and tailpipe emissions'!$B$10:$B$126,'vehicles specifications'!BY$2)/1000*$AQ41</f>
        <v>3.6094794700592704E-8</v>
      </c>
      <c r="BZ41" s="7">
        <f>SUMIFS('fuels and tailpipe emissions'!$C$10:$C$126,'fuels and tailpipe emissions'!$A$10:$A$126,'vehicles specifications'!$F41,'fuels and tailpipe emissions'!$B$10:$B$126,'vehicles specifications'!BZ$2)/1000*$AQ41</f>
        <v>3.1116202328097162E-10</v>
      </c>
      <c r="CA41" s="7">
        <f>SUMIFS('fuels and tailpipe emissions'!$C$10:$C$126,'fuels and tailpipe emissions'!$A$10:$A$126,'vehicles specifications'!$F41,'fuels and tailpipe emissions'!$B$10:$B$126,'vehicles specifications'!CA$2)/1000*$AQ41</f>
        <v>2.0744134885398107E-10</v>
      </c>
      <c r="CB41" s="7">
        <f>SUMIFS('fuels and tailpipe emissions'!$C$10:$C$126,'fuels and tailpipe emissions'!$A$10:$A$126,'vehicles specifications'!$F41,'fuels and tailpipe emissions'!$B$10:$B$126,'vehicles specifications'!CB$2)/1000*$AQ41</f>
        <v>2.2403665676229954E-6</v>
      </c>
      <c r="CC41" s="7">
        <f>SUMIFS('fuels and tailpipe emissions'!$C$10:$C$126,'fuels and tailpipe emissions'!$A$10:$A$126,'vehicles specifications'!$F41,'fuels and tailpipe emissions'!$B$10:$B$126,'vehicles specifications'!CC$2)/1000*$AQ41</f>
        <v>4.3562683259336024E-8</v>
      </c>
      <c r="CD41" s="7">
        <f>SUMIFS('fuels and tailpipe emissions'!$C$10:$C$126,'fuels and tailpipe emissions'!$A$10:$A$126,'vehicles specifications'!$F41,'fuels and tailpipe emissions'!$B$10:$B$126,'vehicles specifications'!CD$2)/1000*$AQ41</f>
        <v>1.348368767550877E-8</v>
      </c>
      <c r="CE41" s="7">
        <f>SUMIFS('fuels and tailpipe emissions'!$C$10:$C$126,'fuels and tailpipe emissions'!$A$10:$A$126,'vehicles specifications'!$F41,'fuels and tailpipe emissions'!$B$10:$B$126,'vehicles specifications'!CE$2)/1000*$AQ41</f>
        <v>1.659530790831849E-8</v>
      </c>
      <c r="CF41" s="7">
        <f>SUMIFS('fuels and tailpipe emissions'!$C$10:$C$126,'fuels and tailpipe emissions'!$A$10:$A$126,'vehicles specifications'!$F41,'fuels and tailpipe emissions'!$B$10:$B$126,'vehicles specifications'!CF$2)/1000*$AQ41</f>
        <v>3.3190615816636971E-11</v>
      </c>
      <c r="CG41" s="7">
        <f>SUMIFS('fuels and tailpipe emissions'!$C$10:$C$126,'fuels and tailpipe emissions'!$A$10:$A$126,'vehicles specifications'!$F41,'fuels and tailpipe emissions'!$B$10:$B$126,'vehicles specifications'!CG$2)/1000*$AQ41</f>
        <v>9.0236986751481759E-9</v>
      </c>
      <c r="CH41" s="7">
        <f>SUMIFS('fuels and tailpipe emissions'!$C$10:$C$126,'fuels and tailpipe emissions'!$A$10:$A$126,'vehicles specifications'!$F41,'fuels and tailpipe emissions'!$B$10:$B$126,'vehicles specifications'!CH$2)/1000*$AQ41</f>
        <v>1.1201832838114978E-8</v>
      </c>
      <c r="CI41" s="7">
        <f>VLOOKUP(B41,'abrasion emissions'!$A$4:$D$32,4,FALSE)</f>
        <v>6.0000000000000002E-6</v>
      </c>
      <c r="CJ41" s="7">
        <f>VLOOKUP(B41,'abrasion emissions'!$A$4:$D$32,2,FALSE)</f>
        <v>6.3939999999999993E-6</v>
      </c>
      <c r="CK41" s="7">
        <f>VLOOKUP(B41,'abrasion emissions'!$A$4:$D$32,3,FALSE)</f>
        <v>6.1789999999999996E-6</v>
      </c>
    </row>
    <row r="42" spans="1:89" x14ac:dyDescent="0.3">
      <c r="A42" t="str">
        <f t="shared" si="1"/>
        <v>Scooter, gasoline, 4-11kW, EURO-5 - 2030 - CH</v>
      </c>
      <c r="B42" t="s">
        <v>638</v>
      </c>
      <c r="D42">
        <v>2030</v>
      </c>
      <c r="E42" t="s">
        <v>37</v>
      </c>
      <c r="F42" t="s">
        <v>149</v>
      </c>
      <c r="G42" t="s">
        <v>39</v>
      </c>
      <c r="H42" t="s">
        <v>35</v>
      </c>
      <c r="J42" s="21">
        <v>39800</v>
      </c>
      <c r="K42" s="21">
        <v>2731</v>
      </c>
      <c r="L42" s="2">
        <f t="shared" si="2"/>
        <v>14.573416331014281</v>
      </c>
      <c r="M42">
        <v>1</v>
      </c>
      <c r="N42">
        <v>70</v>
      </c>
      <c r="O42">
        <v>4</v>
      </c>
      <c r="P42" s="2">
        <f t="shared" si="13"/>
        <v>124.33749999999999</v>
      </c>
      <c r="Q42" s="2">
        <f t="shared" si="3"/>
        <v>198.33749999999998</v>
      </c>
      <c r="R42" s="21">
        <v>8.8000000000000007</v>
      </c>
      <c r="S42" s="2">
        <v>90</v>
      </c>
      <c r="T42" s="1">
        <v>0.03</v>
      </c>
      <c r="U42" s="2">
        <f t="shared" si="4"/>
        <v>87.3</v>
      </c>
      <c r="V42">
        <v>31</v>
      </c>
      <c r="W42">
        <v>0</v>
      </c>
      <c r="X42" s="3">
        <v>0</v>
      </c>
      <c r="Y42" s="1">
        <v>0.8</v>
      </c>
      <c r="Z42" s="3">
        <f t="shared" si="5"/>
        <v>0</v>
      </c>
      <c r="AA42" s="3">
        <v>0</v>
      </c>
      <c r="AB42" s="3">
        <v>0</v>
      </c>
      <c r="AC42" s="3">
        <f t="shared" si="7"/>
        <v>0</v>
      </c>
      <c r="AD42" s="3">
        <v>0</v>
      </c>
      <c r="AE42" s="3">
        <v>7</v>
      </c>
      <c r="AF42">
        <f>AE42*'fuels and tailpipe emissions'!$B$3</f>
        <v>5.25</v>
      </c>
      <c r="AG42" s="2">
        <f>AF42*'fuels and tailpipe emissions'!$C$3</f>
        <v>61.833333333333329</v>
      </c>
      <c r="AH42" s="3">
        <f t="shared" si="16"/>
        <v>0.78749999999999998</v>
      </c>
      <c r="AI42">
        <v>0</v>
      </c>
      <c r="AJ42">
        <v>0</v>
      </c>
      <c r="AK42">
        <f t="shared" si="30"/>
        <v>1</v>
      </c>
      <c r="AL42">
        <f t="shared" si="15"/>
        <v>1.0650723749999999E-4</v>
      </c>
      <c r="AM42">
        <v>1.2899999999999999E-3</v>
      </c>
      <c r="AN42" s="2">
        <f t="shared" si="9"/>
        <v>87.3</v>
      </c>
      <c r="AO42" s="2">
        <f t="shared" si="10"/>
        <v>31</v>
      </c>
      <c r="AP42" s="2">
        <f t="shared" si="11"/>
        <v>0</v>
      </c>
      <c r="AQ42" s="6">
        <v>1.0268346768272063</v>
      </c>
      <c r="AR42" s="6" t="str">
        <f>IF($H42="BEV",SUMPRODUCT(#REF!,#REF!),"")</f>
        <v/>
      </c>
      <c r="AS42" s="2">
        <f>SUM(Z42,AG42)/(SUM(AQ42:AR42)/3.6)</f>
        <v>216.78270613903183</v>
      </c>
      <c r="AT42" s="5">
        <f>IF($H42="ICEV-p",$AQ42/('fuels and tailpipe emissions'!$C$3*3.6)*'fuels and tailpipe emissions'!$D$3,"")</f>
        <v>7.7012600762040473E-2</v>
      </c>
      <c r="AU42" s="7">
        <f>IF($H42="ICEV-p",$AQ42/('fuels and tailpipe emissions'!$C$3*3.6)*'fuels and tailpipe emissions'!$E$3,"")</f>
        <v>3.874847837083797E-7</v>
      </c>
      <c r="AV42" s="7">
        <f>SUMIFS('fuels and tailpipe emissions'!$C$10:$C$126,'fuels and tailpipe emissions'!$A$10:$A$126,'vehicles specifications'!$F42,'fuels and tailpipe emissions'!$B$10:$B$126,'vehicles specifications'!AV$2)/1000*$AQ42</f>
        <v>6.2433782046739775E-5</v>
      </c>
      <c r="AW42" s="7">
        <f>SUMIFS('fuels and tailpipe emissions'!$C$10:$C$126,'fuels and tailpipe emissions'!$A$10:$A$126,'vehicles specifications'!$F42,'fuels and tailpipe emissions'!$B$10:$B$126,'vehicles specifications'!AW$2)/1000*$AQ42</f>
        <v>2.8309328505000081E-5</v>
      </c>
      <c r="AX42" s="7">
        <f>SUMIFS('fuels and tailpipe emissions'!$C$10:$C$126,'fuels and tailpipe emissions'!$A$10:$A$126,'vehicles specifications'!$F42,'fuels and tailpipe emissions'!$B$10:$B$126,'vehicles specifications'!AX$2)/1000*$AQ42</f>
        <v>2.99342377628334E-3</v>
      </c>
      <c r="AY42" s="7">
        <f>SUMIFS('fuels and tailpipe emissions'!$C$10:$C$126,'fuels and tailpipe emissions'!$A$10:$A$126,'vehicles specifications'!$F42,'fuels and tailpipe emissions'!$B$10:$B$126,'vehicles specifications'!AY$2)/1000*$AQ42</f>
        <v>1.4362926689497763E-6</v>
      </c>
      <c r="AZ42" s="7">
        <f>SUMIFS('fuels and tailpipe emissions'!$C$10:$C$126,'fuels and tailpipe emissions'!$A$10:$A$126,'vehicles specifications'!$F42,'fuels and tailpipe emissions'!$B$10:$B$126,'vehicles specifications'!AZ$2)/1000*$AQ42</f>
        <v>1.4362926689497763E-6</v>
      </c>
      <c r="BA42" s="7">
        <f>SUMIFS('fuels and tailpipe emissions'!$C$10:$C$126,'fuels and tailpipe emissions'!$A$10:$A$126,'vehicles specifications'!$F42,'fuels and tailpipe emissions'!$B$10:$B$126,'vehicles specifications'!BA$2)/1000*$AQ42</f>
        <v>1.0770860537496506E-4</v>
      </c>
      <c r="BB42" s="7">
        <f>SUMIFS('fuels and tailpipe emissions'!$C$10:$C$126,'fuels and tailpipe emissions'!$A$10:$A$126,'vehicles specifications'!$F42,'fuels and tailpipe emissions'!$B$10:$B$126,'vehicles specifications'!BB$2)/1000*$AQ42</f>
        <v>8.248628797778565E-6</v>
      </c>
      <c r="BC42" s="7">
        <f>SUMIFS('fuels and tailpipe emissions'!$C$10:$C$126,'fuels and tailpipe emissions'!$A$10:$A$126,'vehicles specifications'!$F42,'fuels and tailpipe emissions'!$B$10:$B$126,'vehicles specifications'!BC$2)/1000*$AQ42</f>
        <v>5.0347670228066102E-4</v>
      </c>
      <c r="BD42" s="7">
        <f>SUMIFS('fuels and tailpipe emissions'!$C$10:$C$126,'fuels and tailpipe emissions'!$A$10:$A$126,'vehicles specifications'!$F42,'fuels and tailpipe emissions'!$B$10:$B$126,'vehicles specifications'!BD$2)/1000*$AQ42</f>
        <v>3.550156234030301E-5</v>
      </c>
      <c r="BE42" s="7">
        <f>SUMIFS('fuels and tailpipe emissions'!$C$10:$C$126,'fuels and tailpipe emissions'!$A$10:$A$126,'vehicles specifications'!$F42,'fuels and tailpipe emissions'!$B$10:$B$126,'vehicles specifications'!BE$2)/1000*$AQ42</f>
        <v>7.2338606649520251E-6</v>
      </c>
      <c r="BF42" s="7">
        <f>SUMIFS('fuels and tailpipe emissions'!$C$10:$C$126,'fuels and tailpipe emissions'!$A$10:$A$126,'vehicles specifications'!$F42,'fuels and tailpipe emissions'!$B$10:$B$126,'vehicles specifications'!BF$2)/1000*$AQ42</f>
        <v>5.8316045975920942E-5</v>
      </c>
      <c r="BG42" s="7">
        <f>SUMIFS('fuels and tailpipe emissions'!$C$10:$C$126,'fuels and tailpipe emissions'!$A$10:$A$126,'vehicles specifications'!$F42,'fuels and tailpipe emissions'!$B$10:$B$126,'vehicles specifications'!BG$2)/1000*$AQ42</f>
        <v>2.3927385276379776E-5</v>
      </c>
      <c r="BH42" s="7">
        <f>SUMIFS('fuels and tailpipe emissions'!$C$10:$C$126,'fuels and tailpipe emissions'!$A$10:$A$126,'vehicles specifications'!$F42,'fuels and tailpipe emissions'!$B$10:$B$126,'vehicles specifications'!BH$2)/1000*$AQ42</f>
        <v>1.7917716416265787E-5</v>
      </c>
      <c r="BI42" s="7">
        <f>SUMIFS('fuels and tailpipe emissions'!$C$10:$C$126,'fuels and tailpipe emissions'!$A$10:$A$126,'vehicles specifications'!$F42,'fuels and tailpipe emissions'!$B$10:$B$126,'vehicles specifications'!BI$2)/1000*$AQ42</f>
        <v>1.268707870468509E-5</v>
      </c>
      <c r="BJ42" s="7">
        <f>SUMIFS('fuels and tailpipe emissions'!$C$10:$C$126,'fuels and tailpipe emissions'!$A$10:$A$126,'vehicles specifications'!$F42,'fuels and tailpipe emissions'!$B$10:$B$126,'vehicles specifications'!BJ$2)/1000*$AQ42</f>
        <v>8.2354721416376894E-6</v>
      </c>
      <c r="BK42" s="7">
        <f>SUMIFS('fuels and tailpipe emissions'!$C$10:$C$126,'fuels and tailpipe emissions'!$A$10:$A$126,'vehicles specifications'!$F42,'fuels and tailpipe emissions'!$B$10:$B$126,'vehicles specifications'!BK$2)/1000*$AQ42</f>
        <v>8.1241819775615057E-5</v>
      </c>
      <c r="BL42" s="7">
        <f>SUMIFS('fuels and tailpipe emissions'!$C$10:$C$126,'fuels and tailpipe emissions'!$A$10:$A$126,'vehicles specifications'!$F42,'fuels and tailpipe emissions'!$B$10:$B$126,'vehicles specifications'!BL$2)/1000*$AQ42</f>
        <v>4.2512842677102667E-5</v>
      </c>
      <c r="BM42" s="7">
        <f>SUMIFS('fuels and tailpipe emissions'!$C$10:$C$126,'fuels and tailpipe emissions'!$A$10:$A$126,'vehicles specifications'!$F42,'fuels and tailpipe emissions'!$B$10:$B$126,'vehicles specifications'!BM$2)/1000*$AQ42</f>
        <v>1.2241918048380351E-6</v>
      </c>
      <c r="BN42" s="7">
        <f>SUMIFS('fuels and tailpipe emissions'!$C$10:$C$126,'fuels and tailpipe emissions'!$A$10:$A$126,'vehicles specifications'!$F42,'fuels and tailpipe emissions'!$B$10:$B$126,'vehicles specifications'!BN$2)/1000*$AQ42</f>
        <v>6.2433782046739775E-5</v>
      </c>
      <c r="BO42" s="7">
        <f>SUMIFS('fuels and tailpipe emissions'!$C$10:$C$126,'fuels and tailpipe emissions'!$A$10:$A$126,'vehicles specifications'!$F42,'fuels and tailpipe emissions'!$B$10:$B$126,'vehicles specifications'!BO$2)/1000*$AQ42</f>
        <v>1.2219660015565112E-4</v>
      </c>
      <c r="BP42" s="7">
        <f>SUMIFS('fuels and tailpipe emissions'!$C$10:$C$126,'fuels and tailpipe emissions'!$A$10:$A$126,'vehicles specifications'!$F42,'fuels and tailpipe emissions'!$B$10:$B$126,'vehicles specifications'!BP$2)/1000*$AQ42</f>
        <v>6.043055909336846E-5</v>
      </c>
      <c r="BQ42" s="7">
        <f>SUMIFS('fuels and tailpipe emissions'!$C$10:$C$126,'fuels and tailpipe emissions'!$A$10:$A$126,'vehicles specifications'!$F42,'fuels and tailpipe emissions'!$B$10:$B$126,'vehicles specifications'!BQ$2)/1000*$AQ42</f>
        <v>2.515157708121781E-5</v>
      </c>
      <c r="BR42" s="7">
        <f>SUMIFS('fuels and tailpipe emissions'!$C$10:$C$126,'fuels and tailpipe emissions'!$A$10:$A$126,'vehicles specifications'!$F42,'fuels and tailpipe emissions'!$B$10:$B$126,'vehicles specifications'!BR$2)/1000*$AQ42</f>
        <v>1.8919327892951451E-5</v>
      </c>
      <c r="BS42" s="7">
        <f>SUMIFS('fuels and tailpipe emissions'!$C$10:$C$126,'fuels and tailpipe emissions'!$A$10:$A$126,'vehicles specifications'!$F42,'fuels and tailpipe emissions'!$B$10:$B$126,'vehicles specifications'!BS$2)/1000*$AQ42</f>
        <v>8.3467623057138745E-6</v>
      </c>
      <c r="BT42" s="7">
        <f>SUMIFS('fuels and tailpipe emissions'!$C$10:$C$126,'fuels and tailpipe emissions'!$A$10:$A$126,'vehicles specifications'!$F42,'fuels and tailpipe emissions'!$B$10:$B$126,'vehicles specifications'!BT$2)/1000*$AQ42</f>
        <v>2.4483836096760702E-6</v>
      </c>
      <c r="BU42" s="7">
        <f>SUMIFS('fuels and tailpipe emissions'!$C$10:$C$126,'fuels and tailpipe emissions'!$A$10:$A$126,'vehicles specifications'!$F42,'fuels and tailpipe emissions'!$B$10:$B$126,'vehicles specifications'!BU$2)/1000*$AQ42</f>
        <v>6.7887000086472864E-6</v>
      </c>
      <c r="BV42" s="7">
        <f>SUMIFS('fuels and tailpipe emissions'!$C$10:$C$126,'fuels and tailpipe emissions'!$A$10:$A$126,'vehicles specifications'!$F42,'fuels and tailpipe emissions'!$B$10:$B$126,'vehicles specifications'!BV$2)/1000*$AQ42</f>
        <v>0</v>
      </c>
      <c r="BW42" s="7">
        <f>SUMIFS('fuels and tailpipe emissions'!$C$10:$C$126,'fuels and tailpipe emissions'!$A$10:$A$126,'vehicles specifications'!$F42,'fuels and tailpipe emissions'!$B$10:$B$126,'vehicles specifications'!BW$2)/1000*$AQ42</f>
        <v>2.1145131174475149E-6</v>
      </c>
      <c r="BX42" s="7">
        <f>SUMIFS('fuels and tailpipe emissions'!$C$10:$C$126,'fuels and tailpipe emissions'!$A$10:$A$126,'vehicles specifications'!$F42,'fuels and tailpipe emissions'!$B$10:$B$126,'vehicles specifications'!BX$2)/1000*$AQ42</f>
        <v>1.1240306571694684E-5</v>
      </c>
      <c r="BY42" s="7">
        <f>SUMIFS('fuels and tailpipe emissions'!$C$10:$C$126,'fuels and tailpipe emissions'!$A$10:$A$126,'vehicles specifications'!$F42,'fuels and tailpipe emissions'!$B$10:$B$126,'vehicles specifications'!BY$2)/1000*$AQ42</f>
        <v>3.5733846753586782E-8</v>
      </c>
      <c r="BZ42" s="7">
        <f>SUMIFS('fuels and tailpipe emissions'!$C$10:$C$126,'fuels and tailpipe emissions'!$A$10:$A$126,'vehicles specifications'!$F42,'fuels and tailpipe emissions'!$B$10:$B$126,'vehicles specifications'!BZ$2)/1000*$AQ42</f>
        <v>3.0805040304816191E-10</v>
      </c>
      <c r="CA42" s="7">
        <f>SUMIFS('fuels and tailpipe emissions'!$C$10:$C$126,'fuels and tailpipe emissions'!$A$10:$A$126,'vehicles specifications'!$F42,'fuels and tailpipe emissions'!$B$10:$B$126,'vehicles specifications'!CA$2)/1000*$AQ42</f>
        <v>2.0536693536544127E-10</v>
      </c>
      <c r="CB42" s="7">
        <f>SUMIFS('fuels and tailpipe emissions'!$C$10:$C$126,'fuels and tailpipe emissions'!$A$10:$A$126,'vehicles specifications'!$F42,'fuels and tailpipe emissions'!$B$10:$B$126,'vehicles specifications'!CB$2)/1000*$AQ42</f>
        <v>2.2179629019467658E-6</v>
      </c>
      <c r="CC42" s="7">
        <f>SUMIFS('fuels and tailpipe emissions'!$C$10:$C$126,'fuels and tailpipe emissions'!$A$10:$A$126,'vehicles specifications'!$F42,'fuels and tailpipe emissions'!$B$10:$B$126,'vehicles specifications'!CC$2)/1000*$AQ42</f>
        <v>4.3127056426742661E-8</v>
      </c>
      <c r="CD42" s="7">
        <f>SUMIFS('fuels and tailpipe emissions'!$C$10:$C$126,'fuels and tailpipe emissions'!$A$10:$A$126,'vehicles specifications'!$F42,'fuels and tailpipe emissions'!$B$10:$B$126,'vehicles specifications'!CD$2)/1000*$AQ42</f>
        <v>1.3348850798753683E-8</v>
      </c>
      <c r="CE42" s="7">
        <f>SUMIFS('fuels and tailpipe emissions'!$C$10:$C$126,'fuels and tailpipe emissions'!$A$10:$A$126,'vehicles specifications'!$F42,'fuels and tailpipe emissions'!$B$10:$B$126,'vehicles specifications'!CE$2)/1000*$AQ42</f>
        <v>1.6429354829235304E-8</v>
      </c>
      <c r="CF42" s="7">
        <f>SUMIFS('fuels and tailpipe emissions'!$C$10:$C$126,'fuels and tailpipe emissions'!$A$10:$A$126,'vehicles specifications'!$F42,'fuels and tailpipe emissions'!$B$10:$B$126,'vehicles specifications'!CF$2)/1000*$AQ42</f>
        <v>3.2858709658470601E-11</v>
      </c>
      <c r="CG42" s="7">
        <f>SUMIFS('fuels and tailpipe emissions'!$C$10:$C$126,'fuels and tailpipe emissions'!$A$10:$A$126,'vehicles specifications'!$F42,'fuels and tailpipe emissions'!$B$10:$B$126,'vehicles specifications'!CG$2)/1000*$AQ42</f>
        <v>8.9334616883966954E-9</v>
      </c>
      <c r="CH42" s="7">
        <f>SUMIFS('fuels and tailpipe emissions'!$C$10:$C$126,'fuels and tailpipe emissions'!$A$10:$A$126,'vehicles specifications'!$F42,'fuels and tailpipe emissions'!$B$10:$B$126,'vehicles specifications'!CH$2)/1000*$AQ42</f>
        <v>1.1089814509733829E-8</v>
      </c>
      <c r="CI42" s="7">
        <f>VLOOKUP(B42,'abrasion emissions'!$A$4:$D$32,4,FALSE)</f>
        <v>6.0000000000000002E-6</v>
      </c>
      <c r="CJ42" s="7">
        <f>VLOOKUP(B42,'abrasion emissions'!$A$4:$D$32,2,FALSE)</f>
        <v>6.3939999999999993E-6</v>
      </c>
      <c r="CK42" s="7">
        <f>VLOOKUP(B42,'abrasion emissions'!$A$4:$D$32,3,FALSE)</f>
        <v>6.1789999999999996E-6</v>
      </c>
    </row>
    <row r="43" spans="1:89" x14ac:dyDescent="0.3">
      <c r="A43" t="str">
        <f t="shared" si="1"/>
        <v>Scooter, gasoline, 4-11kW, EURO-5 - 2040 - CH</v>
      </c>
      <c r="B43" t="s">
        <v>638</v>
      </c>
      <c r="D43">
        <v>2040</v>
      </c>
      <c r="E43" t="s">
        <v>37</v>
      </c>
      <c r="F43" t="s">
        <v>149</v>
      </c>
      <c r="G43" t="s">
        <v>39</v>
      </c>
      <c r="H43" t="s">
        <v>35</v>
      </c>
      <c r="J43" s="21">
        <v>39800</v>
      </c>
      <c r="K43" s="21">
        <v>2731</v>
      </c>
      <c r="L43" s="2">
        <f t="shared" si="2"/>
        <v>14.573416331014281</v>
      </c>
      <c r="M43">
        <v>1</v>
      </c>
      <c r="N43">
        <v>70</v>
      </c>
      <c r="O43">
        <v>4</v>
      </c>
      <c r="P43" s="2">
        <f t="shared" si="13"/>
        <v>121.63749999999999</v>
      </c>
      <c r="Q43" s="2">
        <f t="shared" si="3"/>
        <v>195.63749999999999</v>
      </c>
      <c r="R43" s="21">
        <v>8.8000000000000007</v>
      </c>
      <c r="S43" s="2">
        <v>90</v>
      </c>
      <c r="T43" s="1">
        <v>0.05</v>
      </c>
      <c r="U43" s="2">
        <f t="shared" si="4"/>
        <v>85.5</v>
      </c>
      <c r="V43">
        <v>30.1</v>
      </c>
      <c r="W43">
        <v>0</v>
      </c>
      <c r="X43" s="3">
        <v>0</v>
      </c>
      <c r="Y43" s="1">
        <v>0.8</v>
      </c>
      <c r="Z43" s="3">
        <f t="shared" si="5"/>
        <v>0</v>
      </c>
      <c r="AA43" s="3">
        <v>0</v>
      </c>
      <c r="AB43" s="3">
        <v>0</v>
      </c>
      <c r="AC43" s="3">
        <f t="shared" si="7"/>
        <v>0</v>
      </c>
      <c r="AD43" s="3">
        <v>0</v>
      </c>
      <c r="AE43" s="3">
        <v>7</v>
      </c>
      <c r="AF43">
        <f>AE43*'fuels and tailpipe emissions'!$B$3</f>
        <v>5.25</v>
      </c>
      <c r="AG43" s="2">
        <f>AF43*'fuels and tailpipe emissions'!$C$3</f>
        <v>61.833333333333329</v>
      </c>
      <c r="AH43" s="3">
        <f t="shared" si="16"/>
        <v>0.78749999999999998</v>
      </c>
      <c r="AI43">
        <v>0</v>
      </c>
      <c r="AJ43">
        <v>0</v>
      </c>
      <c r="AK43">
        <f t="shared" si="30"/>
        <v>1</v>
      </c>
      <c r="AL43">
        <f t="shared" si="15"/>
        <v>1.050573375E-4</v>
      </c>
      <c r="AM43">
        <v>1.2899999999999999E-3</v>
      </c>
      <c r="AN43" s="2">
        <f t="shared" si="9"/>
        <v>85.5</v>
      </c>
      <c r="AO43" s="2">
        <f t="shared" si="10"/>
        <v>30.1</v>
      </c>
      <c r="AP43" s="2">
        <f t="shared" si="11"/>
        <v>0</v>
      </c>
      <c r="AQ43" s="6">
        <v>1.0165663300589343</v>
      </c>
      <c r="AR43" s="6" t="str">
        <f>IF($H43="BEV",SUMPRODUCT(#REF!,#REF!),"")</f>
        <v/>
      </c>
      <c r="AS43" s="2">
        <f>SUM(Z43,AG43)/(SUM(AQ43:AR43)/3.6)</f>
        <v>218.97243044346649</v>
      </c>
      <c r="AT43" s="5">
        <f>IF($H43="ICEV-p",$AQ43/('fuels and tailpipe emissions'!$C$3*3.6)*'fuels and tailpipe emissions'!$D$3,"")</f>
        <v>7.6242474754420073E-2</v>
      </c>
      <c r="AU43" s="7">
        <f>IF($H43="ICEV-p",$AQ43/('fuels and tailpipe emissions'!$C$3*3.6)*'fuels and tailpipe emissions'!$E$3,"")</f>
        <v>3.836099358712959E-7</v>
      </c>
      <c r="AV43" s="7">
        <f>SUMIFS('fuels and tailpipe emissions'!$C$10:$C$126,'fuels and tailpipe emissions'!$A$10:$A$126,'vehicles specifications'!$F43,'fuels and tailpipe emissions'!$B$10:$B$126,'vehicles specifications'!AV$2)/1000*$AQ43</f>
        <v>6.1809444226272389E-5</v>
      </c>
      <c r="AW43" s="7">
        <f>SUMIFS('fuels and tailpipe emissions'!$C$10:$C$126,'fuels and tailpipe emissions'!$A$10:$A$126,'vehicles specifications'!$F43,'fuels and tailpipe emissions'!$B$10:$B$126,'vehicles specifications'!AW$2)/1000*$AQ43</f>
        <v>2.8026235219950081E-5</v>
      </c>
      <c r="AX43" s="7">
        <f>SUMIFS('fuels and tailpipe emissions'!$C$10:$C$126,'fuels and tailpipe emissions'!$A$10:$A$126,'vehicles specifications'!$F43,'fuels and tailpipe emissions'!$B$10:$B$126,'vehicles specifications'!AX$2)/1000*$AQ43</f>
        <v>2.9634895385205065E-3</v>
      </c>
      <c r="AY43" s="7">
        <f>SUMIFS('fuels and tailpipe emissions'!$C$10:$C$126,'fuels and tailpipe emissions'!$A$10:$A$126,'vehicles specifications'!$F43,'fuels and tailpipe emissions'!$B$10:$B$126,'vehicles specifications'!AY$2)/1000*$AQ43</f>
        <v>1.4219297422602786E-6</v>
      </c>
      <c r="AZ43" s="7">
        <f>SUMIFS('fuels and tailpipe emissions'!$C$10:$C$126,'fuels and tailpipe emissions'!$A$10:$A$126,'vehicles specifications'!$F43,'fuels and tailpipe emissions'!$B$10:$B$126,'vehicles specifications'!AZ$2)/1000*$AQ43</f>
        <v>1.4219297422602786E-6</v>
      </c>
      <c r="BA43" s="7">
        <f>SUMIFS('fuels and tailpipe emissions'!$C$10:$C$126,'fuels and tailpipe emissions'!$A$10:$A$126,'vehicles specifications'!$F43,'fuels and tailpipe emissions'!$B$10:$B$126,'vehicles specifications'!BA$2)/1000*$AQ43</f>
        <v>1.066315193212154E-4</v>
      </c>
      <c r="BB43" s="7">
        <f>SUMIFS('fuels and tailpipe emissions'!$C$10:$C$126,'fuels and tailpipe emissions'!$A$10:$A$126,'vehicles specifications'!$F43,'fuels and tailpipe emissions'!$B$10:$B$126,'vehicles specifications'!BB$2)/1000*$AQ43</f>
        <v>8.1661425098007786E-6</v>
      </c>
      <c r="BC43" s="7">
        <f>SUMIFS('fuels and tailpipe emissions'!$C$10:$C$126,'fuels and tailpipe emissions'!$A$10:$A$126,'vehicles specifications'!$F43,'fuels and tailpipe emissions'!$B$10:$B$126,'vehicles specifications'!BC$2)/1000*$AQ43</f>
        <v>4.9844193525785442E-4</v>
      </c>
      <c r="BD43" s="7">
        <f>SUMIFS('fuels and tailpipe emissions'!$C$10:$C$126,'fuels and tailpipe emissions'!$A$10:$A$126,'vehicles specifications'!$F43,'fuels and tailpipe emissions'!$B$10:$B$126,'vehicles specifications'!BD$2)/1000*$AQ43</f>
        <v>3.5146546716899981E-5</v>
      </c>
      <c r="BE43" s="7">
        <f>SUMIFS('fuels and tailpipe emissions'!$C$10:$C$126,'fuels and tailpipe emissions'!$A$10:$A$126,'vehicles specifications'!$F43,'fuels and tailpipe emissions'!$B$10:$B$126,'vehicles specifications'!BE$2)/1000*$AQ43</f>
        <v>7.1615220583025053E-6</v>
      </c>
      <c r="BF43" s="7">
        <f>SUMIFS('fuels and tailpipe emissions'!$C$10:$C$126,'fuels and tailpipe emissions'!$A$10:$A$126,'vehicles specifications'!$F43,'fuels and tailpipe emissions'!$B$10:$B$126,'vehicles specifications'!BF$2)/1000*$AQ43</f>
        <v>5.7732885516161735E-5</v>
      </c>
      <c r="BG43" s="7">
        <f>SUMIFS('fuels and tailpipe emissions'!$C$10:$C$126,'fuels and tailpipe emissions'!$A$10:$A$126,'vehicles specifications'!$F43,'fuels and tailpipe emissions'!$B$10:$B$126,'vehicles specifications'!BG$2)/1000*$AQ43</f>
        <v>2.3688111423615977E-5</v>
      </c>
      <c r="BH43" s="7">
        <f>SUMIFS('fuels and tailpipe emissions'!$C$10:$C$126,'fuels and tailpipe emissions'!$A$10:$A$126,'vehicles specifications'!$F43,'fuels and tailpipe emissions'!$B$10:$B$126,'vehicles specifications'!BH$2)/1000*$AQ43</f>
        <v>1.7738539252103131E-5</v>
      </c>
      <c r="BI43" s="7">
        <f>SUMIFS('fuels and tailpipe emissions'!$C$10:$C$126,'fuels and tailpipe emissions'!$A$10:$A$126,'vehicles specifications'!$F43,'fuels and tailpipe emissions'!$B$10:$B$126,'vehicles specifications'!BI$2)/1000*$AQ43</f>
        <v>1.256020791763824E-5</v>
      </c>
      <c r="BJ43" s="7">
        <f>SUMIFS('fuels and tailpipe emissions'!$C$10:$C$126,'fuels and tailpipe emissions'!$A$10:$A$126,'vehicles specifications'!$F43,'fuels and tailpipe emissions'!$B$10:$B$126,'vehicles specifications'!BJ$2)/1000*$AQ43</f>
        <v>8.1531174202213136E-6</v>
      </c>
      <c r="BK43" s="7">
        <f>SUMIFS('fuels and tailpipe emissions'!$C$10:$C$126,'fuels and tailpipe emissions'!$A$10:$A$126,'vehicles specifications'!$F43,'fuels and tailpipe emissions'!$B$10:$B$126,'vehicles specifications'!BK$2)/1000*$AQ43</f>
        <v>8.042940157785891E-5</v>
      </c>
      <c r="BL43" s="7">
        <f>SUMIFS('fuels and tailpipe emissions'!$C$10:$C$126,'fuels and tailpipe emissions'!$A$10:$A$126,'vehicles specifications'!$F43,'fuels and tailpipe emissions'!$B$10:$B$126,'vehicles specifications'!BL$2)/1000*$AQ43</f>
        <v>4.2087714250331641E-5</v>
      </c>
      <c r="BM43" s="7">
        <f>SUMIFS('fuels and tailpipe emissions'!$C$10:$C$126,'fuels and tailpipe emissions'!$A$10:$A$126,'vehicles specifications'!$F43,'fuels and tailpipe emissions'!$B$10:$B$126,'vehicles specifications'!BM$2)/1000*$AQ43</f>
        <v>1.2119498867896548E-6</v>
      </c>
      <c r="BN43" s="7">
        <f>SUMIFS('fuels and tailpipe emissions'!$C$10:$C$126,'fuels and tailpipe emissions'!$A$10:$A$126,'vehicles specifications'!$F43,'fuels and tailpipe emissions'!$B$10:$B$126,'vehicles specifications'!BN$2)/1000*$AQ43</f>
        <v>6.1809444226272389E-5</v>
      </c>
      <c r="BO43" s="7">
        <f>SUMIFS('fuels and tailpipe emissions'!$C$10:$C$126,'fuels and tailpipe emissions'!$A$10:$A$126,'vehicles specifications'!$F43,'fuels and tailpipe emissions'!$B$10:$B$126,'vehicles specifications'!BO$2)/1000*$AQ43</f>
        <v>1.2097463415409463E-4</v>
      </c>
      <c r="BP43" s="7">
        <f>SUMIFS('fuels and tailpipe emissions'!$C$10:$C$126,'fuels and tailpipe emissions'!$A$10:$A$126,'vehicles specifications'!$F43,'fuels and tailpipe emissions'!$B$10:$B$126,'vehicles specifications'!BP$2)/1000*$AQ43</f>
        <v>5.9826253502434775E-5</v>
      </c>
      <c r="BQ43" s="7">
        <f>SUMIFS('fuels and tailpipe emissions'!$C$10:$C$126,'fuels and tailpipe emissions'!$A$10:$A$126,'vehicles specifications'!$F43,'fuels and tailpipe emissions'!$B$10:$B$126,'vehicles specifications'!BQ$2)/1000*$AQ43</f>
        <v>2.4900061310405631E-5</v>
      </c>
      <c r="BR43" s="7">
        <f>SUMIFS('fuels and tailpipe emissions'!$C$10:$C$126,'fuels and tailpipe emissions'!$A$10:$A$126,'vehicles specifications'!$F43,'fuels and tailpipe emissions'!$B$10:$B$126,'vehicles specifications'!BR$2)/1000*$AQ43</f>
        <v>1.8730134614021937E-5</v>
      </c>
      <c r="BS43" s="7">
        <f>SUMIFS('fuels and tailpipe emissions'!$C$10:$C$126,'fuels and tailpipe emissions'!$A$10:$A$126,'vehicles specifications'!$F43,'fuels and tailpipe emissions'!$B$10:$B$126,'vehicles specifications'!BS$2)/1000*$AQ43</f>
        <v>8.2632946826567353E-6</v>
      </c>
      <c r="BT43" s="7">
        <f>SUMIFS('fuels and tailpipe emissions'!$C$10:$C$126,'fuels and tailpipe emissions'!$A$10:$A$126,'vehicles specifications'!$F43,'fuels and tailpipe emissions'!$B$10:$B$126,'vehicles specifications'!BT$2)/1000*$AQ43</f>
        <v>2.4238997735793097E-6</v>
      </c>
      <c r="BU43" s="7">
        <f>SUMIFS('fuels and tailpipe emissions'!$C$10:$C$126,'fuels and tailpipe emissions'!$A$10:$A$126,'vehicles specifications'!$F43,'fuels and tailpipe emissions'!$B$10:$B$126,'vehicles specifications'!BU$2)/1000*$AQ43</f>
        <v>6.7208130085608136E-6</v>
      </c>
      <c r="BV43" s="7">
        <f>SUMIFS('fuels and tailpipe emissions'!$C$10:$C$126,'fuels and tailpipe emissions'!$A$10:$A$126,'vehicles specifications'!$F43,'fuels and tailpipe emissions'!$B$10:$B$126,'vehicles specifications'!BV$2)/1000*$AQ43</f>
        <v>0</v>
      </c>
      <c r="BW43" s="7">
        <f>SUMIFS('fuels and tailpipe emissions'!$C$10:$C$126,'fuels and tailpipe emissions'!$A$10:$A$126,'vehicles specifications'!$F43,'fuels and tailpipe emissions'!$B$10:$B$126,'vehicles specifications'!BW$2)/1000*$AQ43</f>
        <v>2.0933679862730401E-6</v>
      </c>
      <c r="BX43" s="7">
        <f>SUMIFS('fuels and tailpipe emissions'!$C$10:$C$126,'fuels and tailpipe emissions'!$A$10:$A$126,'vehicles specifications'!$F43,'fuels and tailpipe emissions'!$B$10:$B$126,'vehicles specifications'!BX$2)/1000*$AQ43</f>
        <v>1.1127903505977737E-5</v>
      </c>
      <c r="BY43" s="7">
        <f>SUMIFS('fuels and tailpipe emissions'!$C$10:$C$126,'fuels and tailpipe emissions'!$A$10:$A$126,'vehicles specifications'!$F43,'fuels and tailpipe emissions'!$B$10:$B$126,'vehicles specifications'!BY$2)/1000*$AQ43</f>
        <v>3.5376508286050916E-8</v>
      </c>
      <c r="BZ43" s="7">
        <f>SUMIFS('fuels and tailpipe emissions'!$C$10:$C$126,'fuels and tailpipe emissions'!$A$10:$A$126,'vehicles specifications'!$F43,'fuels and tailpipe emissions'!$B$10:$B$126,'vehicles specifications'!BZ$2)/1000*$AQ43</f>
        <v>3.0496989901768027E-10</v>
      </c>
      <c r="CA43" s="7">
        <f>SUMIFS('fuels and tailpipe emissions'!$C$10:$C$126,'fuels and tailpipe emissions'!$A$10:$A$126,'vehicles specifications'!$F43,'fuels and tailpipe emissions'!$B$10:$B$126,'vehicles specifications'!CA$2)/1000*$AQ43</f>
        <v>2.0331326601178686E-10</v>
      </c>
      <c r="CB43" s="7">
        <f>SUMIFS('fuels and tailpipe emissions'!$C$10:$C$126,'fuels and tailpipe emissions'!$A$10:$A$126,'vehicles specifications'!$F43,'fuels and tailpipe emissions'!$B$10:$B$126,'vehicles specifications'!CB$2)/1000*$AQ43</f>
        <v>2.1957832729272979E-6</v>
      </c>
      <c r="CC43" s="7">
        <f>SUMIFS('fuels and tailpipe emissions'!$C$10:$C$126,'fuels and tailpipe emissions'!$A$10:$A$126,'vehicles specifications'!$F43,'fuels and tailpipe emissions'!$B$10:$B$126,'vehicles specifications'!CC$2)/1000*$AQ43</f>
        <v>4.269578586247524E-8</v>
      </c>
      <c r="CD43" s="7">
        <f>SUMIFS('fuels and tailpipe emissions'!$C$10:$C$126,'fuels and tailpipe emissions'!$A$10:$A$126,'vehicles specifications'!$F43,'fuels and tailpipe emissions'!$B$10:$B$126,'vehicles specifications'!CD$2)/1000*$AQ43</f>
        <v>1.3215362290766146E-8</v>
      </c>
      <c r="CE43" s="7">
        <f>SUMIFS('fuels and tailpipe emissions'!$C$10:$C$126,'fuels and tailpipe emissions'!$A$10:$A$126,'vehicles specifications'!$F43,'fuels and tailpipe emissions'!$B$10:$B$126,'vehicles specifications'!CE$2)/1000*$AQ43</f>
        <v>1.6265061280942952E-8</v>
      </c>
      <c r="CF43" s="7">
        <f>SUMIFS('fuels and tailpipe emissions'!$C$10:$C$126,'fuels and tailpipe emissions'!$A$10:$A$126,'vehicles specifications'!$F43,'fuels and tailpipe emissions'!$B$10:$B$126,'vehicles specifications'!CF$2)/1000*$AQ43</f>
        <v>3.2530122561885898E-11</v>
      </c>
      <c r="CG43" s="7">
        <f>SUMIFS('fuels and tailpipe emissions'!$C$10:$C$126,'fuels and tailpipe emissions'!$A$10:$A$126,'vehicles specifications'!$F43,'fuels and tailpipe emissions'!$B$10:$B$126,'vehicles specifications'!CG$2)/1000*$AQ43</f>
        <v>8.844127071512729E-9</v>
      </c>
      <c r="CH43" s="7">
        <f>SUMIFS('fuels and tailpipe emissions'!$C$10:$C$126,'fuels and tailpipe emissions'!$A$10:$A$126,'vehicles specifications'!$F43,'fuels and tailpipe emissions'!$B$10:$B$126,'vehicles specifications'!CH$2)/1000*$AQ43</f>
        <v>1.097891636463649E-8</v>
      </c>
      <c r="CI43" s="7">
        <f>VLOOKUP(B43,'abrasion emissions'!$A$4:$D$32,4,FALSE)</f>
        <v>6.0000000000000002E-6</v>
      </c>
      <c r="CJ43" s="7">
        <f>VLOOKUP(B43,'abrasion emissions'!$A$4:$D$32,2,FALSE)</f>
        <v>6.3939999999999993E-6</v>
      </c>
      <c r="CK43" s="7">
        <f>VLOOKUP(B43,'abrasion emissions'!$A$4:$D$32,3,FALSE)</f>
        <v>6.1789999999999996E-6</v>
      </c>
    </row>
    <row r="44" spans="1:89" x14ac:dyDescent="0.3">
      <c r="A44" t="str">
        <f t="shared" si="1"/>
        <v>Scooter, gasoline, 4-11kW, EURO-5 - 2050 - CH</v>
      </c>
      <c r="B44" t="s">
        <v>638</v>
      </c>
      <c r="D44">
        <v>2050</v>
      </c>
      <c r="E44" t="s">
        <v>37</v>
      </c>
      <c r="F44" t="s">
        <v>149</v>
      </c>
      <c r="G44" t="s">
        <v>39</v>
      </c>
      <c r="H44" t="s">
        <v>35</v>
      </c>
      <c r="J44" s="21">
        <v>39800</v>
      </c>
      <c r="K44" s="21">
        <v>2731</v>
      </c>
      <c r="L44" s="2">
        <f t="shared" si="2"/>
        <v>14.573416331014281</v>
      </c>
      <c r="M44">
        <v>1</v>
      </c>
      <c r="N44">
        <v>70</v>
      </c>
      <c r="O44">
        <v>4</v>
      </c>
      <c r="P44" s="2">
        <f t="shared" si="13"/>
        <v>118.93749999999999</v>
      </c>
      <c r="Q44" s="2">
        <f t="shared" si="3"/>
        <v>192.9375</v>
      </c>
      <c r="R44" s="21">
        <v>8.8000000000000007</v>
      </c>
      <c r="S44" s="2">
        <v>90</v>
      </c>
      <c r="T44" s="1">
        <v>7.0000000000000007E-2</v>
      </c>
      <c r="U44" s="2">
        <f t="shared" si="4"/>
        <v>83.699999999999989</v>
      </c>
      <c r="V44">
        <v>29.2</v>
      </c>
      <c r="W44">
        <v>0</v>
      </c>
      <c r="X44" s="3">
        <v>0</v>
      </c>
      <c r="Y44" s="1">
        <v>0.8</v>
      </c>
      <c r="Z44" s="3">
        <f t="shared" si="5"/>
        <v>0</v>
      </c>
      <c r="AA44" s="3">
        <v>0</v>
      </c>
      <c r="AB44" s="3">
        <v>0</v>
      </c>
      <c r="AC44" s="3">
        <f t="shared" si="7"/>
        <v>0</v>
      </c>
      <c r="AD44" s="3">
        <v>0</v>
      </c>
      <c r="AE44" s="3">
        <v>7</v>
      </c>
      <c r="AF44">
        <f>AE44*'fuels and tailpipe emissions'!$B$3</f>
        <v>5.25</v>
      </c>
      <c r="AG44" s="2">
        <f>AF44*'fuels and tailpipe emissions'!$C$3</f>
        <v>61.833333333333329</v>
      </c>
      <c r="AH44" s="3">
        <f t="shared" si="16"/>
        <v>0.78749999999999998</v>
      </c>
      <c r="AI44">
        <v>0</v>
      </c>
      <c r="AJ44">
        <v>0</v>
      </c>
      <c r="AK44">
        <f t="shared" si="30"/>
        <v>1</v>
      </c>
      <c r="AL44">
        <f t="shared" si="15"/>
        <v>1.036074375E-4</v>
      </c>
      <c r="AM44">
        <v>1.2899999999999999E-3</v>
      </c>
      <c r="AN44" s="2">
        <f t="shared" si="9"/>
        <v>83.699999999999989</v>
      </c>
      <c r="AO44" s="2">
        <f t="shared" si="10"/>
        <v>29.2</v>
      </c>
      <c r="AP44" s="2">
        <f t="shared" si="11"/>
        <v>0</v>
      </c>
      <c r="AQ44" s="6">
        <v>1.0064006667583449</v>
      </c>
      <c r="AR44" s="6" t="str">
        <f>IF($H44="BEV",SUMPRODUCT(#REF!,#REF!),"")</f>
        <v/>
      </c>
      <c r="AS44" s="2">
        <f>SUM(Z44,AG44)/(SUM(AQ44:AR44)/3.6)</f>
        <v>221.18427317521866</v>
      </c>
      <c r="AT44" s="5">
        <f>IF($H44="ICEV-p",$AQ44/('fuels and tailpipe emissions'!$C$3*3.6)*'fuels and tailpipe emissions'!$D$3,"")</f>
        <v>7.5480050006875882E-2</v>
      </c>
      <c r="AU44" s="7">
        <f>IF($H44="ICEV-p",$AQ44/('fuels and tailpipe emissions'!$C$3*3.6)*'fuels and tailpipe emissions'!$E$3,"")</f>
        <v>3.79773836512583E-7</v>
      </c>
      <c r="AV44" s="7">
        <f>SUMIFS('fuels and tailpipe emissions'!$C$10:$C$126,'fuels and tailpipe emissions'!$A$10:$A$126,'vehicles specifications'!$F44,'fuels and tailpipe emissions'!$B$10:$B$126,'vehicles specifications'!AV$2)/1000*$AQ44</f>
        <v>6.1191349784009663E-5</v>
      </c>
      <c r="AW44" s="7">
        <f>SUMIFS('fuels and tailpipe emissions'!$C$10:$C$126,'fuels and tailpipe emissions'!$A$10:$A$126,'vehicles specifications'!$F44,'fuels and tailpipe emissions'!$B$10:$B$126,'vehicles specifications'!AW$2)/1000*$AQ44</f>
        <v>2.7745972867750582E-5</v>
      </c>
      <c r="AX44" s="7">
        <f>SUMIFS('fuels and tailpipe emissions'!$C$10:$C$126,'fuels and tailpipe emissions'!$A$10:$A$126,'vehicles specifications'!$F44,'fuels and tailpipe emissions'!$B$10:$B$126,'vehicles specifications'!AX$2)/1000*$AQ44</f>
        <v>2.9338546431353016E-3</v>
      </c>
      <c r="AY44" s="7">
        <f>SUMIFS('fuels and tailpipe emissions'!$C$10:$C$126,'fuels and tailpipe emissions'!$A$10:$A$126,'vehicles specifications'!$F44,'fuels and tailpipe emissions'!$B$10:$B$126,'vehicles specifications'!AY$2)/1000*$AQ44</f>
        <v>1.4077104448376758E-6</v>
      </c>
      <c r="AZ44" s="7">
        <f>SUMIFS('fuels and tailpipe emissions'!$C$10:$C$126,'fuels and tailpipe emissions'!$A$10:$A$126,'vehicles specifications'!$F44,'fuels and tailpipe emissions'!$B$10:$B$126,'vehicles specifications'!AZ$2)/1000*$AQ44</f>
        <v>1.4077104448376758E-6</v>
      </c>
      <c r="BA44" s="7">
        <f>SUMIFS('fuels and tailpipe emissions'!$C$10:$C$126,'fuels and tailpipe emissions'!$A$10:$A$126,'vehicles specifications'!$F44,'fuels and tailpipe emissions'!$B$10:$B$126,'vehicles specifications'!BA$2)/1000*$AQ44</f>
        <v>1.0556520412800326E-4</v>
      </c>
      <c r="BB44" s="7">
        <f>SUMIFS('fuels and tailpipe emissions'!$C$10:$C$126,'fuels and tailpipe emissions'!$A$10:$A$126,'vehicles specifications'!$F44,'fuels and tailpipe emissions'!$B$10:$B$126,'vehicles specifications'!BB$2)/1000*$AQ44</f>
        <v>8.0844810847027712E-6</v>
      </c>
      <c r="BC44" s="7">
        <f>SUMIFS('fuels and tailpipe emissions'!$C$10:$C$126,'fuels and tailpipe emissions'!$A$10:$A$126,'vehicles specifications'!$F44,'fuels and tailpipe emissions'!$B$10:$B$126,'vehicles specifications'!BC$2)/1000*$AQ44</f>
        <v>4.9345751590527584E-4</v>
      </c>
      <c r="BD44" s="7">
        <f>SUMIFS('fuels and tailpipe emissions'!$C$10:$C$126,'fuels and tailpipe emissions'!$A$10:$A$126,'vehicles specifications'!$F44,'fuels and tailpipe emissions'!$B$10:$B$126,'vehicles specifications'!BD$2)/1000*$AQ44</f>
        <v>3.4795081249730984E-5</v>
      </c>
      <c r="BE44" s="7">
        <f>SUMIFS('fuels and tailpipe emissions'!$C$10:$C$126,'fuels and tailpipe emissions'!$A$10:$A$126,'vehicles specifications'!$F44,'fuels and tailpipe emissions'!$B$10:$B$126,'vehicles specifications'!BE$2)/1000*$AQ44</f>
        <v>7.0899068377194797E-6</v>
      </c>
      <c r="BF44" s="7">
        <f>SUMIFS('fuels and tailpipe emissions'!$C$10:$C$126,'fuels and tailpipe emissions'!$A$10:$A$126,'vehicles specifications'!$F44,'fuels and tailpipe emissions'!$B$10:$B$126,'vehicles specifications'!BF$2)/1000*$AQ44</f>
        <v>5.7155556661000123E-5</v>
      </c>
      <c r="BG44" s="7">
        <f>SUMIFS('fuels and tailpipe emissions'!$C$10:$C$126,'fuels and tailpipe emissions'!$A$10:$A$126,'vehicles specifications'!$F44,'fuels and tailpipe emissions'!$B$10:$B$126,'vehicles specifications'!BG$2)/1000*$AQ44</f>
        <v>2.3451230309379819E-5</v>
      </c>
      <c r="BH44" s="7">
        <f>SUMIFS('fuels and tailpipe emissions'!$C$10:$C$126,'fuels and tailpipe emissions'!$A$10:$A$126,'vehicles specifications'!$F44,'fuels and tailpipe emissions'!$B$10:$B$126,'vehicles specifications'!BH$2)/1000*$AQ44</f>
        <v>1.7561153859582098E-5</v>
      </c>
      <c r="BI44" s="7">
        <f>SUMIFS('fuels and tailpipe emissions'!$C$10:$C$126,'fuels and tailpipe emissions'!$A$10:$A$126,'vehicles specifications'!$F44,'fuels and tailpipe emissions'!$B$10:$B$126,'vehicles specifications'!BI$2)/1000*$AQ44</f>
        <v>1.2434605838461858E-5</v>
      </c>
      <c r="BJ44" s="7">
        <f>SUMIFS('fuels and tailpipe emissions'!$C$10:$C$126,'fuels and tailpipe emissions'!$A$10:$A$126,'vehicles specifications'!$F44,'fuels and tailpipe emissions'!$B$10:$B$126,'vehicles specifications'!BJ$2)/1000*$AQ44</f>
        <v>8.0715862460191008E-6</v>
      </c>
      <c r="BK44" s="7">
        <f>SUMIFS('fuels and tailpipe emissions'!$C$10:$C$126,'fuels and tailpipe emissions'!$A$10:$A$126,'vehicles specifications'!$F44,'fuels and tailpipe emissions'!$B$10:$B$126,'vehicles specifications'!BK$2)/1000*$AQ44</f>
        <v>7.962510756208032E-5</v>
      </c>
      <c r="BL44" s="7">
        <f>SUMIFS('fuels and tailpipe emissions'!$C$10:$C$126,'fuels and tailpipe emissions'!$A$10:$A$126,'vehicles specifications'!$F44,'fuels and tailpipe emissions'!$B$10:$B$126,'vehicles specifications'!BL$2)/1000*$AQ44</f>
        <v>4.1666837107828324E-5</v>
      </c>
      <c r="BM44" s="7">
        <f>SUMIFS('fuels and tailpipe emissions'!$C$10:$C$126,'fuels and tailpipe emissions'!$A$10:$A$126,'vehicles specifications'!$F44,'fuels and tailpipe emissions'!$B$10:$B$126,'vehicles specifications'!BM$2)/1000*$AQ44</f>
        <v>1.1998303879217583E-6</v>
      </c>
      <c r="BN44" s="7">
        <f>SUMIFS('fuels and tailpipe emissions'!$C$10:$C$126,'fuels and tailpipe emissions'!$A$10:$A$126,'vehicles specifications'!$F44,'fuels and tailpipe emissions'!$B$10:$B$126,'vehicles specifications'!BN$2)/1000*$AQ44</f>
        <v>6.1191349784009663E-5</v>
      </c>
      <c r="BO44" s="7">
        <f>SUMIFS('fuels and tailpipe emissions'!$C$10:$C$126,'fuels and tailpipe emissions'!$A$10:$A$126,'vehicles specifications'!$F44,'fuels and tailpipe emissions'!$B$10:$B$126,'vehicles specifications'!BO$2)/1000*$AQ44</f>
        <v>1.1976488781255369E-4</v>
      </c>
      <c r="BP44" s="7">
        <f>SUMIFS('fuels and tailpipe emissions'!$C$10:$C$126,'fuels and tailpipe emissions'!$A$10:$A$126,'vehicles specifications'!$F44,'fuels and tailpipe emissions'!$B$10:$B$126,'vehicles specifications'!BP$2)/1000*$AQ44</f>
        <v>5.9227990967410433E-5</v>
      </c>
      <c r="BQ44" s="7">
        <f>SUMIFS('fuels and tailpipe emissions'!$C$10:$C$126,'fuels and tailpipe emissions'!$A$10:$A$126,'vehicles specifications'!$F44,'fuels and tailpipe emissions'!$B$10:$B$126,'vehicles specifications'!BQ$2)/1000*$AQ44</f>
        <v>2.4651060697301577E-5</v>
      </c>
      <c r="BR44" s="7">
        <f>SUMIFS('fuels and tailpipe emissions'!$C$10:$C$126,'fuels and tailpipe emissions'!$A$10:$A$126,'vehicles specifications'!$F44,'fuels and tailpipe emissions'!$B$10:$B$126,'vehicles specifications'!BR$2)/1000*$AQ44</f>
        <v>1.854283326788172E-5</v>
      </c>
      <c r="BS44" s="7">
        <f>SUMIFS('fuels and tailpipe emissions'!$C$10:$C$126,'fuels and tailpipe emissions'!$A$10:$A$126,'vehicles specifications'!$F44,'fuels and tailpipe emissions'!$B$10:$B$126,'vehicles specifications'!BS$2)/1000*$AQ44</f>
        <v>8.1806617358301686E-6</v>
      </c>
      <c r="BT44" s="7">
        <f>SUMIFS('fuels and tailpipe emissions'!$C$10:$C$126,'fuels and tailpipe emissions'!$A$10:$A$126,'vehicles specifications'!$F44,'fuels and tailpipe emissions'!$B$10:$B$126,'vehicles specifications'!BT$2)/1000*$AQ44</f>
        <v>2.3996607758435167E-6</v>
      </c>
      <c r="BU44" s="7">
        <f>SUMIFS('fuels and tailpipe emissions'!$C$10:$C$126,'fuels and tailpipe emissions'!$A$10:$A$126,'vehicles specifications'!$F44,'fuels and tailpipe emissions'!$B$10:$B$126,'vehicles specifications'!BU$2)/1000*$AQ44</f>
        <v>6.6536048784752052E-6</v>
      </c>
      <c r="BV44" s="7">
        <f>SUMIFS('fuels and tailpipe emissions'!$C$10:$C$126,'fuels and tailpipe emissions'!$A$10:$A$126,'vehicles specifications'!$F44,'fuels and tailpipe emissions'!$B$10:$B$126,'vehicles specifications'!BV$2)/1000*$AQ44</f>
        <v>0</v>
      </c>
      <c r="BW44" s="7">
        <f>SUMIFS('fuels and tailpipe emissions'!$C$10:$C$126,'fuels and tailpipe emissions'!$A$10:$A$126,'vehicles specifications'!$F44,'fuels and tailpipe emissions'!$B$10:$B$126,'vehicles specifications'!BW$2)/1000*$AQ44</f>
        <v>2.0724343064103095E-6</v>
      </c>
      <c r="BX44" s="7">
        <f>SUMIFS('fuels and tailpipe emissions'!$C$10:$C$126,'fuels and tailpipe emissions'!$A$10:$A$126,'vehicles specifications'!$F44,'fuels and tailpipe emissions'!$B$10:$B$126,'vehicles specifications'!BX$2)/1000*$AQ44</f>
        <v>1.101662447091796E-5</v>
      </c>
      <c r="BY44" s="7">
        <f>SUMIFS('fuels and tailpipe emissions'!$C$10:$C$126,'fuels and tailpipe emissions'!$A$10:$A$126,'vehicles specifications'!$F44,'fuels and tailpipe emissions'!$B$10:$B$126,'vehicles specifications'!BY$2)/1000*$AQ44</f>
        <v>3.5022743203190402E-8</v>
      </c>
      <c r="BZ44" s="7">
        <f>SUMIFS('fuels and tailpipe emissions'!$C$10:$C$126,'fuels and tailpipe emissions'!$A$10:$A$126,'vehicles specifications'!$F44,'fuels and tailpipe emissions'!$B$10:$B$126,'vehicles specifications'!BZ$2)/1000*$AQ44</f>
        <v>3.0192020002750349E-10</v>
      </c>
      <c r="CA44" s="7">
        <f>SUMIFS('fuels and tailpipe emissions'!$C$10:$C$126,'fuels and tailpipe emissions'!$A$10:$A$126,'vehicles specifications'!$F44,'fuels and tailpipe emissions'!$B$10:$B$126,'vehicles specifications'!CA$2)/1000*$AQ44</f>
        <v>2.0128013335166901E-10</v>
      </c>
      <c r="CB44" s="7">
        <f>SUMIFS('fuels and tailpipe emissions'!$C$10:$C$126,'fuels and tailpipe emissions'!$A$10:$A$126,'vehicles specifications'!$F44,'fuels and tailpipe emissions'!$B$10:$B$126,'vehicles specifications'!CB$2)/1000*$AQ44</f>
        <v>2.1738254401980251E-6</v>
      </c>
      <c r="CC44" s="7">
        <f>SUMIFS('fuels and tailpipe emissions'!$C$10:$C$126,'fuels and tailpipe emissions'!$A$10:$A$126,'vehicles specifications'!$F44,'fuels and tailpipe emissions'!$B$10:$B$126,'vehicles specifications'!CC$2)/1000*$AQ44</f>
        <v>4.2268828003850484E-8</v>
      </c>
      <c r="CD44" s="7">
        <f>SUMIFS('fuels and tailpipe emissions'!$C$10:$C$126,'fuels and tailpipe emissions'!$A$10:$A$126,'vehicles specifications'!$F44,'fuels and tailpipe emissions'!$B$10:$B$126,'vehicles specifications'!CD$2)/1000*$AQ44</f>
        <v>1.3083208667858485E-8</v>
      </c>
      <c r="CE44" s="7">
        <f>SUMIFS('fuels and tailpipe emissions'!$C$10:$C$126,'fuels and tailpipe emissions'!$A$10:$A$126,'vehicles specifications'!$F44,'fuels and tailpipe emissions'!$B$10:$B$126,'vehicles specifications'!CE$2)/1000*$AQ44</f>
        <v>1.6102410668133523E-8</v>
      </c>
      <c r="CF44" s="7">
        <f>SUMIFS('fuels and tailpipe emissions'!$C$10:$C$126,'fuels and tailpipe emissions'!$A$10:$A$126,'vehicles specifications'!$F44,'fuels and tailpipe emissions'!$B$10:$B$126,'vehicles specifications'!CF$2)/1000*$AQ44</f>
        <v>3.220482133626704E-11</v>
      </c>
      <c r="CG44" s="7">
        <f>SUMIFS('fuels and tailpipe emissions'!$C$10:$C$126,'fuels and tailpipe emissions'!$A$10:$A$126,'vehicles specifications'!$F44,'fuels and tailpipe emissions'!$B$10:$B$126,'vehicles specifications'!CG$2)/1000*$AQ44</f>
        <v>8.7556858007976005E-9</v>
      </c>
      <c r="CH44" s="7">
        <f>SUMIFS('fuels and tailpipe emissions'!$C$10:$C$126,'fuels and tailpipe emissions'!$A$10:$A$126,'vehicles specifications'!$F44,'fuels and tailpipe emissions'!$B$10:$B$126,'vehicles specifications'!CH$2)/1000*$AQ44</f>
        <v>1.0869127200990126E-8</v>
      </c>
      <c r="CI44" s="7">
        <f>VLOOKUP(B44,'abrasion emissions'!$A$4:$D$32,4,FALSE)</f>
        <v>6.0000000000000002E-6</v>
      </c>
      <c r="CJ44" s="7">
        <f>VLOOKUP(B44,'abrasion emissions'!$A$4:$D$32,2,FALSE)</f>
        <v>6.3939999999999993E-6</v>
      </c>
      <c r="CK44" s="7">
        <f>VLOOKUP(B44,'abrasion emissions'!$A$4:$D$32,3,FALSE)</f>
        <v>6.1789999999999996E-6</v>
      </c>
    </row>
    <row r="45" spans="1:89" s="21" customFormat="1" x14ac:dyDescent="0.3">
      <c r="A45" s="21" t="str">
        <f>B45&amp;" - "&amp;D45&amp;" - "&amp;E45</f>
        <v>Scooter, electric, &lt;4kW - 2020 - CH</v>
      </c>
      <c r="B45" s="21" t="s">
        <v>674</v>
      </c>
      <c r="D45" s="21">
        <v>2020</v>
      </c>
      <c r="E45" s="21" t="s">
        <v>37</v>
      </c>
      <c r="F45" s="21" t="s">
        <v>146</v>
      </c>
      <c r="G45" s="21" t="s">
        <v>39</v>
      </c>
      <c r="H45" s="21" t="s">
        <v>32</v>
      </c>
      <c r="I45" s="21" t="s">
        <v>43</v>
      </c>
      <c r="J45" s="21">
        <v>33400</v>
      </c>
      <c r="K45" s="21">
        <v>2553</v>
      </c>
      <c r="L45" s="2">
        <f>J45/K45</f>
        <v>13.082647865256561</v>
      </c>
      <c r="M45" s="21">
        <v>1</v>
      </c>
      <c r="N45" s="21">
        <v>70</v>
      </c>
      <c r="O45" s="21">
        <v>4</v>
      </c>
      <c r="P45" s="2">
        <f>SUM(U45,V45,W45,AC45,AF45,AH45)</f>
        <v>99.8</v>
      </c>
      <c r="Q45" s="2">
        <f>P45+(M45*N45)+O45</f>
        <v>173.8</v>
      </c>
      <c r="R45" s="21">
        <v>2.6</v>
      </c>
      <c r="S45" s="2">
        <v>73</v>
      </c>
      <c r="T45" s="1">
        <v>0</v>
      </c>
      <c r="U45" s="2">
        <f>S45*(1-T45)</f>
        <v>73</v>
      </c>
      <c r="V45" s="21">
        <v>5</v>
      </c>
      <c r="W45" s="21">
        <v>8</v>
      </c>
      <c r="X45" s="3">
        <v>2.2999999999999998</v>
      </c>
      <c r="Y45" s="1">
        <v>0.8</v>
      </c>
      <c r="Z45" s="3">
        <f>Y45*X45</f>
        <v>1.8399999999999999</v>
      </c>
      <c r="AA45" s="3">
        <f>X45/'energy battery'!B$3</f>
        <v>11.499999999999998</v>
      </c>
      <c r="AB45" s="3">
        <f t="shared" ref="AB45:AB52" si="31">0.2*AA45</f>
        <v>2.2999999999999998</v>
      </c>
      <c r="AC45" s="3">
        <f>AB45+AA45</f>
        <v>13.799999999999997</v>
      </c>
      <c r="AD45" s="3">
        <v>1</v>
      </c>
      <c r="AE45" s="3">
        <v>0</v>
      </c>
      <c r="AF45" s="21">
        <f>AE45*'fuels and tailpipe emissions'!$B$3</f>
        <v>0</v>
      </c>
      <c r="AG45" s="21">
        <v>0</v>
      </c>
      <c r="AH45" s="3">
        <v>0</v>
      </c>
      <c r="AI45" s="3">
        <v>3</v>
      </c>
      <c r="AJ45" s="3">
        <v>1</v>
      </c>
      <c r="AK45" s="21">
        <f>IF(J45/50000&gt;1,J45/50000,1)</f>
        <v>1</v>
      </c>
      <c r="AL45" s="21">
        <f>0.000537/1000*Q45</f>
        <v>9.3330600000000004E-5</v>
      </c>
      <c r="AM45" s="21">
        <v>1.2899999999999999E-3</v>
      </c>
      <c r="AN45" s="2">
        <f>U45</f>
        <v>73</v>
      </c>
      <c r="AO45" s="2">
        <f>SUM(V45:W45)</f>
        <v>13</v>
      </c>
      <c r="AP45" s="2">
        <f>AC45</f>
        <v>13.799999999999997</v>
      </c>
      <c r="AQ45" s="6" t="s">
        <v>86</v>
      </c>
      <c r="AR45" s="5">
        <v>0.13343610710814707</v>
      </c>
      <c r="AS45" s="2">
        <f>SUM(Z45,AG45)/(SUM(AQ45:AR45)/3.6)</f>
        <v>49.641735985533444</v>
      </c>
      <c r="AT45" s="5">
        <v>0</v>
      </c>
      <c r="AU45" s="7">
        <v>0</v>
      </c>
      <c r="AV45" s="7">
        <v>0</v>
      </c>
      <c r="AW45" s="7">
        <v>0</v>
      </c>
      <c r="AX45" s="7">
        <v>0</v>
      </c>
      <c r="AY45" s="7">
        <v>0</v>
      </c>
      <c r="AZ45" s="7">
        <v>0</v>
      </c>
      <c r="BA45" s="7">
        <v>0</v>
      </c>
      <c r="BB45" s="7">
        <v>0</v>
      </c>
      <c r="BC45" s="7">
        <v>0</v>
      </c>
      <c r="BD45" s="7">
        <v>0</v>
      </c>
      <c r="BE45" s="7">
        <v>0</v>
      </c>
      <c r="BF45" s="7">
        <v>0</v>
      </c>
      <c r="BG45" s="7">
        <v>0</v>
      </c>
      <c r="BH45" s="7">
        <v>0</v>
      </c>
      <c r="BI45" s="7">
        <v>0</v>
      </c>
      <c r="BJ45" s="7">
        <v>0</v>
      </c>
      <c r="BK45" s="7">
        <v>0</v>
      </c>
      <c r="BL45" s="7">
        <v>0</v>
      </c>
      <c r="BM45" s="7">
        <v>0</v>
      </c>
      <c r="BN45" s="7">
        <v>0</v>
      </c>
      <c r="BO45" s="7">
        <v>0</v>
      </c>
      <c r="BP45" s="7">
        <v>0</v>
      </c>
      <c r="BQ45" s="7">
        <v>0</v>
      </c>
      <c r="BR45" s="7">
        <v>0</v>
      </c>
      <c r="BS45" s="7">
        <v>0</v>
      </c>
      <c r="BT45" s="7">
        <v>0</v>
      </c>
      <c r="BU45" s="7">
        <v>0</v>
      </c>
      <c r="BV45" s="7">
        <v>0</v>
      </c>
      <c r="BW45" s="7">
        <v>0</v>
      </c>
      <c r="BX45" s="7">
        <v>0</v>
      </c>
      <c r="BY45" s="7">
        <v>0</v>
      </c>
      <c r="BZ45" s="7">
        <v>0</v>
      </c>
      <c r="CA45" s="7">
        <v>0</v>
      </c>
      <c r="CB45" s="7">
        <v>0</v>
      </c>
      <c r="CC45" s="7">
        <v>0</v>
      </c>
      <c r="CD45" s="7">
        <v>0</v>
      </c>
      <c r="CE45" s="7">
        <v>0</v>
      </c>
      <c r="CF45" s="7">
        <v>0</v>
      </c>
      <c r="CG45" s="7">
        <v>0</v>
      </c>
      <c r="CH45" s="7">
        <v>0</v>
      </c>
      <c r="CI45" s="7">
        <f>VLOOKUP(B45,'abrasion emissions'!$A$4:$D$32,4,FALSE)</f>
        <v>6.0000000000000002E-6</v>
      </c>
      <c r="CJ45" s="7">
        <f>VLOOKUP(B45,'abrasion emissions'!$A$4:$D$32,2,FALSE)</f>
        <v>6.3939999999999993E-6</v>
      </c>
      <c r="CK45" s="7">
        <f>VLOOKUP(B45,'abrasion emissions'!$A$4:$D$32,3,FALSE)</f>
        <v>3.0894999999999998E-6</v>
      </c>
    </row>
    <row r="46" spans="1:89" s="21" customFormat="1" x14ac:dyDescent="0.3">
      <c r="A46" s="21" t="str">
        <f>B46&amp;" - "&amp;D46&amp;" - "&amp;E46</f>
        <v>Scooter, electric, &lt;4kW - 2030 - CH</v>
      </c>
      <c r="B46" s="21" t="s">
        <v>674</v>
      </c>
      <c r="D46" s="21">
        <v>2030</v>
      </c>
      <c r="E46" s="21" t="s">
        <v>37</v>
      </c>
      <c r="F46" s="21" t="s">
        <v>146</v>
      </c>
      <c r="G46" s="21" t="s">
        <v>39</v>
      </c>
      <c r="H46" s="21" t="s">
        <v>32</v>
      </c>
      <c r="I46" s="21" t="s">
        <v>43</v>
      </c>
      <c r="J46" s="21">
        <v>33400</v>
      </c>
      <c r="K46" s="21">
        <v>2553</v>
      </c>
      <c r="L46" s="2">
        <f>J46/K46</f>
        <v>13.082647865256561</v>
      </c>
      <c r="M46" s="21">
        <v>1</v>
      </c>
      <c r="N46" s="21">
        <v>70</v>
      </c>
      <c r="O46" s="21">
        <v>4</v>
      </c>
      <c r="P46" s="2">
        <f>SUM(U46,V46,W46,AC46,AF46,AH46)</f>
        <v>99.81</v>
      </c>
      <c r="Q46" s="2">
        <f>P46+(M46*N46)+O46</f>
        <v>173.81</v>
      </c>
      <c r="R46" s="21">
        <v>2.6</v>
      </c>
      <c r="S46" s="2">
        <v>73</v>
      </c>
      <c r="T46" s="1">
        <v>0.03</v>
      </c>
      <c r="U46" s="2">
        <f>S46*(1-T46)</f>
        <v>70.81</v>
      </c>
      <c r="V46" s="21">
        <v>5</v>
      </c>
      <c r="W46" s="21">
        <v>8</v>
      </c>
      <c r="X46" s="3">
        <v>4</v>
      </c>
      <c r="Y46" s="1">
        <v>0.8</v>
      </c>
      <c r="Z46" s="3">
        <f>Y46*X46</f>
        <v>3.2</v>
      </c>
      <c r="AA46" s="3">
        <f>X46/'energy battery'!B$4</f>
        <v>13.333333333333334</v>
      </c>
      <c r="AB46" s="3">
        <f t="shared" si="31"/>
        <v>2.666666666666667</v>
      </c>
      <c r="AC46" s="3">
        <f>AB46+AA46</f>
        <v>16</v>
      </c>
      <c r="AD46" s="3">
        <v>0.5</v>
      </c>
      <c r="AE46" s="3">
        <v>0</v>
      </c>
      <c r="AF46" s="21">
        <f>AE46*'fuels and tailpipe emissions'!$B$3</f>
        <v>0</v>
      </c>
      <c r="AG46" s="21">
        <v>0</v>
      </c>
      <c r="AH46" s="3">
        <v>0</v>
      </c>
      <c r="AI46" s="3">
        <v>3</v>
      </c>
      <c r="AJ46" s="3">
        <v>1</v>
      </c>
      <c r="AK46" s="21">
        <f>IF(J46/50000&gt;1,J46/50000,1)</f>
        <v>1</v>
      </c>
      <c r="AL46" s="21">
        <f>0.000537/1000*Q46</f>
        <v>9.333597E-5</v>
      </c>
      <c r="AM46" s="21">
        <v>1.2899999999999999E-3</v>
      </c>
      <c r="AN46" s="2">
        <f>U46</f>
        <v>70.81</v>
      </c>
      <c r="AO46" s="2">
        <f>SUM(V46:W46)</f>
        <v>13</v>
      </c>
      <c r="AP46" s="2">
        <f>AC46</f>
        <v>16</v>
      </c>
      <c r="AQ46" s="6" t="s">
        <v>86</v>
      </c>
      <c r="AR46" s="5">
        <v>0.13343610710814707</v>
      </c>
      <c r="AS46" s="2">
        <f>SUM(Z46,AG46)/(SUM(AQ46:AR46)/3.6)</f>
        <v>86.333453887884261</v>
      </c>
      <c r="AT46" s="5">
        <v>0</v>
      </c>
      <c r="AU46" s="7">
        <v>0</v>
      </c>
      <c r="AV46" s="7">
        <v>0</v>
      </c>
      <c r="AW46" s="7">
        <v>0</v>
      </c>
      <c r="AX46" s="7">
        <v>0</v>
      </c>
      <c r="AY46" s="7">
        <v>0</v>
      </c>
      <c r="AZ46" s="7">
        <v>0</v>
      </c>
      <c r="BA46" s="7">
        <v>0</v>
      </c>
      <c r="BB46" s="7">
        <v>0</v>
      </c>
      <c r="BC46" s="7">
        <v>0</v>
      </c>
      <c r="BD46" s="7">
        <v>0</v>
      </c>
      <c r="BE46" s="7">
        <v>0</v>
      </c>
      <c r="BF46" s="7">
        <v>0</v>
      </c>
      <c r="BG46" s="7">
        <v>0</v>
      </c>
      <c r="BH46" s="7">
        <v>0</v>
      </c>
      <c r="BI46" s="7">
        <v>0</v>
      </c>
      <c r="BJ46" s="7">
        <v>0</v>
      </c>
      <c r="BK46" s="7">
        <v>0</v>
      </c>
      <c r="BL46" s="7">
        <v>0</v>
      </c>
      <c r="BM46" s="7">
        <v>0</v>
      </c>
      <c r="BN46" s="7">
        <v>0</v>
      </c>
      <c r="BO46" s="7">
        <v>0</v>
      </c>
      <c r="BP46" s="7">
        <v>0</v>
      </c>
      <c r="BQ46" s="7">
        <v>0</v>
      </c>
      <c r="BR46" s="7">
        <v>0</v>
      </c>
      <c r="BS46" s="7">
        <v>0</v>
      </c>
      <c r="BT46" s="7">
        <v>0</v>
      </c>
      <c r="BU46" s="7">
        <v>0</v>
      </c>
      <c r="BV46" s="7">
        <v>0</v>
      </c>
      <c r="BW46" s="7">
        <v>0</v>
      </c>
      <c r="BX46" s="7">
        <v>0</v>
      </c>
      <c r="BY46" s="7">
        <v>0</v>
      </c>
      <c r="BZ46" s="7">
        <v>0</v>
      </c>
      <c r="CA46" s="7">
        <v>0</v>
      </c>
      <c r="CB46" s="7">
        <v>0</v>
      </c>
      <c r="CC46" s="7">
        <v>0</v>
      </c>
      <c r="CD46" s="7">
        <v>0</v>
      </c>
      <c r="CE46" s="7">
        <v>0</v>
      </c>
      <c r="CF46" s="7">
        <v>0</v>
      </c>
      <c r="CG46" s="7">
        <v>0</v>
      </c>
      <c r="CH46" s="7">
        <v>0</v>
      </c>
      <c r="CI46" s="7">
        <f>VLOOKUP(B46,'abrasion emissions'!$A$4:$D$32,4,FALSE)</f>
        <v>6.0000000000000002E-6</v>
      </c>
      <c r="CJ46" s="7">
        <f>VLOOKUP(B46,'abrasion emissions'!$A$4:$D$32,2,FALSE)</f>
        <v>6.3939999999999993E-6</v>
      </c>
      <c r="CK46" s="7">
        <f>VLOOKUP(B46,'abrasion emissions'!$A$4:$D$32,3,FALSE)</f>
        <v>3.0894999999999998E-6</v>
      </c>
    </row>
    <row r="47" spans="1:89" s="21" customFormat="1" x14ac:dyDescent="0.3">
      <c r="A47" s="21" t="str">
        <f>B47&amp;" - "&amp;D47&amp;" - "&amp;E47</f>
        <v>Scooter, electric, &lt;4kW - 2040 - CH</v>
      </c>
      <c r="B47" s="21" t="s">
        <v>674</v>
      </c>
      <c r="D47" s="21">
        <v>2040</v>
      </c>
      <c r="E47" s="21" t="s">
        <v>37</v>
      </c>
      <c r="F47" s="21" t="s">
        <v>146</v>
      </c>
      <c r="G47" s="21" t="s">
        <v>39</v>
      </c>
      <c r="H47" s="21" t="s">
        <v>32</v>
      </c>
      <c r="I47" s="21" t="s">
        <v>43</v>
      </c>
      <c r="J47" s="21">
        <v>33400</v>
      </c>
      <c r="K47" s="21">
        <v>2553</v>
      </c>
      <c r="L47" s="2">
        <f>J47/K47</f>
        <v>13.082647865256561</v>
      </c>
      <c r="M47" s="21">
        <v>1</v>
      </c>
      <c r="N47" s="21">
        <v>70</v>
      </c>
      <c r="O47" s="21">
        <v>4</v>
      </c>
      <c r="P47" s="2">
        <f>SUM(U47,V47,W47,AC47,AF47,AH47)</f>
        <v>99.75</v>
      </c>
      <c r="Q47" s="2">
        <f>P47+(M47*N47)+O47</f>
        <v>173.75</v>
      </c>
      <c r="R47" s="21">
        <v>2.6</v>
      </c>
      <c r="S47" s="2">
        <v>73</v>
      </c>
      <c r="T47" s="1">
        <v>0.05</v>
      </c>
      <c r="U47" s="2">
        <f>S47*(1-T47)</f>
        <v>69.349999999999994</v>
      </c>
      <c r="V47" s="21">
        <v>5</v>
      </c>
      <c r="W47" s="21">
        <v>8</v>
      </c>
      <c r="X47" s="3">
        <v>5.8</v>
      </c>
      <c r="Y47" s="1">
        <v>0.8</v>
      </c>
      <c r="Z47" s="3">
        <f>Y47*X47</f>
        <v>4.6399999999999997</v>
      </c>
      <c r="AA47" s="3">
        <f>X47/'energy battery'!B$5</f>
        <v>14.499999999999998</v>
      </c>
      <c r="AB47" s="3">
        <f t="shared" si="31"/>
        <v>2.9</v>
      </c>
      <c r="AC47" s="3">
        <f>AB47+AA47</f>
        <v>17.399999999999999</v>
      </c>
      <c r="AD47" s="3">
        <v>0.25</v>
      </c>
      <c r="AE47" s="3">
        <v>0</v>
      </c>
      <c r="AF47" s="21">
        <f>AE47*'fuels and tailpipe emissions'!$B$3</f>
        <v>0</v>
      </c>
      <c r="AG47" s="21">
        <v>0</v>
      </c>
      <c r="AH47" s="3">
        <v>0</v>
      </c>
      <c r="AI47" s="3">
        <v>3</v>
      </c>
      <c r="AJ47" s="3">
        <v>1</v>
      </c>
      <c r="AK47" s="21">
        <f>IF(J47/50000&gt;1,J47/50000,1)</f>
        <v>1</v>
      </c>
      <c r="AL47" s="21">
        <f>0.000537/1000*Q47</f>
        <v>9.3303749999999996E-5</v>
      </c>
      <c r="AM47" s="21">
        <v>1.2899999999999999E-3</v>
      </c>
      <c r="AN47" s="2">
        <f>U47</f>
        <v>69.349999999999994</v>
      </c>
      <c r="AO47" s="2">
        <f>SUM(V47:W47)</f>
        <v>13</v>
      </c>
      <c r="AP47" s="2">
        <f>AC47</f>
        <v>17.399999999999999</v>
      </c>
      <c r="AQ47" s="6" t="s">
        <v>86</v>
      </c>
      <c r="AR47" s="5">
        <v>0.13343610710814707</v>
      </c>
      <c r="AS47" s="2">
        <f>SUM(Z47,AG47)/(SUM(AQ47:AR47)/3.6)</f>
        <v>125.18350813743217</v>
      </c>
      <c r="AT47" s="5">
        <v>0</v>
      </c>
      <c r="AU47" s="7">
        <v>0</v>
      </c>
      <c r="AV47" s="7">
        <v>0</v>
      </c>
      <c r="AW47" s="7">
        <v>0</v>
      </c>
      <c r="AX47" s="7">
        <v>0</v>
      </c>
      <c r="AY47" s="7">
        <v>0</v>
      </c>
      <c r="AZ47" s="7">
        <v>0</v>
      </c>
      <c r="BA47" s="7">
        <v>0</v>
      </c>
      <c r="BB47" s="7">
        <v>0</v>
      </c>
      <c r="BC47" s="7">
        <v>0</v>
      </c>
      <c r="BD47" s="7">
        <v>0</v>
      </c>
      <c r="BE47" s="7">
        <v>0</v>
      </c>
      <c r="BF47" s="7">
        <v>0</v>
      </c>
      <c r="BG47" s="7">
        <v>0</v>
      </c>
      <c r="BH47" s="7">
        <v>0</v>
      </c>
      <c r="BI47" s="7">
        <v>0</v>
      </c>
      <c r="BJ47" s="7">
        <v>0</v>
      </c>
      <c r="BK47" s="7">
        <v>0</v>
      </c>
      <c r="BL47" s="7">
        <v>0</v>
      </c>
      <c r="BM47" s="7">
        <v>0</v>
      </c>
      <c r="BN47" s="7">
        <v>0</v>
      </c>
      <c r="BO47" s="7">
        <v>0</v>
      </c>
      <c r="BP47" s="7">
        <v>0</v>
      </c>
      <c r="BQ47" s="7">
        <v>0</v>
      </c>
      <c r="BR47" s="7">
        <v>0</v>
      </c>
      <c r="BS47" s="7">
        <v>0</v>
      </c>
      <c r="BT47" s="7">
        <v>0</v>
      </c>
      <c r="BU47" s="7">
        <v>0</v>
      </c>
      <c r="BV47" s="7">
        <v>0</v>
      </c>
      <c r="BW47" s="7">
        <v>0</v>
      </c>
      <c r="BX47" s="7">
        <v>0</v>
      </c>
      <c r="BY47" s="7">
        <v>0</v>
      </c>
      <c r="BZ47" s="7">
        <v>0</v>
      </c>
      <c r="CA47" s="7">
        <v>0</v>
      </c>
      <c r="CB47" s="7">
        <v>0</v>
      </c>
      <c r="CC47" s="7">
        <v>0</v>
      </c>
      <c r="CD47" s="7">
        <v>0</v>
      </c>
      <c r="CE47" s="7">
        <v>0</v>
      </c>
      <c r="CF47" s="7">
        <v>0</v>
      </c>
      <c r="CG47" s="7">
        <v>0</v>
      </c>
      <c r="CH47" s="7">
        <v>0</v>
      </c>
      <c r="CI47" s="7">
        <f>VLOOKUP(B47,'abrasion emissions'!$A$4:$D$32,4,FALSE)</f>
        <v>6.0000000000000002E-6</v>
      </c>
      <c r="CJ47" s="7">
        <f>VLOOKUP(B47,'abrasion emissions'!$A$4:$D$32,2,FALSE)</f>
        <v>6.3939999999999993E-6</v>
      </c>
      <c r="CK47" s="7">
        <f>VLOOKUP(B47,'abrasion emissions'!$A$4:$D$32,3,FALSE)</f>
        <v>3.0894999999999998E-6</v>
      </c>
    </row>
    <row r="48" spans="1:89" s="21" customFormat="1" x14ac:dyDescent="0.3">
      <c r="A48" s="21" t="str">
        <f>B48&amp;" - "&amp;D48&amp;" - "&amp;E48</f>
        <v>Scooter, electric, &lt;4kW - 2050 - CH</v>
      </c>
      <c r="B48" s="21" t="s">
        <v>674</v>
      </c>
      <c r="D48" s="21">
        <v>2050</v>
      </c>
      <c r="E48" s="21" t="s">
        <v>37</v>
      </c>
      <c r="F48" s="21" t="s">
        <v>146</v>
      </c>
      <c r="G48" s="21" t="s">
        <v>39</v>
      </c>
      <c r="H48" s="21" t="s">
        <v>32</v>
      </c>
      <c r="I48" s="21" t="s">
        <v>43</v>
      </c>
      <c r="J48" s="21">
        <v>33400</v>
      </c>
      <c r="K48" s="21">
        <v>2553</v>
      </c>
      <c r="L48" s="2">
        <f>J48/K48</f>
        <v>13.082647865256561</v>
      </c>
      <c r="M48" s="21">
        <v>1</v>
      </c>
      <c r="N48" s="21">
        <v>70</v>
      </c>
      <c r="O48" s="21">
        <v>4</v>
      </c>
      <c r="P48" s="2">
        <f>SUM(U48,V48,W48,AC48,AF48,AH48)</f>
        <v>100.09</v>
      </c>
      <c r="Q48" s="2">
        <f>P48+(M48*N48)+O48</f>
        <v>174.09</v>
      </c>
      <c r="R48" s="21">
        <v>2.6</v>
      </c>
      <c r="S48" s="2">
        <v>73</v>
      </c>
      <c r="T48" s="1">
        <v>7.0000000000000007E-2</v>
      </c>
      <c r="U48" s="2">
        <f>S48*(1-T48)</f>
        <v>67.89</v>
      </c>
      <c r="V48" s="21">
        <v>5</v>
      </c>
      <c r="W48" s="21">
        <v>8</v>
      </c>
      <c r="X48" s="3">
        <v>8</v>
      </c>
      <c r="Y48" s="1">
        <v>0.8</v>
      </c>
      <c r="Z48" s="3">
        <f>Y48*X48</f>
        <v>6.4</v>
      </c>
      <c r="AA48" s="3">
        <f>X48/'energy battery'!B$6</f>
        <v>16</v>
      </c>
      <c r="AB48" s="3">
        <f t="shared" si="31"/>
        <v>3.2</v>
      </c>
      <c r="AC48" s="3">
        <f>AB48+AA48</f>
        <v>19.2</v>
      </c>
      <c r="AD48" s="3">
        <v>0</v>
      </c>
      <c r="AE48" s="3">
        <v>0</v>
      </c>
      <c r="AF48" s="21">
        <f>AE48*'fuels and tailpipe emissions'!$B$3</f>
        <v>0</v>
      </c>
      <c r="AG48" s="21">
        <v>0</v>
      </c>
      <c r="AH48" s="3">
        <v>0</v>
      </c>
      <c r="AI48" s="3">
        <v>3</v>
      </c>
      <c r="AJ48" s="3">
        <v>1</v>
      </c>
      <c r="AK48" s="21">
        <f>IF(J48/50000&gt;1,J48/50000,1)</f>
        <v>1</v>
      </c>
      <c r="AL48" s="21">
        <f>0.000537/1000*Q48</f>
        <v>9.3486330000000002E-5</v>
      </c>
      <c r="AM48" s="21">
        <v>1.2899999999999999E-3</v>
      </c>
      <c r="AN48" s="2">
        <f>U48</f>
        <v>67.89</v>
      </c>
      <c r="AO48" s="2">
        <f>SUM(V48:W48)</f>
        <v>13</v>
      </c>
      <c r="AP48" s="2">
        <f>AC48</f>
        <v>19.2</v>
      </c>
      <c r="AQ48" s="6" t="s">
        <v>86</v>
      </c>
      <c r="AR48" s="5">
        <v>0.13343610710814707</v>
      </c>
      <c r="AS48" s="2">
        <f>SUM(Z48,AG48)/(SUM(AQ48:AR48)/3.6)</f>
        <v>172.66690777576852</v>
      </c>
      <c r="AT48" s="5">
        <v>0</v>
      </c>
      <c r="AU48" s="7">
        <v>0</v>
      </c>
      <c r="AV48" s="7">
        <v>0</v>
      </c>
      <c r="AW48" s="7">
        <v>0</v>
      </c>
      <c r="AX48" s="7">
        <v>0</v>
      </c>
      <c r="AY48" s="7">
        <v>0</v>
      </c>
      <c r="AZ48" s="7">
        <v>0</v>
      </c>
      <c r="BA48" s="7">
        <v>0</v>
      </c>
      <c r="BB48" s="7">
        <v>0</v>
      </c>
      <c r="BC48" s="7">
        <v>0</v>
      </c>
      <c r="BD48" s="7">
        <v>0</v>
      </c>
      <c r="BE48" s="7">
        <v>0</v>
      </c>
      <c r="BF48" s="7">
        <v>0</v>
      </c>
      <c r="BG48" s="7">
        <v>0</v>
      </c>
      <c r="BH48" s="7">
        <v>0</v>
      </c>
      <c r="BI48" s="7">
        <v>0</v>
      </c>
      <c r="BJ48" s="7">
        <v>0</v>
      </c>
      <c r="BK48" s="7">
        <v>0</v>
      </c>
      <c r="BL48" s="7">
        <v>0</v>
      </c>
      <c r="BM48" s="7">
        <v>0</v>
      </c>
      <c r="BN48" s="7">
        <v>0</v>
      </c>
      <c r="BO48" s="7">
        <v>0</v>
      </c>
      <c r="BP48" s="7">
        <v>0</v>
      </c>
      <c r="BQ48" s="7">
        <v>0</v>
      </c>
      <c r="BR48" s="7">
        <v>0</v>
      </c>
      <c r="BS48" s="7">
        <v>0</v>
      </c>
      <c r="BT48" s="7">
        <v>0</v>
      </c>
      <c r="BU48" s="7">
        <v>0</v>
      </c>
      <c r="BV48" s="7">
        <v>0</v>
      </c>
      <c r="BW48" s="7">
        <v>0</v>
      </c>
      <c r="BX48" s="7">
        <v>0</v>
      </c>
      <c r="BY48" s="7">
        <v>0</v>
      </c>
      <c r="BZ48" s="7">
        <v>0</v>
      </c>
      <c r="CA48" s="7">
        <v>0</v>
      </c>
      <c r="CB48" s="7">
        <v>0</v>
      </c>
      <c r="CC48" s="7">
        <v>0</v>
      </c>
      <c r="CD48" s="7">
        <v>0</v>
      </c>
      <c r="CE48" s="7">
        <v>0</v>
      </c>
      <c r="CF48" s="7">
        <v>0</v>
      </c>
      <c r="CG48" s="7">
        <v>0</v>
      </c>
      <c r="CH48" s="7">
        <v>0</v>
      </c>
      <c r="CI48" s="7">
        <f>VLOOKUP(B48,'abrasion emissions'!$A$4:$D$32,4,FALSE)</f>
        <v>6.0000000000000002E-6</v>
      </c>
      <c r="CJ48" s="7">
        <f>VLOOKUP(B48,'abrasion emissions'!$A$4:$D$32,2,FALSE)</f>
        <v>6.3939999999999993E-6</v>
      </c>
      <c r="CK48" s="7">
        <f>VLOOKUP(B48,'abrasion emissions'!$A$4:$D$32,3,FALSE)</f>
        <v>3.0894999999999998E-6</v>
      </c>
    </row>
    <row r="49" spans="1:89" x14ac:dyDescent="0.3">
      <c r="A49" t="str">
        <f t="shared" si="1"/>
        <v>Scooter, electric, 4-11kW - 2020 - CH</v>
      </c>
      <c r="B49" t="s">
        <v>631</v>
      </c>
      <c r="D49">
        <v>2020</v>
      </c>
      <c r="E49" t="s">
        <v>37</v>
      </c>
      <c r="F49" t="s">
        <v>146</v>
      </c>
      <c r="G49" t="s">
        <v>39</v>
      </c>
      <c r="H49" t="s">
        <v>32</v>
      </c>
      <c r="I49" t="s">
        <v>43</v>
      </c>
      <c r="J49" s="21">
        <v>39800</v>
      </c>
      <c r="K49">
        <v>2731</v>
      </c>
      <c r="L49" s="2">
        <f t="shared" si="2"/>
        <v>14.573416331014281</v>
      </c>
      <c r="M49">
        <v>1</v>
      </c>
      <c r="N49">
        <v>70</v>
      </c>
      <c r="O49">
        <v>4</v>
      </c>
      <c r="P49" s="2">
        <f t="shared" si="13"/>
        <v>129.80000000000001</v>
      </c>
      <c r="Q49" s="2">
        <f t="shared" si="3"/>
        <v>203.8</v>
      </c>
      <c r="R49">
        <v>6.1</v>
      </c>
      <c r="S49" s="2">
        <v>84</v>
      </c>
      <c r="T49" s="1">
        <v>0</v>
      </c>
      <c r="U49" s="2">
        <f t="shared" si="4"/>
        <v>84</v>
      </c>
      <c r="V49">
        <v>10</v>
      </c>
      <c r="W49">
        <v>16</v>
      </c>
      <c r="X49" s="3">
        <v>3.3</v>
      </c>
      <c r="Y49" s="1">
        <v>0.8</v>
      </c>
      <c r="Z49" s="3">
        <f t="shared" si="5"/>
        <v>2.64</v>
      </c>
      <c r="AA49" s="3">
        <f>X49/'energy battery'!B$3</f>
        <v>16.499999999999996</v>
      </c>
      <c r="AB49" s="3">
        <f t="shared" si="31"/>
        <v>3.2999999999999994</v>
      </c>
      <c r="AC49" s="3">
        <f t="shared" si="7"/>
        <v>19.799999999999997</v>
      </c>
      <c r="AD49" s="3">
        <v>1</v>
      </c>
      <c r="AE49" s="3">
        <v>0</v>
      </c>
      <c r="AF49">
        <f>AE49*'fuels and tailpipe emissions'!$B$3</f>
        <v>0</v>
      </c>
      <c r="AG49">
        <v>0</v>
      </c>
      <c r="AH49" s="3">
        <v>0</v>
      </c>
      <c r="AI49" s="3">
        <v>3</v>
      </c>
      <c r="AJ49" s="3">
        <v>1</v>
      </c>
      <c r="AK49">
        <f t="shared" si="30"/>
        <v>1</v>
      </c>
      <c r="AL49">
        <f t="shared" si="15"/>
        <v>1.0944060000000001E-4</v>
      </c>
      <c r="AM49">
        <v>1.2899999999999999E-3</v>
      </c>
      <c r="AN49" s="2">
        <f t="shared" si="9"/>
        <v>84</v>
      </c>
      <c r="AO49" s="2">
        <f t="shared" si="10"/>
        <v>26</v>
      </c>
      <c r="AP49" s="2">
        <f t="shared" si="11"/>
        <v>19.799999999999997</v>
      </c>
      <c r="AQ49" s="6" t="s">
        <v>86</v>
      </c>
      <c r="AR49" s="5">
        <v>0.18941496155676324</v>
      </c>
      <c r="AS49" s="2">
        <f>SUM(Z49,AG49)/(SUM(AQ49:AR49)/3.6)</f>
        <v>50.175550663414057</v>
      </c>
      <c r="AT49" s="5">
        <v>0</v>
      </c>
      <c r="AU49" s="7">
        <v>0</v>
      </c>
      <c r="AV49" s="7">
        <v>0</v>
      </c>
      <c r="AW49" s="7">
        <v>0</v>
      </c>
      <c r="AX49" s="7">
        <v>0</v>
      </c>
      <c r="AY49" s="7">
        <v>0</v>
      </c>
      <c r="AZ49" s="7">
        <v>0</v>
      </c>
      <c r="BA49" s="7">
        <v>0</v>
      </c>
      <c r="BB49" s="7">
        <v>0</v>
      </c>
      <c r="BC49" s="7">
        <v>0</v>
      </c>
      <c r="BD49" s="7">
        <v>0</v>
      </c>
      <c r="BE49" s="7">
        <v>0</v>
      </c>
      <c r="BF49" s="7">
        <v>0</v>
      </c>
      <c r="BG49" s="7">
        <v>0</v>
      </c>
      <c r="BH49" s="7">
        <v>0</v>
      </c>
      <c r="BI49" s="7">
        <v>0</v>
      </c>
      <c r="BJ49" s="7">
        <v>0</v>
      </c>
      <c r="BK49" s="7">
        <v>0</v>
      </c>
      <c r="BL49" s="7">
        <v>0</v>
      </c>
      <c r="BM49" s="7">
        <v>0</v>
      </c>
      <c r="BN49" s="7">
        <v>0</v>
      </c>
      <c r="BO49" s="7">
        <v>0</v>
      </c>
      <c r="BP49" s="7">
        <v>0</v>
      </c>
      <c r="BQ49" s="7">
        <v>0</v>
      </c>
      <c r="BR49" s="7">
        <v>0</v>
      </c>
      <c r="BS49" s="7">
        <v>0</v>
      </c>
      <c r="BT49" s="7">
        <v>0</v>
      </c>
      <c r="BU49" s="7">
        <v>0</v>
      </c>
      <c r="BV49" s="7">
        <v>0</v>
      </c>
      <c r="BW49" s="7">
        <v>0</v>
      </c>
      <c r="BX49" s="7">
        <v>0</v>
      </c>
      <c r="BY49" s="7">
        <v>0</v>
      </c>
      <c r="BZ49" s="7">
        <v>0</v>
      </c>
      <c r="CA49" s="7">
        <v>0</v>
      </c>
      <c r="CB49" s="7">
        <v>0</v>
      </c>
      <c r="CC49" s="7">
        <v>0</v>
      </c>
      <c r="CD49" s="7">
        <v>0</v>
      </c>
      <c r="CE49" s="7">
        <v>0</v>
      </c>
      <c r="CF49" s="7">
        <v>0</v>
      </c>
      <c r="CG49" s="7">
        <v>0</v>
      </c>
      <c r="CH49" s="7">
        <v>0</v>
      </c>
      <c r="CI49" s="7">
        <f>VLOOKUP(B49,'abrasion emissions'!$A$4:$D$32,4,FALSE)</f>
        <v>6.0000000000000002E-6</v>
      </c>
      <c r="CJ49" s="7">
        <f>VLOOKUP(B49,'abrasion emissions'!$A$4:$D$32,2,FALSE)</f>
        <v>6.3939999999999993E-6</v>
      </c>
      <c r="CK49" s="7">
        <f>VLOOKUP(B49,'abrasion emissions'!$A$4:$D$32,3,FALSE)</f>
        <v>3.0894999999999998E-6</v>
      </c>
    </row>
    <row r="50" spans="1:89" x14ac:dyDescent="0.3">
      <c r="A50" t="str">
        <f t="shared" si="1"/>
        <v>Scooter, electric, 4-11kW - 2030 - CH</v>
      </c>
      <c r="B50" t="s">
        <v>631</v>
      </c>
      <c r="D50">
        <v>2030</v>
      </c>
      <c r="E50" t="s">
        <v>37</v>
      </c>
      <c r="F50" t="s">
        <v>146</v>
      </c>
      <c r="G50" t="s">
        <v>39</v>
      </c>
      <c r="H50" t="s">
        <v>32</v>
      </c>
      <c r="I50" t="s">
        <v>43</v>
      </c>
      <c r="J50" s="21">
        <v>39800</v>
      </c>
      <c r="K50" s="21">
        <v>2731</v>
      </c>
      <c r="L50" s="2">
        <f t="shared" si="2"/>
        <v>14.573416331014281</v>
      </c>
      <c r="M50">
        <v>1</v>
      </c>
      <c r="N50">
        <v>70</v>
      </c>
      <c r="O50">
        <v>4</v>
      </c>
      <c r="P50" s="2">
        <f t="shared" si="13"/>
        <v>130.28</v>
      </c>
      <c r="Q50" s="2">
        <f t="shared" si="3"/>
        <v>204.28</v>
      </c>
      <c r="R50" s="21">
        <v>6.1</v>
      </c>
      <c r="S50" s="2">
        <v>84</v>
      </c>
      <c r="T50" s="1">
        <v>0.03</v>
      </c>
      <c r="U50" s="2">
        <f t="shared" si="4"/>
        <v>81.48</v>
      </c>
      <c r="V50" s="21">
        <v>10</v>
      </c>
      <c r="W50" s="21">
        <v>16</v>
      </c>
      <c r="X50" s="3">
        <v>5.7</v>
      </c>
      <c r="Y50" s="1">
        <v>0.8</v>
      </c>
      <c r="Z50" s="3">
        <f t="shared" si="5"/>
        <v>4.5600000000000005</v>
      </c>
      <c r="AA50" s="3">
        <f>X50/'energy battery'!B$4</f>
        <v>19</v>
      </c>
      <c r="AB50" s="3">
        <f t="shared" si="31"/>
        <v>3.8000000000000003</v>
      </c>
      <c r="AC50" s="3">
        <f t="shared" si="7"/>
        <v>22.8</v>
      </c>
      <c r="AD50" s="3">
        <v>0.5</v>
      </c>
      <c r="AE50" s="3">
        <v>0</v>
      </c>
      <c r="AF50">
        <f>AE50*'fuels and tailpipe emissions'!$B$3</f>
        <v>0</v>
      </c>
      <c r="AG50">
        <v>0</v>
      </c>
      <c r="AH50" s="3">
        <v>0</v>
      </c>
      <c r="AI50" s="3">
        <v>3</v>
      </c>
      <c r="AJ50" s="3">
        <v>1</v>
      </c>
      <c r="AK50">
        <f t="shared" si="30"/>
        <v>1</v>
      </c>
      <c r="AL50">
        <f t="shared" si="15"/>
        <v>1.0969836E-4</v>
      </c>
      <c r="AM50">
        <v>1.2899999999999999E-3</v>
      </c>
      <c r="AN50" s="2">
        <f t="shared" si="9"/>
        <v>81.48</v>
      </c>
      <c r="AO50" s="2">
        <f t="shared" si="10"/>
        <v>26</v>
      </c>
      <c r="AP50" s="2">
        <f t="shared" si="11"/>
        <v>22.8</v>
      </c>
      <c r="AQ50" s="6" t="s">
        <v>86</v>
      </c>
      <c r="AR50" s="5">
        <v>0.18941496155676324</v>
      </c>
      <c r="AS50" s="2">
        <f>SUM(Z50,AG50)/(SUM(AQ50:AR50)/3.6)</f>
        <v>86.666860236806102</v>
      </c>
      <c r="AT50" s="5">
        <v>0</v>
      </c>
      <c r="AU50" s="7">
        <v>0</v>
      </c>
      <c r="AV50" s="7">
        <v>0</v>
      </c>
      <c r="AW50" s="7">
        <v>0</v>
      </c>
      <c r="AX50" s="7">
        <v>0</v>
      </c>
      <c r="AY50" s="7">
        <v>0</v>
      </c>
      <c r="AZ50" s="7">
        <v>0</v>
      </c>
      <c r="BA50" s="7">
        <v>0</v>
      </c>
      <c r="BB50" s="7">
        <v>0</v>
      </c>
      <c r="BC50" s="7">
        <v>0</v>
      </c>
      <c r="BD50" s="7">
        <v>0</v>
      </c>
      <c r="BE50" s="7">
        <v>0</v>
      </c>
      <c r="BF50" s="7">
        <v>0</v>
      </c>
      <c r="BG50" s="7">
        <v>0</v>
      </c>
      <c r="BH50" s="7">
        <v>0</v>
      </c>
      <c r="BI50" s="7">
        <v>0</v>
      </c>
      <c r="BJ50" s="7">
        <v>0</v>
      </c>
      <c r="BK50" s="7">
        <v>0</v>
      </c>
      <c r="BL50" s="7">
        <v>0</v>
      </c>
      <c r="BM50" s="7">
        <v>0</v>
      </c>
      <c r="BN50" s="7">
        <v>0</v>
      </c>
      <c r="BO50" s="7">
        <v>0</v>
      </c>
      <c r="BP50" s="7">
        <v>0</v>
      </c>
      <c r="BQ50" s="7">
        <v>0</v>
      </c>
      <c r="BR50" s="7">
        <v>0</v>
      </c>
      <c r="BS50" s="7">
        <v>0</v>
      </c>
      <c r="BT50" s="7">
        <v>0</v>
      </c>
      <c r="BU50" s="7">
        <v>0</v>
      </c>
      <c r="BV50" s="7">
        <v>0</v>
      </c>
      <c r="BW50" s="7">
        <v>0</v>
      </c>
      <c r="BX50" s="7">
        <v>0</v>
      </c>
      <c r="BY50" s="7">
        <v>0</v>
      </c>
      <c r="BZ50" s="7">
        <v>0</v>
      </c>
      <c r="CA50" s="7">
        <v>0</v>
      </c>
      <c r="CB50" s="7">
        <v>0</v>
      </c>
      <c r="CC50" s="7">
        <v>0</v>
      </c>
      <c r="CD50" s="7">
        <v>0</v>
      </c>
      <c r="CE50" s="7">
        <v>0</v>
      </c>
      <c r="CF50" s="7">
        <v>0</v>
      </c>
      <c r="CG50" s="7">
        <v>0</v>
      </c>
      <c r="CH50" s="7">
        <v>0</v>
      </c>
      <c r="CI50" s="7">
        <f>VLOOKUP(B50,'abrasion emissions'!$A$4:$D$32,4,FALSE)</f>
        <v>6.0000000000000002E-6</v>
      </c>
      <c r="CJ50" s="7">
        <f>VLOOKUP(B50,'abrasion emissions'!$A$4:$D$32,2,FALSE)</f>
        <v>6.3939999999999993E-6</v>
      </c>
      <c r="CK50" s="7">
        <f>VLOOKUP(B50,'abrasion emissions'!$A$4:$D$32,3,FALSE)</f>
        <v>3.0894999999999998E-6</v>
      </c>
    </row>
    <row r="51" spans="1:89" x14ac:dyDescent="0.3">
      <c r="A51" t="str">
        <f t="shared" si="1"/>
        <v>Scooter, electric, 4-11kW - 2040 - CH</v>
      </c>
      <c r="B51" t="s">
        <v>631</v>
      </c>
      <c r="D51">
        <v>2040</v>
      </c>
      <c r="E51" t="s">
        <v>37</v>
      </c>
      <c r="F51" t="s">
        <v>146</v>
      </c>
      <c r="G51" t="s">
        <v>39</v>
      </c>
      <c r="H51" t="s">
        <v>32</v>
      </c>
      <c r="I51" t="s">
        <v>43</v>
      </c>
      <c r="J51" s="21">
        <v>39800</v>
      </c>
      <c r="K51" s="21">
        <v>2731</v>
      </c>
      <c r="L51" s="2">
        <f t="shared" si="2"/>
        <v>14.573416331014281</v>
      </c>
      <c r="M51">
        <v>1</v>
      </c>
      <c r="N51">
        <v>70</v>
      </c>
      <c r="O51">
        <v>4</v>
      </c>
      <c r="P51" s="2">
        <f t="shared" si="13"/>
        <v>130.39999999999998</v>
      </c>
      <c r="Q51" s="2">
        <f t="shared" si="3"/>
        <v>204.39999999999998</v>
      </c>
      <c r="R51" s="21">
        <v>6.1</v>
      </c>
      <c r="S51" s="2">
        <v>84</v>
      </c>
      <c r="T51" s="1">
        <v>0.05</v>
      </c>
      <c r="U51" s="2">
        <f t="shared" si="4"/>
        <v>79.8</v>
      </c>
      <c r="V51" s="21">
        <v>10</v>
      </c>
      <c r="W51" s="21">
        <v>16</v>
      </c>
      <c r="X51" s="3">
        <v>8.1999999999999993</v>
      </c>
      <c r="Y51" s="1">
        <v>0.8</v>
      </c>
      <c r="Z51" s="3">
        <f t="shared" si="5"/>
        <v>6.56</v>
      </c>
      <c r="AA51" s="3">
        <f>X51/'energy battery'!B$5</f>
        <v>20.499999999999996</v>
      </c>
      <c r="AB51" s="3">
        <f t="shared" si="31"/>
        <v>4.0999999999999996</v>
      </c>
      <c r="AC51" s="3">
        <f t="shared" si="7"/>
        <v>24.599999999999994</v>
      </c>
      <c r="AD51" s="3">
        <v>0.25</v>
      </c>
      <c r="AE51" s="3">
        <v>0</v>
      </c>
      <c r="AF51">
        <f>AE51*'fuels and tailpipe emissions'!$B$3</f>
        <v>0</v>
      </c>
      <c r="AG51">
        <v>0</v>
      </c>
      <c r="AH51" s="3">
        <v>0</v>
      </c>
      <c r="AI51" s="3">
        <v>3</v>
      </c>
      <c r="AJ51" s="3">
        <v>1</v>
      </c>
      <c r="AK51">
        <f t="shared" si="30"/>
        <v>1</v>
      </c>
      <c r="AL51">
        <f t="shared" si="15"/>
        <v>1.0976279999999999E-4</v>
      </c>
      <c r="AM51">
        <v>1.2899999999999999E-3</v>
      </c>
      <c r="AN51" s="2">
        <f t="shared" si="9"/>
        <v>79.8</v>
      </c>
      <c r="AO51" s="2">
        <f t="shared" si="10"/>
        <v>26</v>
      </c>
      <c r="AP51" s="2">
        <f t="shared" si="11"/>
        <v>24.599999999999994</v>
      </c>
      <c r="AQ51" s="6" t="s">
        <v>86</v>
      </c>
      <c r="AR51" s="5">
        <v>0.18941496155676324</v>
      </c>
      <c r="AS51" s="2">
        <f>SUM(Z51,AG51)/(SUM(AQ51:AR51)/3.6)</f>
        <v>124.6786410424228</v>
      </c>
      <c r="AT51" s="5">
        <v>0</v>
      </c>
      <c r="AU51" s="7">
        <v>0</v>
      </c>
      <c r="AV51" s="7">
        <v>0</v>
      </c>
      <c r="AW51" s="7">
        <v>0</v>
      </c>
      <c r="AX51" s="7">
        <v>0</v>
      </c>
      <c r="AY51" s="7">
        <v>0</v>
      </c>
      <c r="AZ51" s="7">
        <v>0</v>
      </c>
      <c r="BA51" s="7">
        <v>0</v>
      </c>
      <c r="BB51" s="7">
        <v>0</v>
      </c>
      <c r="BC51" s="7">
        <v>0</v>
      </c>
      <c r="BD51" s="7">
        <v>0</v>
      </c>
      <c r="BE51" s="7">
        <v>0</v>
      </c>
      <c r="BF51" s="7">
        <v>0</v>
      </c>
      <c r="BG51" s="7">
        <v>0</v>
      </c>
      <c r="BH51" s="7">
        <v>0</v>
      </c>
      <c r="BI51" s="7">
        <v>0</v>
      </c>
      <c r="BJ51" s="7">
        <v>0</v>
      </c>
      <c r="BK51" s="7">
        <v>0</v>
      </c>
      <c r="BL51" s="7">
        <v>0</v>
      </c>
      <c r="BM51" s="7">
        <v>0</v>
      </c>
      <c r="BN51" s="7">
        <v>0</v>
      </c>
      <c r="BO51" s="7">
        <v>0</v>
      </c>
      <c r="BP51" s="7">
        <v>0</v>
      </c>
      <c r="BQ51" s="7">
        <v>0</v>
      </c>
      <c r="BR51" s="7">
        <v>0</v>
      </c>
      <c r="BS51" s="7">
        <v>0</v>
      </c>
      <c r="BT51" s="7">
        <v>0</v>
      </c>
      <c r="BU51" s="7">
        <v>0</v>
      </c>
      <c r="BV51" s="7">
        <v>0</v>
      </c>
      <c r="BW51" s="7">
        <v>0</v>
      </c>
      <c r="BX51" s="7">
        <v>0</v>
      </c>
      <c r="BY51" s="7">
        <v>0</v>
      </c>
      <c r="BZ51" s="7">
        <v>0</v>
      </c>
      <c r="CA51" s="7">
        <v>0</v>
      </c>
      <c r="CB51" s="7">
        <v>0</v>
      </c>
      <c r="CC51" s="7">
        <v>0</v>
      </c>
      <c r="CD51" s="7">
        <v>0</v>
      </c>
      <c r="CE51" s="7">
        <v>0</v>
      </c>
      <c r="CF51" s="7">
        <v>0</v>
      </c>
      <c r="CG51" s="7">
        <v>0</v>
      </c>
      <c r="CH51" s="7">
        <v>0</v>
      </c>
      <c r="CI51" s="7">
        <f>VLOOKUP(B51,'abrasion emissions'!$A$4:$D$32,4,FALSE)</f>
        <v>6.0000000000000002E-6</v>
      </c>
      <c r="CJ51" s="7">
        <f>VLOOKUP(B51,'abrasion emissions'!$A$4:$D$32,2,FALSE)</f>
        <v>6.3939999999999993E-6</v>
      </c>
      <c r="CK51" s="7">
        <f>VLOOKUP(B51,'abrasion emissions'!$A$4:$D$32,3,FALSE)</f>
        <v>3.0894999999999998E-6</v>
      </c>
    </row>
    <row r="52" spans="1:89" x14ac:dyDescent="0.3">
      <c r="A52" t="str">
        <f t="shared" si="1"/>
        <v>Scooter, electric, 4-11kW - 2050 - CH</v>
      </c>
      <c r="B52" t="s">
        <v>631</v>
      </c>
      <c r="D52">
        <v>2050</v>
      </c>
      <c r="E52" t="s">
        <v>37</v>
      </c>
      <c r="F52" t="s">
        <v>146</v>
      </c>
      <c r="G52" t="s">
        <v>39</v>
      </c>
      <c r="H52" t="s">
        <v>32</v>
      </c>
      <c r="I52" t="s">
        <v>43</v>
      </c>
      <c r="J52" s="21">
        <v>39800</v>
      </c>
      <c r="K52" s="21">
        <v>2731</v>
      </c>
      <c r="L52" s="2">
        <f t="shared" si="2"/>
        <v>14.573416331014281</v>
      </c>
      <c r="M52">
        <v>1</v>
      </c>
      <c r="N52">
        <v>70</v>
      </c>
      <c r="O52">
        <v>4</v>
      </c>
      <c r="P52" s="2">
        <f t="shared" si="13"/>
        <v>130.04</v>
      </c>
      <c r="Q52" s="2">
        <f t="shared" si="3"/>
        <v>204.04</v>
      </c>
      <c r="R52" s="21">
        <v>6.1</v>
      </c>
      <c r="S52" s="2">
        <v>84</v>
      </c>
      <c r="T52" s="1">
        <v>7.0000000000000007E-2</v>
      </c>
      <c r="U52" s="2">
        <f t="shared" si="4"/>
        <v>78.11999999999999</v>
      </c>
      <c r="V52" s="21">
        <v>10</v>
      </c>
      <c r="W52" s="21">
        <v>16</v>
      </c>
      <c r="X52" s="3">
        <v>10.8</v>
      </c>
      <c r="Y52" s="1">
        <v>0.8</v>
      </c>
      <c r="Z52" s="3">
        <f t="shared" si="5"/>
        <v>8.64</v>
      </c>
      <c r="AA52" s="3">
        <f>X52/'energy battery'!B$6</f>
        <v>21.6</v>
      </c>
      <c r="AB52" s="3">
        <f t="shared" si="31"/>
        <v>4.32</v>
      </c>
      <c r="AC52" s="3">
        <f t="shared" si="7"/>
        <v>25.92</v>
      </c>
      <c r="AD52" s="3">
        <v>0</v>
      </c>
      <c r="AE52" s="3">
        <v>0</v>
      </c>
      <c r="AF52">
        <f>AE52*'fuels and tailpipe emissions'!$B$3</f>
        <v>0</v>
      </c>
      <c r="AG52">
        <v>0</v>
      </c>
      <c r="AH52" s="3">
        <v>0</v>
      </c>
      <c r="AI52" s="3">
        <v>3</v>
      </c>
      <c r="AJ52" s="3">
        <v>1</v>
      </c>
      <c r="AK52">
        <f t="shared" si="30"/>
        <v>1</v>
      </c>
      <c r="AL52">
        <f t="shared" si="15"/>
        <v>1.0956948E-4</v>
      </c>
      <c r="AM52">
        <v>1.2899999999999999E-3</v>
      </c>
      <c r="AN52" s="2">
        <f t="shared" si="9"/>
        <v>78.11999999999999</v>
      </c>
      <c r="AO52" s="2">
        <f t="shared" si="10"/>
        <v>26</v>
      </c>
      <c r="AP52" s="2">
        <f t="shared" si="11"/>
        <v>25.92</v>
      </c>
      <c r="AQ52" s="6" t="s">
        <v>86</v>
      </c>
      <c r="AR52" s="5">
        <v>0.18941496155676324</v>
      </c>
      <c r="AS52" s="2">
        <f>SUM(Z52,AG52)/(SUM(AQ52:AR52)/3.6)</f>
        <v>164.21089308026419</v>
      </c>
      <c r="AT52" s="5">
        <v>0</v>
      </c>
      <c r="AU52" s="7">
        <v>0</v>
      </c>
      <c r="AV52" s="7">
        <v>0</v>
      </c>
      <c r="AW52" s="7">
        <v>0</v>
      </c>
      <c r="AX52" s="7">
        <v>0</v>
      </c>
      <c r="AY52" s="7">
        <v>0</v>
      </c>
      <c r="AZ52" s="7">
        <v>0</v>
      </c>
      <c r="BA52" s="7">
        <v>0</v>
      </c>
      <c r="BB52" s="7">
        <v>0</v>
      </c>
      <c r="BC52" s="7">
        <v>0</v>
      </c>
      <c r="BD52" s="7">
        <v>0</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f>VLOOKUP(B52,'abrasion emissions'!$A$4:$D$32,4,FALSE)</f>
        <v>6.0000000000000002E-6</v>
      </c>
      <c r="CJ52" s="7">
        <f>VLOOKUP(B52,'abrasion emissions'!$A$4:$D$32,2,FALSE)</f>
        <v>6.3939999999999993E-6</v>
      </c>
      <c r="CK52" s="7">
        <f>VLOOKUP(B52,'abrasion emissions'!$A$4:$D$32,3,FALSE)</f>
        <v>3.0894999999999998E-6</v>
      </c>
    </row>
    <row r="53" spans="1:89" x14ac:dyDescent="0.3">
      <c r="A53" t="str">
        <f t="shared" si="1"/>
        <v>Motorbike, gasoline, 4-11kW, EURO-3 - 2006 - CH</v>
      </c>
      <c r="B53" t="s">
        <v>712</v>
      </c>
      <c r="D53">
        <v>2006</v>
      </c>
      <c r="E53" t="s">
        <v>37</v>
      </c>
      <c r="F53" t="s">
        <v>147</v>
      </c>
      <c r="G53" t="s">
        <v>39</v>
      </c>
      <c r="H53" t="s">
        <v>35</v>
      </c>
      <c r="J53" s="21">
        <v>39800</v>
      </c>
      <c r="K53">
        <v>2758</v>
      </c>
      <c r="L53" s="2">
        <f t="shared" si="2"/>
        <v>14.430746918056563</v>
      </c>
      <c r="M53">
        <v>1.1000000000000001</v>
      </c>
      <c r="N53">
        <v>70</v>
      </c>
      <c r="O53">
        <v>6</v>
      </c>
      <c r="P53" s="2">
        <f t="shared" si="13"/>
        <v>122.27169718057486</v>
      </c>
      <c r="Q53" s="2">
        <f t="shared" si="3"/>
        <v>205.27169718057485</v>
      </c>
      <c r="R53">
        <v>9</v>
      </c>
      <c r="S53" s="2">
        <v>65.433826960328489</v>
      </c>
      <c r="T53" s="1">
        <v>-0.05</v>
      </c>
      <c r="U53" s="2">
        <f>S53*(1-T53)</f>
        <v>68.705518308344921</v>
      </c>
      <c r="V53" s="2">
        <f>0.7*S53</f>
        <v>45.803678872229938</v>
      </c>
      <c r="W53" s="2">
        <v>0</v>
      </c>
      <c r="X53" s="3">
        <v>0</v>
      </c>
      <c r="Y53" s="1">
        <v>0.8</v>
      </c>
      <c r="Z53" s="3">
        <f t="shared" si="5"/>
        <v>0</v>
      </c>
      <c r="AA53" s="3">
        <v>0</v>
      </c>
      <c r="AB53" s="3">
        <v>0</v>
      </c>
      <c r="AC53" s="3">
        <f t="shared" si="7"/>
        <v>0</v>
      </c>
      <c r="AD53" s="3">
        <v>0</v>
      </c>
      <c r="AE53" s="3">
        <v>9</v>
      </c>
      <c r="AF53">
        <f>AE53*'fuels and tailpipe emissions'!$B$3</f>
        <v>6.75</v>
      </c>
      <c r="AG53" s="2">
        <f>AF53*'fuels and tailpipe emissions'!$C$3</f>
        <v>79.5</v>
      </c>
      <c r="AH53" s="3">
        <f>0.15*AF53</f>
        <v>1.0125</v>
      </c>
      <c r="AI53" s="3">
        <v>0</v>
      </c>
      <c r="AJ53" s="3">
        <v>0</v>
      </c>
      <c r="AK53">
        <f t="shared" si="30"/>
        <v>1</v>
      </c>
      <c r="AL53">
        <f t="shared" si="15"/>
        <v>1.1023090138596869E-4</v>
      </c>
      <c r="AM53">
        <v>1.2899999999999999E-3</v>
      </c>
      <c r="AN53" s="2">
        <f t="shared" si="9"/>
        <v>68.705518308344921</v>
      </c>
      <c r="AO53" s="2">
        <f t="shared" si="10"/>
        <v>45.803678872229938</v>
      </c>
      <c r="AP53" s="2">
        <f t="shared" si="11"/>
        <v>0</v>
      </c>
      <c r="AQ53" s="6">
        <v>1.0260802295042515</v>
      </c>
      <c r="AR53" s="6" t="str">
        <f>IF($H53="BEV",SUMPRODUCT(#REF!,#REF!),"")</f>
        <v/>
      </c>
      <c r="AS53" s="2">
        <f>SUM(Z53,AG53)/(SUM(AQ53:AR53)/3.6)</f>
        <v>278.92555744717635</v>
      </c>
      <c r="AT53" s="5">
        <f>IF($H53="ICEV-p",$AQ53/('fuels and tailpipe emissions'!$C$3*3.6)*'fuels and tailpipe emissions'!$D$3,"")</f>
        <v>7.6956017212818861E-2</v>
      </c>
      <c r="AU53" s="7">
        <f>IF($H53="ICEV-p",$AQ53/('fuels and tailpipe emissions'!$C$3*3.6)*'fuels and tailpipe emissions'!$E$3,"")</f>
        <v>3.8720008660537791E-7</v>
      </c>
      <c r="AV53" s="7">
        <f>SUMIFS('fuels and tailpipe emissions'!$F$10:$F$126,'fuels and tailpipe emissions'!$A$10:$A$126,'vehicles specifications'!$F53,'fuels and tailpipe emissions'!$B$10:$B$126,'vehicles specifications'!AV$2)/1000*$AQ53</f>
        <v>3.6529704169004323E-6</v>
      </c>
      <c r="AW53" s="7">
        <f>SUMIFS('fuels and tailpipe emissions'!$F$10:$F$126,'fuels and tailpipe emissions'!$A$10:$A$126,'vehicles specifications'!$F53,'fuels and tailpipe emissions'!$B$10:$B$126,'vehicles specifications'!AW$2)/1000*$AQ53</f>
        <v>5.0143885394914575E-5</v>
      </c>
      <c r="AX53" s="7">
        <f>SUMIFS('fuels and tailpipe emissions'!$F$10:$F$126,'fuels and tailpipe emissions'!$A$10:$A$126,'vehicles specifications'!$F53,'fuels and tailpipe emissions'!$B$10:$B$126,'vehicles specifications'!AX$2)/1000*$AQ53</f>
        <v>7.0250030559411121E-4</v>
      </c>
      <c r="AY53" s="7">
        <f>SUMIFS('fuels and tailpipe emissions'!$F$10:$F$126,'fuels and tailpipe emissions'!$A$10:$A$126,'vehicles specifications'!$F53,'fuels and tailpipe emissions'!$B$10:$B$126,'vehicles specifications'!AY$2)/1000*$AQ53</f>
        <v>1.7908530498183775E-6</v>
      </c>
      <c r="AZ53" s="7">
        <f>SUMIFS('fuels and tailpipe emissions'!$F$10:$F$126,'fuels and tailpipe emissions'!$A$10:$A$126,'vehicles specifications'!$F53,'fuels and tailpipe emissions'!$B$10:$B$126,'vehicles specifications'!AZ$2)/1000*$AQ53</f>
        <v>1.7908530498183775E-6</v>
      </c>
      <c r="BA53" s="7">
        <f>SUMIFS('fuels and tailpipe emissions'!$F$10:$F$126,'fuels and tailpipe emissions'!$A$10:$A$126,'vehicles specifications'!$F53,'fuels and tailpipe emissions'!$B$10:$B$126,'vehicles specifications'!BA$2)/1000*$AQ53</f>
        <v>9.5536088059378408E-5</v>
      </c>
      <c r="BB53" s="7">
        <f>SUMIFS('fuels and tailpipe emissions'!$F$10:$F$126,'fuels and tailpipe emissions'!$A$10:$A$126,'vehicles specifications'!$F53,'fuels and tailpipe emissions'!$B$10:$B$126,'vehicles specifications'!BB$2)/1000*$AQ53</f>
        <v>4.4771326245459437E-6</v>
      </c>
      <c r="BC53" s="7">
        <f>SUMIFS('fuels and tailpipe emissions'!$F$10:$F$126,'fuels and tailpipe emissions'!$A$10:$A$126,'vehicles specifications'!$F53,'fuels and tailpipe emissions'!$B$10:$B$126,'vehicles specifications'!BC$2)/1000*$AQ53</f>
        <v>2.9458178549122205E-5</v>
      </c>
      <c r="BD53" s="7">
        <f>SUMIFS('fuels and tailpipe emissions'!$F$10:$F$126,'fuels and tailpipe emissions'!$A$10:$A$126,'vehicles specifications'!$F53,'fuels and tailpipe emissions'!$B$10:$B$126,'vehicles specifications'!BD$2)/1000*$AQ53</f>
        <v>2.077179256668873E-6</v>
      </c>
      <c r="BE53" s="7">
        <f>SUMIFS('fuels and tailpipe emissions'!$F$10:$F$126,'fuels and tailpipe emissions'!$A$10:$A$126,'vehicles specifications'!$F53,'fuels and tailpipe emissions'!$B$10:$B$126,'vehicles specifications'!BE$2)/1000*$AQ53</f>
        <v>4.232496917977328E-7</v>
      </c>
      <c r="BF53" s="7">
        <f>SUMIFS('fuels and tailpipe emissions'!$F$10:$F$126,'fuels and tailpipe emissions'!$A$10:$A$126,'vehicles specifications'!$F53,'fuels and tailpipe emissions'!$B$10:$B$126,'vehicles specifications'!BF$2)/1000*$AQ53</f>
        <v>3.4120436692617235E-6</v>
      </c>
      <c r="BG53" s="7">
        <f>SUMIFS('fuels and tailpipe emissions'!$F$10:$F$126,'fuels and tailpipe emissions'!$A$10:$A$126,'vehicles specifications'!$F53,'fuels and tailpipe emissions'!$B$10:$B$126,'vehicles specifications'!BG$2)/1000*$AQ53</f>
        <v>1.3999797497925008E-6</v>
      </c>
      <c r="BH53" s="7">
        <f>SUMIFS('fuels and tailpipe emissions'!$F$10:$F$126,'fuels and tailpipe emissions'!$A$10:$A$126,'vehicles specifications'!$F53,'fuels and tailpipe emissions'!$B$10:$B$126,'vehicles specifications'!BH$2)/1000*$AQ53</f>
        <v>1.0483569289143844E-6</v>
      </c>
      <c r="BI53" s="7">
        <f>SUMIFS('fuels and tailpipe emissions'!$F$10:$F$126,'fuels and tailpipe emissions'!$A$10:$A$126,'vehicles specifications'!$F53,'fuels and tailpipe emissions'!$B$10:$B$126,'vehicles specifications'!BI$2)/1000*$AQ53</f>
        <v>7.4231484407602367E-7</v>
      </c>
      <c r="BJ53" s="7">
        <f>SUMIFS('fuels and tailpipe emissions'!$F$10:$F$126,'fuels and tailpipe emissions'!$A$10:$A$126,'vehicles specifications'!$F53,'fuels and tailpipe emissions'!$B$10:$B$126,'vehicles specifications'!BJ$2)/1000*$AQ53</f>
        <v>4.8185349527741892E-7</v>
      </c>
      <c r="BK53" s="7">
        <f>SUMIFS('fuels and tailpipe emissions'!$F$10:$F$126,'fuels and tailpipe emissions'!$A$10:$A$126,'vehicles specifications'!$F53,'fuels and tailpipe emissions'!$B$10:$B$126,'vehicles specifications'!BK$2)/1000*$AQ53</f>
        <v>4.7534196155745371E-6</v>
      </c>
      <c r="BL53" s="7">
        <f>SUMIFS('fuels and tailpipe emissions'!$F$10:$F$126,'fuels and tailpipe emissions'!$A$10:$A$126,'vehicles specifications'!$F53,'fuels and tailpipe emissions'!$B$10:$B$126,'vehicles specifications'!BL$2)/1000*$AQ53</f>
        <v>2.4874058810266758E-6</v>
      </c>
      <c r="BM53" s="7">
        <f>SUMIFS('fuels and tailpipe emissions'!$F$10:$F$126,'fuels and tailpipe emissions'!$A$10:$A$126,'vehicles specifications'!$F53,'fuels and tailpipe emissions'!$B$10:$B$126,'vehicles specifications'!BM$2)/1000*$AQ53</f>
        <v>7.162687091961634E-8</v>
      </c>
      <c r="BN53" s="7">
        <f>SUMIFS('fuels and tailpipe emissions'!$F$10:$F$126,'fuels and tailpipe emissions'!$A$10:$A$126,'vehicles specifications'!$F53,'fuels and tailpipe emissions'!$B$10:$B$126,'vehicles specifications'!BN$2)/1000*$AQ53</f>
        <v>3.6529704169004323E-6</v>
      </c>
      <c r="BO53" s="7">
        <f>SUMIFS('fuels and tailpipe emissions'!$F$10:$F$126,'fuels and tailpipe emissions'!$A$10:$A$126,'vehicles specifications'!$F53,'fuels and tailpipe emissions'!$B$10:$B$126,'vehicles specifications'!BO$2)/1000*$AQ53</f>
        <v>7.1496640245217014E-6</v>
      </c>
      <c r="BP53" s="7">
        <f>SUMIFS('fuels and tailpipe emissions'!$F$10:$F$126,'fuels and tailpipe emissions'!$A$10:$A$126,'vehicles specifications'!$F53,'fuels and tailpipe emissions'!$B$10:$B$126,'vehicles specifications'!BP$2)/1000*$AQ53</f>
        <v>3.5357628099410601E-6</v>
      </c>
      <c r="BQ53" s="7">
        <f>SUMIFS('fuels and tailpipe emissions'!$F$10:$F$126,'fuels and tailpipe emissions'!$A$10:$A$126,'vehicles specifications'!$F53,'fuels and tailpipe emissions'!$B$10:$B$126,'vehicles specifications'!BQ$2)/1000*$AQ53</f>
        <v>1.471606620712117E-6</v>
      </c>
      <c r="BR53" s="7">
        <f>SUMIFS('fuels and tailpipe emissions'!$F$10:$F$126,'fuels and tailpipe emissions'!$A$10:$A$126,'vehicles specifications'!$F53,'fuels and tailpipe emissions'!$B$10:$B$126,'vehicles specifications'!BR$2)/1000*$AQ53</f>
        <v>1.1069607323940704E-6</v>
      </c>
      <c r="BS53" s="7">
        <f>SUMIFS('fuels and tailpipe emissions'!$F$10:$F$126,'fuels and tailpipe emissions'!$A$10:$A$126,'vehicles specifications'!$F53,'fuels and tailpipe emissions'!$B$10:$B$126,'vehicles specifications'!BS$2)/1000*$AQ53</f>
        <v>4.8836502899738398E-7</v>
      </c>
      <c r="BT53" s="7">
        <f>SUMIFS('fuels and tailpipe emissions'!$F$10:$F$126,'fuels and tailpipe emissions'!$A$10:$A$126,'vehicles specifications'!$F53,'fuels and tailpipe emissions'!$B$10:$B$126,'vehicles specifications'!BT$2)/1000*$AQ53</f>
        <v>1.4325374183923268E-7</v>
      </c>
      <c r="BU53" s="7">
        <f>SUMIFS('fuels and tailpipe emissions'!$F$10:$F$126,'fuels and tailpipe emissions'!$A$10:$A$126,'vehicles specifications'!$F53,'fuels and tailpipe emissions'!$B$10:$B$126,'vehicles specifications'!BU$2)/1000*$AQ53</f>
        <v>3.972035569178724E-7</v>
      </c>
      <c r="BV53" s="7">
        <f>SUMIFS('fuels and tailpipe emissions'!$F$10:$F$126,'fuels and tailpipe emissions'!$A$10:$A$126,'vehicles specifications'!$F53,'fuels and tailpipe emissions'!$B$10:$B$126,'vehicles specifications'!BV$2)/1000*$AQ53</f>
        <v>3.25576685998256E-8</v>
      </c>
      <c r="BW53" s="7">
        <f>SUMIFS('fuels and tailpipe emissions'!$F$10:$F$126,'fuels and tailpipe emissions'!$A$10:$A$126,'vehicles specifications'!$F53,'fuels and tailpipe emissions'!$B$10:$B$126,'vehicles specifications'!BW$2)/1000*$AQ53</f>
        <v>1.2371914067933729E-7</v>
      </c>
      <c r="BX53" s="7">
        <f>SUMIFS('fuels and tailpipe emissions'!$F$10:$F$126,'fuels and tailpipe emissions'!$A$10:$A$126,'vehicles specifications'!$F53,'fuels and tailpipe emissions'!$B$10:$B$126,'vehicles specifications'!BX$2)/1000*$AQ53</f>
        <v>6.5766490571647714E-7</v>
      </c>
      <c r="BY53" s="7">
        <f>SUMIFS('fuels and tailpipe emissions'!$F$10:$F$126,'fuels and tailpipe emissions'!$A$10:$A$126,'vehicles specifications'!$F53,'fuels and tailpipe emissions'!$B$10:$B$126,'vehicles specifications'!BY$2)/1000*$AQ53</f>
        <v>3.5707591986747951E-8</v>
      </c>
      <c r="BZ53" s="7">
        <f>SUMIFS('fuels and tailpipe emissions'!$F$10:$F$126,'fuels and tailpipe emissions'!$A$10:$A$126,'vehicles specifications'!$F53,'fuels and tailpipe emissions'!$B$10:$B$126,'vehicles specifications'!BZ$2)/1000*$AQ53</f>
        <v>3.0782406885127543E-10</v>
      </c>
      <c r="CA53" s="7">
        <f>SUMIFS('fuels and tailpipe emissions'!$F$10:$F$126,'fuels and tailpipe emissions'!$A$10:$A$126,'vehicles specifications'!$F53,'fuels and tailpipe emissions'!$B$10:$B$126,'vehicles specifications'!CA$2)/1000*$AQ53</f>
        <v>2.052160459008503E-10</v>
      </c>
      <c r="CB53" s="7">
        <f>SUMIFS('fuels and tailpipe emissions'!$F$10:$F$126,'fuels and tailpipe emissions'!$A$10:$A$126,'vehicles specifications'!$F53,'fuels and tailpipe emissions'!$B$10:$B$126,'vehicles specifications'!CB$2)/1000*$AQ53</f>
        <v>2.2163332957291832E-6</v>
      </c>
      <c r="CC53" s="7">
        <f>SUMIFS('fuels and tailpipe emissions'!$F$10:$F$126,'fuels and tailpipe emissions'!$A$10:$A$126,'vehicles specifications'!$F53,'fuels and tailpipe emissions'!$B$10:$B$126,'vehicles specifications'!CC$2)/1000*$AQ53</f>
        <v>4.3095369639178564E-8</v>
      </c>
      <c r="CD53" s="7">
        <f>SUMIFS('fuels and tailpipe emissions'!$F$10:$F$126,'fuels and tailpipe emissions'!$A$10:$A$126,'vehicles specifications'!$F53,'fuels and tailpipe emissions'!$B$10:$B$126,'vehicles specifications'!CD$2)/1000*$AQ53</f>
        <v>1.3339042983555271E-8</v>
      </c>
      <c r="CE53" s="7">
        <f>SUMIFS('fuels and tailpipe emissions'!$F$10:$F$126,'fuels and tailpipe emissions'!$A$10:$A$126,'vehicles specifications'!$F53,'fuels and tailpipe emissions'!$B$10:$B$126,'vehicles specifications'!CE$2)/1000*$AQ53</f>
        <v>1.6417283672068027E-8</v>
      </c>
      <c r="CF53" s="7">
        <f>SUMIFS('fuels and tailpipe emissions'!$F$10:$F$126,'fuels and tailpipe emissions'!$A$10:$A$126,'vehicles specifications'!$F53,'fuels and tailpipe emissions'!$B$10:$B$126,'vehicles specifications'!CF$2)/1000*$AQ53</f>
        <v>3.2834567344136045E-11</v>
      </c>
      <c r="CG53" s="7">
        <f>SUMIFS('fuels and tailpipe emissions'!$F$10:$F$126,'fuels and tailpipe emissions'!$A$10:$A$126,'vehicles specifications'!$F53,'fuels and tailpipe emissions'!$B$10:$B$126,'vehicles specifications'!CG$2)/1000*$AQ53</f>
        <v>8.9268979966869878E-9</v>
      </c>
      <c r="CH53" s="7">
        <f>SUMIFS('fuels and tailpipe emissions'!$F$10:$F$126,'fuels and tailpipe emissions'!$A$10:$A$126,'vehicles specifications'!$F53,'fuels and tailpipe emissions'!$B$10:$B$126,'vehicles specifications'!CH$2)/1000*$AQ53</f>
        <v>1.1081666478645916E-8</v>
      </c>
      <c r="CI53" s="7">
        <f>VLOOKUP(B53,'abrasion emissions'!$A$4:$D$32,4,FALSE)</f>
        <v>6.0000000000000002E-6</v>
      </c>
      <c r="CJ53" s="7">
        <f>VLOOKUP(B53,'abrasion emissions'!$A$4:$D$32,2,FALSE)</f>
        <v>7.3669999999999991E-6</v>
      </c>
      <c r="CK53" s="7">
        <f>VLOOKUP(B53,'abrasion emissions'!$A$4:$D$32,3,FALSE)</f>
        <v>8.3499999999999997E-6</v>
      </c>
    </row>
    <row r="54" spans="1:89" x14ac:dyDescent="0.3">
      <c r="A54" t="str">
        <f t="shared" si="1"/>
        <v>Motorbike, gasoline, 4-11kW, EURO-4 - 2016 - CH</v>
      </c>
      <c r="B54" t="s">
        <v>713</v>
      </c>
      <c r="D54">
        <v>2016</v>
      </c>
      <c r="E54" t="s">
        <v>37</v>
      </c>
      <c r="F54" t="s">
        <v>148</v>
      </c>
      <c r="G54" t="s">
        <v>39</v>
      </c>
      <c r="H54" t="s">
        <v>35</v>
      </c>
      <c r="J54" s="21">
        <v>39800</v>
      </c>
      <c r="K54" s="21">
        <v>2758</v>
      </c>
      <c r="L54" s="2">
        <f t="shared" si="2"/>
        <v>14.430746918056563</v>
      </c>
      <c r="M54">
        <v>1.1000000000000001</v>
      </c>
      <c r="N54">
        <v>70</v>
      </c>
      <c r="O54">
        <v>6</v>
      </c>
      <c r="P54" s="2">
        <f t="shared" si="13"/>
        <v>120.308682371765</v>
      </c>
      <c r="Q54" s="2">
        <f t="shared" si="3"/>
        <v>203.308682371765</v>
      </c>
      <c r="R54" s="21">
        <v>9</v>
      </c>
      <c r="S54" s="2">
        <v>65.433826960328489</v>
      </c>
      <c r="T54" s="1">
        <v>-0.02</v>
      </c>
      <c r="U54" s="2">
        <f t="shared" ref="U54:U70" si="32">S54*(1-T54)</f>
        <v>66.742503499535061</v>
      </c>
      <c r="V54" s="2">
        <f>0.7*S54</f>
        <v>45.803678872229938</v>
      </c>
      <c r="W54" s="2">
        <v>0</v>
      </c>
      <c r="X54" s="3">
        <v>0</v>
      </c>
      <c r="Y54" s="1">
        <v>0.8</v>
      </c>
      <c r="Z54" s="3">
        <f t="shared" si="5"/>
        <v>0</v>
      </c>
      <c r="AA54" s="3">
        <v>0</v>
      </c>
      <c r="AB54" s="3">
        <v>0</v>
      </c>
      <c r="AC54" s="3">
        <f t="shared" si="7"/>
        <v>0</v>
      </c>
      <c r="AD54" s="3">
        <v>0</v>
      </c>
      <c r="AE54" s="3">
        <v>9</v>
      </c>
      <c r="AF54">
        <f>AE54*'fuels and tailpipe emissions'!$B$3</f>
        <v>6.75</v>
      </c>
      <c r="AG54" s="2">
        <f>AF54*'fuels and tailpipe emissions'!$C$3</f>
        <v>79.5</v>
      </c>
      <c r="AH54" s="3">
        <f t="shared" ref="AH54:AH70" si="33">0.15*AF54</f>
        <v>1.0125</v>
      </c>
      <c r="AI54" s="3">
        <v>0</v>
      </c>
      <c r="AJ54" s="3">
        <v>0</v>
      </c>
      <c r="AK54">
        <f t="shared" si="30"/>
        <v>1</v>
      </c>
      <c r="AL54">
        <f t="shared" si="15"/>
        <v>1.091767624336378E-4</v>
      </c>
      <c r="AM54">
        <v>1.2899999999999999E-3</v>
      </c>
      <c r="AN54" s="2">
        <f t="shared" si="9"/>
        <v>66.742503499535061</v>
      </c>
      <c r="AO54" s="2">
        <f t="shared" si="10"/>
        <v>45.803678872229938</v>
      </c>
      <c r="AP54" s="2">
        <f t="shared" si="11"/>
        <v>0</v>
      </c>
      <c r="AQ54" s="6">
        <v>1.0159210193111401</v>
      </c>
      <c r="AR54" s="6" t="str">
        <f>IF($H54="BEV",SUMPRODUCT(#REF!,#REF!),"")</f>
        <v/>
      </c>
      <c r="AS54" s="2">
        <f>SUM(Z54,AG54)/(SUM(AQ54:AR54)/3.6)</f>
        <v>281.71481302164813</v>
      </c>
      <c r="AT54" s="5">
        <f>IF($H54="ICEV-p",$AQ54/('fuels and tailpipe emissions'!$C$3*3.6)*'fuels and tailpipe emissions'!$D$3,"")</f>
        <v>7.6194076448335521E-2</v>
      </c>
      <c r="AU54" s="7">
        <f>IF($H54="ICEV-p",$AQ54/('fuels and tailpipe emissions'!$C$3*3.6)*'fuels and tailpipe emissions'!$E$3,"")</f>
        <v>3.8336642238156231E-7</v>
      </c>
      <c r="AV54" s="7">
        <f>SUMIFS('fuels and tailpipe emissions'!$F$10:$F$126,'fuels and tailpipe emissions'!$A$10:$A$126,'vehicles specifications'!$F54,'fuels and tailpipe emissions'!$B$10:$B$126,'vehicles specifications'!AV$2)/1000*$AQ54</f>
        <v>5.1657452836225586E-6</v>
      </c>
      <c r="AW54" s="7">
        <f>SUMIFS('fuels and tailpipe emissions'!$F$10:$F$126,'fuels and tailpipe emissions'!$A$10:$A$126,'vehicles specifications'!$F54,'fuels and tailpipe emissions'!$B$10:$B$126,'vehicles specifications'!AW$2)/1000*$AQ54</f>
        <v>5.6307019006388424E-5</v>
      </c>
      <c r="AX54" s="7">
        <f>SUMIFS('fuels and tailpipe emissions'!$F$10:$F$126,'fuels and tailpipe emissions'!$A$10:$A$126,'vehicles specifications'!$F54,'fuels and tailpipe emissions'!$B$10:$B$126,'vehicles specifications'!AX$2)/1000*$AQ54</f>
        <v>8.2177593124772407E-4</v>
      </c>
      <c r="AY54" s="7">
        <f>SUMIFS('fuels and tailpipe emissions'!$F$10:$F$126,'fuels and tailpipe emissions'!$A$10:$A$126,'vehicles specifications'!$F54,'fuels and tailpipe emissions'!$B$10:$B$126,'vehicles specifications'!AY$2)/1000*$AQ54</f>
        <v>2.0109649645138723E-6</v>
      </c>
      <c r="AZ54" s="7">
        <f>SUMIFS('fuels and tailpipe emissions'!$F$10:$F$126,'fuels and tailpipe emissions'!$A$10:$A$126,'vehicles specifications'!$F54,'fuels and tailpipe emissions'!$B$10:$B$126,'vehicles specifications'!AZ$2)/1000*$AQ54</f>
        <v>2.0109649645138723E-6</v>
      </c>
      <c r="BA54" s="7">
        <f>SUMIFS('fuels and tailpipe emissions'!$F$10:$F$126,'fuels and tailpipe emissions'!$A$10:$A$126,'vehicles specifications'!$F54,'fuels and tailpipe emissions'!$B$10:$B$126,'vehicles specifications'!BA$2)/1000*$AQ54</f>
        <v>2.7297678240826657E-5</v>
      </c>
      <c r="BB54" s="7">
        <f>SUMIFS('fuels and tailpipe emissions'!$F$10:$F$126,'fuels and tailpipe emissions'!$A$10:$A$126,'vehicles specifications'!$F54,'fuels and tailpipe emissions'!$B$10:$B$126,'vehicles specifications'!BB$2)/1000*$AQ54</f>
        <v>5.0274124112846799E-6</v>
      </c>
      <c r="BC54" s="7">
        <f>SUMIFS('fuels and tailpipe emissions'!$F$10:$F$126,'fuels and tailpipe emissions'!$A$10:$A$126,'vehicles specifications'!$F54,'fuels and tailpipe emissions'!$B$10:$B$126,'vehicles specifications'!BC$2)/1000*$AQ54</f>
        <v>4.1657453944934862E-5</v>
      </c>
      <c r="BD54" s="7">
        <f>SUMIFS('fuels and tailpipe emissions'!$F$10:$F$126,'fuels and tailpipe emissions'!$A$10:$A$126,'vehicles specifications'!$F54,'fuels and tailpipe emissions'!$B$10:$B$126,'vehicles specifications'!BD$2)/1000*$AQ54</f>
        <v>2.9373845730402788E-6</v>
      </c>
      <c r="BE54" s="7">
        <f>SUMIFS('fuels and tailpipe emissions'!$F$10:$F$126,'fuels and tailpipe emissions'!$A$10:$A$126,'vehicles specifications'!$F54,'fuels and tailpipe emissions'!$B$10:$B$126,'vehicles specifications'!BE$2)/1000*$AQ54</f>
        <v>5.9852663713986867E-7</v>
      </c>
      <c r="BF54" s="7">
        <f>SUMIFS('fuels and tailpipe emissions'!$F$10:$F$126,'fuels and tailpipe emissions'!$A$10:$A$126,'vehicles specifications'!$F54,'fuels and tailpipe emissions'!$B$10:$B$126,'vehicles specifications'!BF$2)/1000*$AQ54</f>
        <v>4.8250455055583258E-6</v>
      </c>
      <c r="BG54" s="7">
        <f>SUMIFS('fuels and tailpipe emissions'!$F$10:$F$126,'fuels and tailpipe emissions'!$A$10:$A$126,'vehicles specifications'!$F54,'fuels and tailpipe emissions'!$B$10:$B$126,'vehicles specifications'!BG$2)/1000*$AQ54</f>
        <v>1.9797419536164887E-6</v>
      </c>
      <c r="BH54" s="7">
        <f>SUMIFS('fuels and tailpipe emissions'!$F$10:$F$126,'fuels and tailpipe emissions'!$A$10:$A$126,'vehicles specifications'!$F54,'fuels and tailpipe emissions'!$B$10:$B$126,'vehicles specifications'!BH$2)/1000*$AQ54</f>
        <v>1.4825044396849054E-6</v>
      </c>
      <c r="BI54" s="7">
        <f>SUMIFS('fuels and tailpipe emissions'!$F$10:$F$126,'fuels and tailpipe emissions'!$A$10:$A$126,'vehicles specifications'!$F54,'fuels and tailpipe emissions'!$B$10:$B$126,'vehicles specifications'!BI$2)/1000*$AQ54</f>
        <v>1.0497236405222313E-6</v>
      </c>
      <c r="BJ54" s="7">
        <f>SUMIFS('fuels and tailpipe emissions'!$F$10:$F$126,'fuels and tailpipe emissions'!$A$10:$A$126,'vehicles specifications'!$F54,'fuels and tailpipe emissions'!$B$10:$B$126,'vehicles specifications'!BJ$2)/1000*$AQ54</f>
        <v>6.8139955612846592E-7</v>
      </c>
      <c r="BK54" s="7">
        <f>SUMIFS('fuels and tailpipe emissions'!$F$10:$F$126,'fuels and tailpipe emissions'!$A$10:$A$126,'vehicles specifications'!$F54,'fuels and tailpipe emissions'!$B$10:$B$126,'vehicles specifications'!BK$2)/1000*$AQ54</f>
        <v>6.7219145401862166E-6</v>
      </c>
      <c r="BL54" s="7">
        <f>SUMIFS('fuels and tailpipe emissions'!$F$10:$F$126,'fuels and tailpipe emissions'!$A$10:$A$126,'vehicles specifications'!$F54,'fuels and tailpipe emissions'!$B$10:$B$126,'vehicles specifications'!BL$2)/1000*$AQ54</f>
        <v>3.5174950059604585E-6</v>
      </c>
      <c r="BM54" s="7">
        <f>SUMIFS('fuels and tailpipe emissions'!$F$10:$F$126,'fuels and tailpipe emissions'!$A$10:$A$126,'vehicles specifications'!$F54,'fuels and tailpipe emissions'!$B$10:$B$126,'vehicles specifications'!BM$2)/1000*$AQ54</f>
        <v>1.0128912320828547E-7</v>
      </c>
      <c r="BN54" s="7">
        <f>SUMIFS('fuels and tailpipe emissions'!$F$10:$F$126,'fuels and tailpipe emissions'!$A$10:$A$126,'vehicles specifications'!$F54,'fuels and tailpipe emissions'!$B$10:$B$126,'vehicles specifications'!BN$2)/1000*$AQ54</f>
        <v>5.1657452836225586E-6</v>
      </c>
      <c r="BO54" s="7">
        <f>SUMIFS('fuels and tailpipe emissions'!$F$10:$F$126,'fuels and tailpipe emissions'!$A$10:$A$126,'vehicles specifications'!$F54,'fuels and tailpipe emissions'!$B$10:$B$126,'vehicles specifications'!BO$2)/1000*$AQ54</f>
        <v>1.0110496116608857E-5</v>
      </c>
      <c r="BP54" s="7">
        <f>SUMIFS('fuels and tailpipe emissions'!$F$10:$F$126,'fuels and tailpipe emissions'!$A$10:$A$126,'vehicles specifications'!$F54,'fuels and tailpipe emissions'!$B$10:$B$126,'vehicles specifications'!BP$2)/1000*$AQ54</f>
        <v>4.9999994456453646E-6</v>
      </c>
      <c r="BQ54" s="7">
        <f>SUMIFS('fuels and tailpipe emissions'!$F$10:$F$126,'fuels and tailpipe emissions'!$A$10:$A$126,'vehicles specifications'!$F54,'fuels and tailpipe emissions'!$B$10:$B$126,'vehicles specifications'!BQ$2)/1000*$AQ54</f>
        <v>2.0810310768247739E-6</v>
      </c>
      <c r="BR54" s="7">
        <f>SUMIFS('fuels and tailpipe emissions'!$F$10:$F$126,'fuels and tailpipe emissions'!$A$10:$A$126,'vehicles specifications'!$F54,'fuels and tailpipe emissions'!$B$10:$B$126,'vehicles specifications'!BR$2)/1000*$AQ54</f>
        <v>1.5653773586735031E-6</v>
      </c>
      <c r="BS54" s="7">
        <f>SUMIFS('fuels and tailpipe emissions'!$F$10:$F$126,'fuels and tailpipe emissions'!$A$10:$A$126,'vehicles specifications'!$F54,'fuels and tailpipe emissions'!$B$10:$B$126,'vehicles specifications'!BS$2)/1000*$AQ54</f>
        <v>6.9060765823831001E-7</v>
      </c>
      <c r="BT54" s="7">
        <f>SUMIFS('fuels and tailpipe emissions'!$F$10:$F$126,'fuels and tailpipe emissions'!$A$10:$A$126,'vehicles specifications'!$F54,'fuels and tailpipe emissions'!$B$10:$B$126,'vehicles specifications'!BT$2)/1000*$AQ54</f>
        <v>2.0257824641657093E-7</v>
      </c>
      <c r="BU54" s="7">
        <f>SUMIFS('fuels and tailpipe emissions'!$F$10:$F$126,'fuels and tailpipe emissions'!$A$10:$A$126,'vehicles specifications'!$F54,'fuels and tailpipe emissions'!$B$10:$B$126,'vehicles specifications'!BU$2)/1000*$AQ54</f>
        <v>5.616942287004922E-7</v>
      </c>
      <c r="BV54" s="7">
        <f>SUMIFS('fuels and tailpipe emissions'!$F$10:$F$126,'fuels and tailpipe emissions'!$A$10:$A$126,'vehicles specifications'!$F54,'fuels and tailpipe emissions'!$B$10:$B$126,'vehicles specifications'!BV$2)/1000*$AQ54</f>
        <v>0</v>
      </c>
      <c r="BW54" s="7">
        <f>SUMIFS('fuels and tailpipe emissions'!$F$10:$F$126,'fuels and tailpipe emissions'!$A$10:$A$126,'vehicles specifications'!$F54,'fuels and tailpipe emissions'!$B$10:$B$126,'vehicles specifications'!BW$2)/1000*$AQ54</f>
        <v>1.7495394008703853E-7</v>
      </c>
      <c r="BX54" s="7">
        <f>SUMIFS('fuels and tailpipe emissions'!$F$10:$F$126,'fuels and tailpipe emissions'!$A$10:$A$126,'vehicles specifications'!$F54,'fuels and tailpipe emissions'!$B$10:$B$126,'vehicles specifications'!BX$2)/1000*$AQ54</f>
        <v>9.3001831309425754E-7</v>
      </c>
      <c r="BY54" s="7">
        <f>SUMIFS('fuels and tailpipe emissions'!$F$10:$F$126,'fuels and tailpipe emissions'!$A$10:$A$126,'vehicles specifications'!$F54,'fuels and tailpipe emissions'!$B$10:$B$126,'vehicles specifications'!BY$2)/1000*$AQ54</f>
        <v>3.5354051472027678E-8</v>
      </c>
      <c r="BZ54" s="7">
        <f>SUMIFS('fuels and tailpipe emissions'!$F$10:$F$126,'fuels and tailpipe emissions'!$A$10:$A$126,'vehicles specifications'!$F54,'fuels and tailpipe emissions'!$B$10:$B$126,'vehicles specifications'!BZ$2)/1000*$AQ54</f>
        <v>3.0477630579334204E-10</v>
      </c>
      <c r="CA54" s="7">
        <f>SUMIFS('fuels and tailpipe emissions'!$F$10:$F$126,'fuels and tailpipe emissions'!$A$10:$A$126,'vehicles specifications'!$F54,'fuels and tailpipe emissions'!$B$10:$B$126,'vehicles specifications'!CA$2)/1000*$AQ54</f>
        <v>2.0318420386222802E-10</v>
      </c>
      <c r="CB54" s="7">
        <f>SUMIFS('fuels and tailpipe emissions'!$F$10:$F$126,'fuels and tailpipe emissions'!$A$10:$A$126,'vehicles specifications'!$F54,'fuels and tailpipe emissions'!$B$10:$B$126,'vehicles specifications'!CB$2)/1000*$AQ54</f>
        <v>2.1943894017120626E-6</v>
      </c>
      <c r="CC54" s="7">
        <f>SUMIFS('fuels and tailpipe emissions'!$F$10:$F$126,'fuels and tailpipe emissions'!$A$10:$A$126,'vehicles specifications'!$F54,'fuels and tailpipe emissions'!$B$10:$B$126,'vehicles specifications'!CC$2)/1000*$AQ54</f>
        <v>4.2668682811067883E-8</v>
      </c>
      <c r="CD54" s="7">
        <f>SUMIFS('fuels and tailpipe emissions'!$F$10:$F$126,'fuels and tailpipe emissions'!$A$10:$A$126,'vehicles specifications'!$F54,'fuels and tailpipe emissions'!$B$10:$B$126,'vehicles specifications'!CD$2)/1000*$AQ54</f>
        <v>1.3206973251044821E-8</v>
      </c>
      <c r="CE54" s="7">
        <f>SUMIFS('fuels and tailpipe emissions'!$F$10:$F$126,'fuels and tailpipe emissions'!$A$10:$A$126,'vehicles specifications'!$F54,'fuels and tailpipe emissions'!$B$10:$B$126,'vehicles specifications'!CE$2)/1000*$AQ54</f>
        <v>1.6254736308978247E-8</v>
      </c>
      <c r="CF54" s="7">
        <f>SUMIFS('fuels and tailpipe emissions'!$F$10:$F$126,'fuels and tailpipe emissions'!$A$10:$A$126,'vehicles specifications'!$F54,'fuels and tailpipe emissions'!$B$10:$B$126,'vehicles specifications'!CF$2)/1000*$AQ54</f>
        <v>3.2509472617956481E-11</v>
      </c>
      <c r="CG54" s="7">
        <f>SUMIFS('fuels and tailpipe emissions'!$F$10:$F$126,'fuels and tailpipe emissions'!$A$10:$A$126,'vehicles specifications'!$F54,'fuels and tailpipe emissions'!$B$10:$B$126,'vehicles specifications'!CG$2)/1000*$AQ54</f>
        <v>8.8385128680069196E-9</v>
      </c>
      <c r="CH54" s="7">
        <f>SUMIFS('fuels and tailpipe emissions'!$F$10:$F$126,'fuels and tailpipe emissions'!$A$10:$A$126,'vehicles specifications'!$F54,'fuels and tailpipe emissions'!$B$10:$B$126,'vehicles specifications'!CH$2)/1000*$AQ54</f>
        <v>1.0971947008560314E-8</v>
      </c>
      <c r="CI54" s="7">
        <f>VLOOKUP(B54,'abrasion emissions'!$A$4:$D$32,4,FALSE)</f>
        <v>6.0000000000000002E-6</v>
      </c>
      <c r="CJ54" s="7">
        <f>VLOOKUP(B54,'abrasion emissions'!$A$4:$D$32,2,FALSE)</f>
        <v>7.3669999999999991E-6</v>
      </c>
      <c r="CK54" s="7">
        <f>VLOOKUP(B54,'abrasion emissions'!$A$4:$D$32,3,FALSE)</f>
        <v>8.3499999999999997E-6</v>
      </c>
    </row>
    <row r="55" spans="1:89" x14ac:dyDescent="0.3">
      <c r="A55" t="str">
        <f t="shared" si="1"/>
        <v>Motorbike, gasoline, 4-11kW, EURO-5 - 2020 - CH</v>
      </c>
      <c r="B55" t="s">
        <v>714</v>
      </c>
      <c r="D55">
        <v>2020</v>
      </c>
      <c r="E55" t="s">
        <v>37</v>
      </c>
      <c r="F55" t="s">
        <v>149</v>
      </c>
      <c r="G55" t="s">
        <v>39</v>
      </c>
      <c r="H55" t="s">
        <v>35</v>
      </c>
      <c r="J55" s="21">
        <v>39800</v>
      </c>
      <c r="K55" s="21">
        <v>2758</v>
      </c>
      <c r="L55" s="2">
        <f t="shared" si="2"/>
        <v>14.430746918056563</v>
      </c>
      <c r="M55">
        <v>1.1000000000000001</v>
      </c>
      <c r="N55">
        <v>70</v>
      </c>
      <c r="O55">
        <v>6</v>
      </c>
      <c r="P55" s="2">
        <f t="shared" si="13"/>
        <v>119.00000583255843</v>
      </c>
      <c r="Q55" s="2">
        <f t="shared" si="3"/>
        <v>202.00000583255843</v>
      </c>
      <c r="R55" s="21">
        <v>9</v>
      </c>
      <c r="S55" s="2">
        <v>65.433826960328489</v>
      </c>
      <c r="T55" s="1">
        <v>0</v>
      </c>
      <c r="U55" s="2">
        <f t="shared" si="32"/>
        <v>65.433826960328489</v>
      </c>
      <c r="V55" s="2">
        <f>0.7*S55</f>
        <v>45.803678872229938</v>
      </c>
      <c r="W55" s="2">
        <v>0</v>
      </c>
      <c r="X55" s="3">
        <v>0</v>
      </c>
      <c r="Y55" s="1">
        <v>0.8</v>
      </c>
      <c r="Z55" s="3">
        <f t="shared" si="5"/>
        <v>0</v>
      </c>
      <c r="AA55" s="3">
        <v>0</v>
      </c>
      <c r="AB55" s="3">
        <v>0</v>
      </c>
      <c r="AC55" s="3">
        <f t="shared" si="7"/>
        <v>0</v>
      </c>
      <c r="AD55" s="3">
        <v>0</v>
      </c>
      <c r="AE55" s="3">
        <v>9</v>
      </c>
      <c r="AF55">
        <f>AE55*'fuels and tailpipe emissions'!$B$3</f>
        <v>6.75</v>
      </c>
      <c r="AG55" s="2">
        <f>AF55*'fuels and tailpipe emissions'!$C$3</f>
        <v>79.5</v>
      </c>
      <c r="AH55" s="3">
        <f t="shared" si="33"/>
        <v>1.0125</v>
      </c>
      <c r="AI55" s="3">
        <v>0</v>
      </c>
      <c r="AJ55" s="3">
        <v>0</v>
      </c>
      <c r="AK55">
        <f t="shared" si="30"/>
        <v>1</v>
      </c>
      <c r="AL55">
        <f t="shared" si="15"/>
        <v>1.0847400313208387E-4</v>
      </c>
      <c r="AM55">
        <v>1.2899999999999999E-3</v>
      </c>
      <c r="AN55" s="2">
        <f t="shared" si="9"/>
        <v>65.433826960328489</v>
      </c>
      <c r="AO55" s="2">
        <f t="shared" si="10"/>
        <v>45.803678872229938</v>
      </c>
      <c r="AP55" s="2">
        <f t="shared" si="11"/>
        <v>0</v>
      </c>
      <c r="AQ55" s="6">
        <v>1.0057618091180287</v>
      </c>
      <c r="AR55" s="6" t="str">
        <f>IF($H55="BEV",SUMPRODUCT(#REF!,#REF!),"")</f>
        <v/>
      </c>
      <c r="AS55" s="2">
        <f>SUM(Z55,AG55)/(SUM(AQ55:AR55)/3.6)</f>
        <v>284.56041719358399</v>
      </c>
      <c r="AT55" s="5">
        <f>IF($H55="ICEV-p",$AQ55/('fuels and tailpipe emissions'!$C$3*3.6)*'fuels and tailpipe emissions'!$D$3,"")</f>
        <v>7.5432135683852153E-2</v>
      </c>
      <c r="AU55" s="7">
        <f>IF($H55="ICEV-p",$AQ55/('fuels and tailpipe emissions'!$C$3*3.6)*'fuels and tailpipe emissions'!$E$3,"")</f>
        <v>3.7953275815774666E-7</v>
      </c>
      <c r="AV55" s="7">
        <f>SUMIFS('fuels and tailpipe emissions'!$F$10:$F$126,'fuels and tailpipe emissions'!$A$10:$A$126,'vehicles specifications'!$F55,'fuels and tailpipe emissions'!$B$10:$B$126,'vehicles specifications'!AV$2)/1000*$AQ55</f>
        <v>3.0028551502939905E-6</v>
      </c>
      <c r="AW55" s="7">
        <f>SUMIFS('fuels and tailpipe emissions'!$F$10:$F$126,'fuels and tailpipe emissions'!$A$10:$A$126,'vehicles specifications'!$F55,'fuels and tailpipe emissions'!$B$10:$B$126,'vehicles specifications'!AW$2)/1000*$AQ55</f>
        <v>5.5743948816324545E-5</v>
      </c>
      <c r="AX55" s="7">
        <f>SUMIFS('fuels and tailpipe emissions'!$F$10:$F$126,'fuels and tailpipe emissions'!$A$10:$A$126,'vehicles specifications'!$F55,'fuels and tailpipe emissions'!$B$10:$B$126,'vehicles specifications'!AX$2)/1000*$AQ55</f>
        <v>7.1242322292383402E-4</v>
      </c>
      <c r="AY55" s="7">
        <f>SUMIFS('fuels and tailpipe emissions'!$F$10:$F$126,'fuels and tailpipe emissions'!$A$10:$A$126,'vehicles specifications'!$F55,'fuels and tailpipe emissions'!$B$10:$B$126,'vehicles specifications'!AY$2)/1000*$AQ55</f>
        <v>1.9908553148687333E-6</v>
      </c>
      <c r="AZ55" s="7">
        <f>SUMIFS('fuels and tailpipe emissions'!$F$10:$F$126,'fuels and tailpipe emissions'!$A$10:$A$126,'vehicles specifications'!$F55,'fuels and tailpipe emissions'!$B$10:$B$126,'vehicles specifications'!AZ$2)/1000*$AQ55</f>
        <v>1.9908553148687333E-6</v>
      </c>
      <c r="BA55" s="7">
        <f>SUMIFS('fuels and tailpipe emissions'!$F$10:$F$126,'fuels and tailpipe emissions'!$A$10:$A$126,'vehicles specifications'!$F55,'fuels and tailpipe emissions'!$B$10:$B$126,'vehicles specifications'!BA$2)/1000*$AQ55</f>
        <v>1.8315516128898121E-5</v>
      </c>
      <c r="BB55" s="7">
        <f>SUMIFS('fuels and tailpipe emissions'!$F$10:$F$126,'fuels and tailpipe emissions'!$A$10:$A$126,'vehicles specifications'!$F55,'fuels and tailpipe emissions'!$B$10:$B$126,'vehicles specifications'!BB$2)/1000*$AQ55</f>
        <v>4.9771382871718332E-6</v>
      </c>
      <c r="BC55" s="7">
        <f>SUMIFS('fuels and tailpipe emissions'!$F$10:$F$126,'fuels and tailpipe emissions'!$A$10:$A$126,'vehicles specifications'!$F55,'fuels and tailpipe emissions'!$B$10:$B$126,'vehicles specifications'!BC$2)/1000*$AQ55</f>
        <v>2.4215537789536568E-5</v>
      </c>
      <c r="BD55" s="7">
        <f>SUMIFS('fuels and tailpipe emissions'!$F$10:$F$126,'fuels and tailpipe emissions'!$A$10:$A$126,'vehicles specifications'!$F55,'fuels and tailpipe emissions'!$B$10:$B$126,'vehicles specifications'!BD$2)/1000*$AQ55</f>
        <v>1.7075058697750144E-6</v>
      </c>
      <c r="BE55" s="7">
        <f>SUMIFS('fuels and tailpipe emissions'!$F$10:$F$126,'fuels and tailpipe emissions'!$A$10:$A$126,'vehicles specifications'!$F55,'fuels and tailpipe emissions'!$B$10:$B$126,'vehicles specifications'!BE$2)/1000*$AQ55</f>
        <v>3.4792439352782425E-7</v>
      </c>
      <c r="BF55" s="7">
        <f>SUMIFS('fuels and tailpipe emissions'!$F$10:$F$126,'fuels and tailpipe emissions'!$A$10:$A$126,'vehicles specifications'!$F55,'fuels and tailpipe emissions'!$B$10:$B$126,'vehicles specifications'!BF$2)/1000*$AQ55</f>
        <v>2.804805880131999E-6</v>
      </c>
      <c r="BG55" s="7">
        <f>SUMIFS('fuels and tailpipe emissions'!$F$10:$F$126,'fuels and tailpipe emissions'!$A$10:$A$126,'vehicles specifications'!$F55,'fuels and tailpipe emissions'!$B$10:$B$126,'vehicles specifications'!BG$2)/1000*$AQ55</f>
        <v>1.1508268401304956E-6</v>
      </c>
      <c r="BH55" s="7">
        <f>SUMIFS('fuels and tailpipe emissions'!$F$10:$F$126,'fuels and tailpipe emissions'!$A$10:$A$126,'vehicles specifications'!$F55,'fuels and tailpipe emissions'!$B$10:$B$126,'vehicles specifications'!BH$2)/1000*$AQ55</f>
        <v>8.6178195935353402E-7</v>
      </c>
      <c r="BI55" s="7">
        <f>SUMIFS('fuels and tailpipe emissions'!$F$10:$F$126,'fuels and tailpipe emissions'!$A$10:$A$126,'vehicles specifications'!$F55,'fuels and tailpipe emissions'!$B$10:$B$126,'vehicles specifications'!BI$2)/1000*$AQ55</f>
        <v>6.1020585941803032E-7</v>
      </c>
      <c r="BJ55" s="7">
        <f>SUMIFS('fuels and tailpipe emissions'!$F$10:$F$126,'fuels and tailpipe emissions'!$A$10:$A$126,'vehicles specifications'!$F55,'fuels and tailpipe emissions'!$B$10:$B$126,'vehicles specifications'!BJ$2)/1000*$AQ55</f>
        <v>3.960985403239846E-7</v>
      </c>
      <c r="BK55" s="7">
        <f>SUMIFS('fuels and tailpipe emissions'!$F$10:$F$126,'fuels and tailpipe emissions'!$A$10:$A$126,'vehicles specifications'!$F55,'fuels and tailpipe emissions'!$B$10:$B$126,'vehicles specifications'!BK$2)/1000*$AQ55</f>
        <v>3.9074585734663338E-6</v>
      </c>
      <c r="BL55" s="7">
        <f>SUMIFS('fuels and tailpipe emissions'!$F$10:$F$126,'fuels and tailpipe emissions'!$A$10:$A$126,'vehicles specifications'!$F55,'fuels and tailpipe emissions'!$B$10:$B$126,'vehicles specifications'!BL$2)/1000*$AQ55</f>
        <v>2.0447248973481361E-6</v>
      </c>
      <c r="BM55" s="7">
        <f>SUMIFS('fuels and tailpipe emissions'!$F$10:$F$126,'fuels and tailpipe emissions'!$A$10:$A$126,'vehicles specifications'!$F55,'fuels and tailpipe emissions'!$B$10:$B$126,'vehicles specifications'!BM$2)/1000*$AQ55</f>
        <v>5.8879512750862572E-8</v>
      </c>
      <c r="BN55" s="7">
        <f>SUMIFS('fuels and tailpipe emissions'!$F$10:$F$126,'fuels and tailpipe emissions'!$A$10:$A$126,'vehicles specifications'!$F55,'fuels and tailpipe emissions'!$B$10:$B$126,'vehicles specifications'!BN$2)/1000*$AQ55</f>
        <v>3.0028551502939905E-6</v>
      </c>
      <c r="BO55" s="7">
        <f>SUMIFS('fuels and tailpipe emissions'!$F$10:$F$126,'fuels and tailpipe emissions'!$A$10:$A$126,'vehicles specifications'!$F55,'fuels and tailpipe emissions'!$B$10:$B$126,'vehicles specifications'!BO$2)/1000*$AQ55</f>
        <v>5.877245909131555E-6</v>
      </c>
      <c r="BP55" s="7">
        <f>SUMIFS('fuels and tailpipe emissions'!$F$10:$F$126,'fuels and tailpipe emissions'!$A$10:$A$126,'vehicles specifications'!$F55,'fuels and tailpipe emissions'!$B$10:$B$126,'vehicles specifications'!BP$2)/1000*$AQ55</f>
        <v>2.9065068567016706E-6</v>
      </c>
      <c r="BQ55" s="7">
        <f>SUMIFS('fuels and tailpipe emissions'!$F$10:$F$126,'fuels and tailpipe emissions'!$A$10:$A$126,'vehicles specifications'!$F55,'fuels and tailpipe emissions'!$B$10:$B$126,'vehicles specifications'!BQ$2)/1000*$AQ55</f>
        <v>1.2097063528813583E-6</v>
      </c>
      <c r="BR55" s="7">
        <f>SUMIFS('fuels and tailpipe emissions'!$F$10:$F$126,'fuels and tailpipe emissions'!$A$10:$A$126,'vehicles specifications'!$F55,'fuels and tailpipe emissions'!$B$10:$B$126,'vehicles specifications'!BR$2)/1000*$AQ55</f>
        <v>9.0995610614969421E-7</v>
      </c>
      <c r="BS55" s="7">
        <f>SUMIFS('fuels and tailpipe emissions'!$F$10:$F$126,'fuels and tailpipe emissions'!$A$10:$A$126,'vehicles specifications'!$F55,'fuels and tailpipe emissions'!$B$10:$B$126,'vehicles specifications'!BS$2)/1000*$AQ55</f>
        <v>4.0145122330133565E-7</v>
      </c>
      <c r="BT55" s="7">
        <f>SUMIFS('fuels and tailpipe emissions'!$F$10:$F$126,'fuels and tailpipe emissions'!$A$10:$A$126,'vehicles specifications'!$F55,'fuels and tailpipe emissions'!$B$10:$B$126,'vehicles specifications'!BT$2)/1000*$AQ55</f>
        <v>1.1775902550172514E-7</v>
      </c>
      <c r="BU55" s="7">
        <f>SUMIFS('fuels and tailpipe emissions'!$F$10:$F$126,'fuels and tailpipe emissions'!$A$10:$A$126,'vehicles specifications'!$F55,'fuels and tailpipe emissions'!$B$10:$B$126,'vehicles specifications'!BU$2)/1000*$AQ55</f>
        <v>3.2651366161841968E-7</v>
      </c>
      <c r="BV55" s="7">
        <f>SUMIFS('fuels and tailpipe emissions'!$F$10:$F$126,'fuels and tailpipe emissions'!$A$10:$A$126,'vehicles specifications'!$F55,'fuels and tailpipe emissions'!$B$10:$B$126,'vehicles specifications'!BV$2)/1000*$AQ55</f>
        <v>0</v>
      </c>
      <c r="BW55" s="7">
        <f>SUMIFS('fuels and tailpipe emissions'!$F$10:$F$126,'fuels and tailpipe emissions'!$A$10:$A$126,'vehicles specifications'!$F55,'fuels and tailpipe emissions'!$B$10:$B$126,'vehicles specifications'!BW$2)/1000*$AQ55</f>
        <v>1.017009765696717E-7</v>
      </c>
      <c r="BX55" s="7">
        <f>SUMIFS('fuels and tailpipe emissions'!$F$10:$F$126,'fuels and tailpipe emissions'!$A$10:$A$126,'vehicles specifications'!$F55,'fuels and tailpipe emissions'!$B$10:$B$126,'vehicles specifications'!BX$2)/1000*$AQ55</f>
        <v>5.4062098071246539E-7</v>
      </c>
      <c r="BY55" s="7">
        <f>SUMIFS('fuels and tailpipe emissions'!$F$10:$F$126,'fuels and tailpipe emissions'!$A$10:$A$126,'vehicles specifications'!$F55,'fuels and tailpipe emissions'!$B$10:$B$126,'vehicles specifications'!BY$2)/1000*$AQ55</f>
        <v>3.5000510957307399E-8</v>
      </c>
      <c r="BZ55" s="7">
        <f>SUMIFS('fuels and tailpipe emissions'!$F$10:$F$126,'fuels and tailpipe emissions'!$A$10:$A$126,'vehicles specifications'!$F55,'fuels and tailpipe emissions'!$B$10:$B$126,'vehicles specifications'!BZ$2)/1000*$AQ55</f>
        <v>3.0172854273540859E-10</v>
      </c>
      <c r="CA55" s="7">
        <f>SUMIFS('fuels and tailpipe emissions'!$F$10:$F$126,'fuels and tailpipe emissions'!$A$10:$A$126,'vehicles specifications'!$F55,'fuels and tailpipe emissions'!$B$10:$B$126,'vehicles specifications'!CA$2)/1000*$AQ55</f>
        <v>2.0115236182360576E-10</v>
      </c>
      <c r="CB55" s="7">
        <f>SUMIFS('fuels and tailpipe emissions'!$F$10:$F$126,'fuels and tailpipe emissions'!$A$10:$A$126,'vehicles specifications'!$F55,'fuels and tailpipe emissions'!$B$10:$B$126,'vehicles specifications'!CB$2)/1000*$AQ55</f>
        <v>2.172445507694942E-6</v>
      </c>
      <c r="CC55" s="7">
        <f>SUMIFS('fuels and tailpipe emissions'!$F$10:$F$126,'fuels and tailpipe emissions'!$A$10:$A$126,'vehicles specifications'!$F55,'fuels and tailpipe emissions'!$B$10:$B$126,'vehicles specifications'!CC$2)/1000*$AQ55</f>
        <v>4.2241995982957202E-8</v>
      </c>
      <c r="CD55" s="7">
        <f>SUMIFS('fuels and tailpipe emissions'!$F$10:$F$126,'fuels and tailpipe emissions'!$A$10:$A$126,'vehicles specifications'!$F55,'fuels and tailpipe emissions'!$B$10:$B$126,'vehicles specifications'!CD$2)/1000*$AQ55</f>
        <v>1.3074903518534373E-8</v>
      </c>
      <c r="CE55" s="7">
        <f>SUMIFS('fuels and tailpipe emissions'!$F$10:$F$126,'fuels and tailpipe emissions'!$A$10:$A$126,'vehicles specifications'!$F55,'fuels and tailpipe emissions'!$B$10:$B$126,'vehicles specifications'!CE$2)/1000*$AQ55</f>
        <v>1.6092188945888465E-8</v>
      </c>
      <c r="CF55" s="7">
        <f>SUMIFS('fuels and tailpipe emissions'!$F$10:$F$126,'fuels and tailpipe emissions'!$A$10:$A$126,'vehicles specifications'!$F55,'fuels and tailpipe emissions'!$B$10:$B$126,'vehicles specifications'!CF$2)/1000*$AQ55</f>
        <v>3.2184377891776916E-11</v>
      </c>
      <c r="CG55" s="7">
        <f>SUMIFS('fuels and tailpipe emissions'!$F$10:$F$126,'fuels and tailpipe emissions'!$A$10:$A$126,'vehicles specifications'!$F55,'fuels and tailpipe emissions'!$B$10:$B$126,'vehicles specifications'!CG$2)/1000*$AQ55</f>
        <v>8.7501277393268496E-9</v>
      </c>
      <c r="CH55" s="7">
        <f>SUMIFS('fuels and tailpipe emissions'!$F$10:$F$126,'fuels and tailpipe emissions'!$A$10:$A$126,'vehicles specifications'!$F55,'fuels and tailpipe emissions'!$B$10:$B$126,'vehicles specifications'!CH$2)/1000*$AQ55</f>
        <v>1.0862227538474711E-8</v>
      </c>
      <c r="CI55" s="7">
        <f>VLOOKUP(B55,'abrasion emissions'!$A$4:$D$32,4,FALSE)</f>
        <v>6.0000000000000002E-6</v>
      </c>
      <c r="CJ55" s="7">
        <f>VLOOKUP(B55,'abrasion emissions'!$A$4:$D$32,2,FALSE)</f>
        <v>7.3669999999999991E-6</v>
      </c>
      <c r="CK55" s="7">
        <f>VLOOKUP(B55,'abrasion emissions'!$A$4:$D$32,3,FALSE)</f>
        <v>8.3499999999999997E-6</v>
      </c>
    </row>
    <row r="56" spans="1:89" x14ac:dyDescent="0.3">
      <c r="A56" t="str">
        <f t="shared" si="1"/>
        <v>Motorbike, gasoline, 4-11kW, EURO-5 - 2030 - CH</v>
      </c>
      <c r="B56" t="s">
        <v>714</v>
      </c>
      <c r="D56">
        <v>2030</v>
      </c>
      <c r="E56" t="s">
        <v>37</v>
      </c>
      <c r="F56" t="s">
        <v>149</v>
      </c>
      <c r="G56" t="s">
        <v>39</v>
      </c>
      <c r="H56" t="s">
        <v>35</v>
      </c>
      <c r="J56" s="21">
        <v>39800</v>
      </c>
      <c r="K56" s="21">
        <v>2758</v>
      </c>
      <c r="L56" s="2">
        <f t="shared" si="2"/>
        <v>14.430746918056563</v>
      </c>
      <c r="M56">
        <v>1.1000000000000001</v>
      </c>
      <c r="N56">
        <v>70</v>
      </c>
      <c r="O56">
        <v>6</v>
      </c>
      <c r="P56" s="2">
        <f t="shared" si="13"/>
        <v>117.03699102374857</v>
      </c>
      <c r="Q56" s="2">
        <f t="shared" si="3"/>
        <v>200.03699102374856</v>
      </c>
      <c r="R56" s="21">
        <v>9</v>
      </c>
      <c r="S56" s="2">
        <v>65.433826960328489</v>
      </c>
      <c r="T56" s="1">
        <v>0.03</v>
      </c>
      <c r="U56" s="2">
        <f t="shared" si="32"/>
        <v>63.470812151518629</v>
      </c>
      <c r="V56" s="2">
        <f t="shared" ref="V56:V64" si="34">0.7*S56</f>
        <v>45.803678872229938</v>
      </c>
      <c r="W56" s="2">
        <v>0</v>
      </c>
      <c r="X56" s="3">
        <v>0</v>
      </c>
      <c r="Y56" s="1">
        <v>0.8</v>
      </c>
      <c r="Z56" s="3">
        <f t="shared" si="5"/>
        <v>0</v>
      </c>
      <c r="AA56" s="3">
        <v>0</v>
      </c>
      <c r="AB56" s="3">
        <v>0</v>
      </c>
      <c r="AC56" s="3">
        <f t="shared" si="7"/>
        <v>0</v>
      </c>
      <c r="AD56" s="3">
        <v>0</v>
      </c>
      <c r="AE56" s="3">
        <v>9</v>
      </c>
      <c r="AF56">
        <f>AE56*'fuels and tailpipe emissions'!$B$3</f>
        <v>6.75</v>
      </c>
      <c r="AG56" s="2">
        <f>AF56*'fuels and tailpipe emissions'!$C$3</f>
        <v>79.5</v>
      </c>
      <c r="AH56" s="3">
        <f t="shared" si="33"/>
        <v>1.0125</v>
      </c>
      <c r="AI56" s="3">
        <v>0</v>
      </c>
      <c r="AJ56" s="3">
        <v>0</v>
      </c>
      <c r="AK56">
        <f t="shared" si="30"/>
        <v>1</v>
      </c>
      <c r="AL56">
        <f t="shared" si="15"/>
        <v>1.0741986417975298E-4</v>
      </c>
      <c r="AM56">
        <v>1.2899999999999999E-3</v>
      </c>
      <c r="AN56" s="2">
        <f t="shared" si="9"/>
        <v>63.470812151518629</v>
      </c>
      <c r="AO56" s="2">
        <f t="shared" si="10"/>
        <v>45.803678872229938</v>
      </c>
      <c r="AP56" s="2">
        <f t="shared" si="11"/>
        <v>0</v>
      </c>
      <c r="AQ56" s="6">
        <v>0.99570419102684837</v>
      </c>
      <c r="AR56" s="6" t="str">
        <f>IF($H56="BEV",SUMPRODUCT(#REF!,#REF!),"")</f>
        <v/>
      </c>
      <c r="AS56" s="2">
        <f>SUM(Z56,AG56)/(SUM(AQ56:AR56)/3.6)</f>
        <v>287.43476484200397</v>
      </c>
      <c r="AT56" s="5">
        <f>IF($H56="ICEV-p",$AQ56/('fuels and tailpipe emissions'!$C$3*3.6)*'fuels and tailpipe emissions'!$D$3,"")</f>
        <v>7.4677814327013634E-2</v>
      </c>
      <c r="AU56" s="7">
        <f>IF($H56="ICEV-p",$AQ56/('fuels and tailpipe emissions'!$C$3*3.6)*'fuels and tailpipe emissions'!$E$3,"")</f>
        <v>3.7573743057616917E-7</v>
      </c>
      <c r="AV56" s="7">
        <f>SUMIFS('fuels and tailpipe emissions'!$F$10:$F$126,'fuels and tailpipe emissions'!$A$10:$A$126,'vehicles specifications'!$F56,'fuels and tailpipe emissions'!$B$10:$B$126,'vehicles specifications'!AV$2)/1000*$AQ56</f>
        <v>2.9728265987910503E-6</v>
      </c>
      <c r="AW56" s="7">
        <f>SUMIFS('fuels and tailpipe emissions'!$F$10:$F$126,'fuels and tailpipe emissions'!$A$10:$A$126,'vehicles specifications'!$F56,'fuels and tailpipe emissions'!$B$10:$B$126,'vehicles specifications'!AW$2)/1000*$AQ56</f>
        <v>5.5186509328161295E-5</v>
      </c>
      <c r="AX56" s="7">
        <f>SUMIFS('fuels and tailpipe emissions'!$F$10:$F$126,'fuels and tailpipe emissions'!$A$10:$A$126,'vehicles specifications'!$F56,'fuels and tailpipe emissions'!$B$10:$B$126,'vehicles specifications'!AX$2)/1000*$AQ56</f>
        <v>7.0529899069459573E-4</v>
      </c>
      <c r="AY56" s="7">
        <f>SUMIFS('fuels and tailpipe emissions'!$F$10:$F$126,'fuels and tailpipe emissions'!$A$10:$A$126,'vehicles specifications'!$F56,'fuels and tailpipe emissions'!$B$10:$B$126,'vehicles specifications'!AY$2)/1000*$AQ56</f>
        <v>1.9709467617200459E-6</v>
      </c>
      <c r="AZ56" s="7">
        <f>SUMIFS('fuels and tailpipe emissions'!$F$10:$F$126,'fuels and tailpipe emissions'!$A$10:$A$126,'vehicles specifications'!$F56,'fuels and tailpipe emissions'!$B$10:$B$126,'vehicles specifications'!AZ$2)/1000*$AQ56</f>
        <v>1.9709467617200459E-6</v>
      </c>
      <c r="BA56" s="7">
        <f>SUMIFS('fuels and tailpipe emissions'!$F$10:$F$126,'fuels and tailpipe emissions'!$A$10:$A$126,'vehicles specifications'!$F56,'fuels and tailpipe emissions'!$B$10:$B$126,'vehicles specifications'!BA$2)/1000*$AQ56</f>
        <v>1.8132360967609141E-5</v>
      </c>
      <c r="BB56" s="7">
        <f>SUMIFS('fuels and tailpipe emissions'!$F$10:$F$126,'fuels and tailpipe emissions'!$A$10:$A$126,'vehicles specifications'!$F56,'fuels and tailpipe emissions'!$B$10:$B$126,'vehicles specifications'!BB$2)/1000*$AQ56</f>
        <v>4.9273669043001146E-6</v>
      </c>
      <c r="BC56" s="7">
        <f>SUMIFS('fuels and tailpipe emissions'!$F$10:$F$126,'fuels and tailpipe emissions'!$A$10:$A$126,'vehicles specifications'!$F56,'fuels and tailpipe emissions'!$B$10:$B$126,'vehicles specifications'!BC$2)/1000*$AQ56</f>
        <v>2.3973382411641201E-5</v>
      </c>
      <c r="BD56" s="7">
        <f>SUMIFS('fuels and tailpipe emissions'!$F$10:$F$126,'fuels and tailpipe emissions'!$A$10:$A$126,'vehicles specifications'!$F56,'fuels and tailpipe emissions'!$B$10:$B$126,'vehicles specifications'!BD$2)/1000*$AQ56</f>
        <v>1.690430811077264E-6</v>
      </c>
      <c r="BE56" s="7">
        <f>SUMIFS('fuels and tailpipe emissions'!$F$10:$F$126,'fuels and tailpipe emissions'!$A$10:$A$126,'vehicles specifications'!$F56,'fuels and tailpipe emissions'!$B$10:$B$126,'vehicles specifications'!BE$2)/1000*$AQ56</f>
        <v>3.44445149592546E-7</v>
      </c>
      <c r="BF56" s="7">
        <f>SUMIFS('fuels and tailpipe emissions'!$F$10:$F$126,'fuels and tailpipe emissions'!$A$10:$A$126,'vehicles specifications'!$F56,'fuels and tailpipe emissions'!$B$10:$B$126,'vehicles specifications'!BF$2)/1000*$AQ56</f>
        <v>2.7767578213306791E-6</v>
      </c>
      <c r="BG56" s="7">
        <f>SUMIFS('fuels and tailpipe emissions'!$F$10:$F$126,'fuels and tailpipe emissions'!$A$10:$A$126,'vehicles specifications'!$F56,'fuels and tailpipe emissions'!$B$10:$B$126,'vehicles specifications'!BG$2)/1000*$AQ56</f>
        <v>1.1393185717291907E-6</v>
      </c>
      <c r="BH56" s="7">
        <f>SUMIFS('fuels and tailpipe emissions'!$F$10:$F$126,'fuels and tailpipe emissions'!$A$10:$A$126,'vehicles specifications'!$F56,'fuels and tailpipe emissions'!$B$10:$B$126,'vehicles specifications'!BH$2)/1000*$AQ56</f>
        <v>8.5316413975999859E-7</v>
      </c>
      <c r="BI56" s="7">
        <f>SUMIFS('fuels and tailpipe emissions'!$F$10:$F$126,'fuels and tailpipe emissions'!$A$10:$A$126,'vehicles specifications'!$F56,'fuels and tailpipe emissions'!$B$10:$B$126,'vehicles specifications'!BI$2)/1000*$AQ56</f>
        <v>6.0410380082384996E-7</v>
      </c>
      <c r="BJ56" s="7">
        <f>SUMIFS('fuels and tailpipe emissions'!$F$10:$F$126,'fuels and tailpipe emissions'!$A$10:$A$126,'vehicles specifications'!$F56,'fuels and tailpipe emissions'!$B$10:$B$126,'vehicles specifications'!BJ$2)/1000*$AQ56</f>
        <v>3.921375549207447E-7</v>
      </c>
      <c r="BK56" s="7">
        <f>SUMIFS('fuels and tailpipe emissions'!$F$10:$F$126,'fuels and tailpipe emissions'!$A$10:$A$126,'vehicles specifications'!$F56,'fuels and tailpipe emissions'!$B$10:$B$126,'vehicles specifications'!BK$2)/1000*$AQ56</f>
        <v>3.868383987731671E-6</v>
      </c>
      <c r="BL56" s="7">
        <f>SUMIFS('fuels and tailpipe emissions'!$F$10:$F$126,'fuels and tailpipe emissions'!$A$10:$A$126,'vehicles specifications'!$F56,'fuels and tailpipe emissions'!$B$10:$B$126,'vehicles specifications'!BL$2)/1000*$AQ56</f>
        <v>2.0242776483746546E-6</v>
      </c>
      <c r="BM56" s="7">
        <f>SUMIFS('fuels and tailpipe emissions'!$F$10:$F$126,'fuels and tailpipe emissions'!$A$10:$A$126,'vehicles specifications'!$F56,'fuels and tailpipe emissions'!$B$10:$B$126,'vehicles specifications'!BM$2)/1000*$AQ56</f>
        <v>5.8290717623353947E-8</v>
      </c>
      <c r="BN56" s="7">
        <f>SUMIFS('fuels and tailpipe emissions'!$F$10:$F$126,'fuels and tailpipe emissions'!$A$10:$A$126,'vehicles specifications'!$F56,'fuels and tailpipe emissions'!$B$10:$B$126,'vehicles specifications'!BN$2)/1000*$AQ56</f>
        <v>2.9728265987910503E-6</v>
      </c>
      <c r="BO56" s="7">
        <f>SUMIFS('fuels and tailpipe emissions'!$F$10:$F$126,'fuels and tailpipe emissions'!$A$10:$A$126,'vehicles specifications'!$F56,'fuels and tailpipe emissions'!$B$10:$B$126,'vehicles specifications'!BO$2)/1000*$AQ56</f>
        <v>5.8184734500402395E-6</v>
      </c>
      <c r="BP56" s="7">
        <f>SUMIFS('fuels and tailpipe emissions'!$F$10:$F$126,'fuels and tailpipe emissions'!$A$10:$A$126,'vehicles specifications'!$F56,'fuels and tailpipe emissions'!$B$10:$B$126,'vehicles specifications'!BP$2)/1000*$AQ56</f>
        <v>2.8774417881346538E-6</v>
      </c>
      <c r="BQ56" s="7">
        <f>SUMIFS('fuels and tailpipe emissions'!$F$10:$F$126,'fuels and tailpipe emissions'!$A$10:$A$126,'vehicles specifications'!$F56,'fuels and tailpipe emissions'!$B$10:$B$126,'vehicles specifications'!BQ$2)/1000*$AQ56</f>
        <v>1.1976092893525445E-6</v>
      </c>
      <c r="BR56" s="7">
        <f>SUMIFS('fuels and tailpipe emissions'!$F$10:$F$126,'fuels and tailpipe emissions'!$A$10:$A$126,'vehicles specifications'!$F56,'fuels and tailpipe emissions'!$B$10:$B$126,'vehicles specifications'!BR$2)/1000*$AQ56</f>
        <v>9.0085654508819725E-7</v>
      </c>
      <c r="BS56" s="7">
        <f>SUMIFS('fuels and tailpipe emissions'!$F$10:$F$126,'fuels and tailpipe emissions'!$A$10:$A$126,'vehicles specifications'!$F56,'fuels and tailpipe emissions'!$B$10:$B$126,'vehicles specifications'!BS$2)/1000*$AQ56</f>
        <v>3.9743671106832228E-7</v>
      </c>
      <c r="BT56" s="7">
        <f>SUMIFS('fuels and tailpipe emissions'!$F$10:$F$126,'fuels and tailpipe emissions'!$A$10:$A$126,'vehicles specifications'!$F56,'fuels and tailpipe emissions'!$B$10:$B$126,'vehicles specifications'!BT$2)/1000*$AQ56</f>
        <v>1.1658143524670789E-7</v>
      </c>
      <c r="BU56" s="7">
        <f>SUMIFS('fuels and tailpipe emissions'!$F$10:$F$126,'fuels and tailpipe emissions'!$A$10:$A$126,'vehicles specifications'!$F56,'fuels and tailpipe emissions'!$B$10:$B$126,'vehicles specifications'!BU$2)/1000*$AQ56</f>
        <v>3.2324852500223546E-7</v>
      </c>
      <c r="BV56" s="7">
        <f>SUMIFS('fuels and tailpipe emissions'!$F$10:$F$126,'fuels and tailpipe emissions'!$A$10:$A$126,'vehicles specifications'!$F56,'fuels and tailpipe emissions'!$B$10:$B$126,'vehicles specifications'!BV$2)/1000*$AQ56</f>
        <v>0</v>
      </c>
      <c r="BW56" s="7">
        <f>SUMIFS('fuels and tailpipe emissions'!$F$10:$F$126,'fuels and tailpipe emissions'!$A$10:$A$126,'vehicles specifications'!$F56,'fuels and tailpipe emissions'!$B$10:$B$126,'vehicles specifications'!BW$2)/1000*$AQ56</f>
        <v>1.0068396680397498E-7</v>
      </c>
      <c r="BX56" s="7">
        <f>SUMIFS('fuels and tailpipe emissions'!$F$10:$F$126,'fuels and tailpipe emissions'!$A$10:$A$126,'vehicles specifications'!$F56,'fuels and tailpipe emissions'!$B$10:$B$126,'vehicles specifications'!BX$2)/1000*$AQ56</f>
        <v>5.3521477090534066E-7</v>
      </c>
      <c r="BY56" s="7">
        <f>SUMIFS('fuels and tailpipe emissions'!$F$10:$F$126,'fuels and tailpipe emissions'!$A$10:$A$126,'vehicles specifications'!$F56,'fuels and tailpipe emissions'!$B$10:$B$126,'vehicles specifications'!BY$2)/1000*$AQ56</f>
        <v>3.4650505847734325E-8</v>
      </c>
      <c r="BZ56" s="7">
        <f>SUMIFS('fuels and tailpipe emissions'!$F$10:$F$126,'fuels and tailpipe emissions'!$A$10:$A$126,'vehicles specifications'!$F56,'fuels and tailpipe emissions'!$B$10:$B$126,'vehicles specifications'!BZ$2)/1000*$AQ56</f>
        <v>2.9871125730805451E-10</v>
      </c>
      <c r="CA56" s="7">
        <f>SUMIFS('fuels and tailpipe emissions'!$F$10:$F$126,'fuels and tailpipe emissions'!$A$10:$A$126,'vehicles specifications'!$F56,'fuels and tailpipe emissions'!$B$10:$B$126,'vehicles specifications'!CA$2)/1000*$AQ56</f>
        <v>1.9914083820536969E-10</v>
      </c>
      <c r="CB56" s="7">
        <f>SUMIFS('fuels and tailpipe emissions'!$F$10:$F$126,'fuels and tailpipe emissions'!$A$10:$A$126,'vehicles specifications'!$F56,'fuels and tailpipe emissions'!$B$10:$B$126,'vehicles specifications'!CB$2)/1000*$AQ56</f>
        <v>2.1507210526179924E-6</v>
      </c>
      <c r="CC56" s="7">
        <f>SUMIFS('fuels and tailpipe emissions'!$F$10:$F$126,'fuels and tailpipe emissions'!$A$10:$A$126,'vehicles specifications'!$F56,'fuels and tailpipe emissions'!$B$10:$B$126,'vehicles specifications'!CC$2)/1000*$AQ56</f>
        <v>4.181957602312763E-8</v>
      </c>
      <c r="CD56" s="7">
        <f>SUMIFS('fuels and tailpipe emissions'!$F$10:$F$126,'fuels and tailpipe emissions'!$A$10:$A$126,'vehicles specifications'!$F56,'fuels and tailpipe emissions'!$B$10:$B$126,'vehicles specifications'!CD$2)/1000*$AQ56</f>
        <v>1.2944154483349029E-8</v>
      </c>
      <c r="CE56" s="7">
        <f>SUMIFS('fuels and tailpipe emissions'!$F$10:$F$126,'fuels and tailpipe emissions'!$A$10:$A$126,'vehicles specifications'!$F56,'fuels and tailpipe emissions'!$B$10:$B$126,'vehicles specifications'!CE$2)/1000*$AQ56</f>
        <v>1.5931267056429578E-8</v>
      </c>
      <c r="CF56" s="7">
        <f>SUMIFS('fuels and tailpipe emissions'!$F$10:$F$126,'fuels and tailpipe emissions'!$A$10:$A$126,'vehicles specifications'!$F56,'fuels and tailpipe emissions'!$B$10:$B$126,'vehicles specifications'!CF$2)/1000*$AQ56</f>
        <v>3.1862534112859149E-11</v>
      </c>
      <c r="CG56" s="7">
        <f>SUMIFS('fuels and tailpipe emissions'!$F$10:$F$126,'fuels and tailpipe emissions'!$A$10:$A$126,'vehicles specifications'!$F56,'fuels and tailpipe emissions'!$B$10:$B$126,'vehicles specifications'!CG$2)/1000*$AQ56</f>
        <v>8.6626264619335813E-9</v>
      </c>
      <c r="CH56" s="7">
        <f>SUMIFS('fuels and tailpipe emissions'!$F$10:$F$126,'fuels and tailpipe emissions'!$A$10:$A$126,'vehicles specifications'!$F56,'fuels and tailpipe emissions'!$B$10:$B$126,'vehicles specifications'!CH$2)/1000*$AQ56</f>
        <v>1.0753605263089963E-8</v>
      </c>
      <c r="CI56" s="7">
        <f>VLOOKUP(B56,'abrasion emissions'!$A$4:$D$32,4,FALSE)</f>
        <v>6.0000000000000002E-6</v>
      </c>
      <c r="CJ56" s="7">
        <f>VLOOKUP(B56,'abrasion emissions'!$A$4:$D$32,2,FALSE)</f>
        <v>7.3669999999999991E-6</v>
      </c>
      <c r="CK56" s="7">
        <f>VLOOKUP(B56,'abrasion emissions'!$A$4:$D$32,3,FALSE)</f>
        <v>8.3499999999999997E-6</v>
      </c>
    </row>
    <row r="57" spans="1:89" x14ac:dyDescent="0.3">
      <c r="A57" t="str">
        <f t="shared" si="1"/>
        <v>Motorbike, gasoline, 4-11kW, EURO-5 - 2040 - CH</v>
      </c>
      <c r="B57" t="s">
        <v>714</v>
      </c>
      <c r="D57">
        <v>2040</v>
      </c>
      <c r="E57" t="s">
        <v>37</v>
      </c>
      <c r="F57" t="s">
        <v>149</v>
      </c>
      <c r="G57" t="s">
        <v>39</v>
      </c>
      <c r="H57" t="s">
        <v>35</v>
      </c>
      <c r="J57" s="21">
        <v>39800</v>
      </c>
      <c r="K57" s="21">
        <v>2758</v>
      </c>
      <c r="L57" s="2">
        <f t="shared" si="2"/>
        <v>14.430746918056563</v>
      </c>
      <c r="M57">
        <v>1.1000000000000001</v>
      </c>
      <c r="N57">
        <v>70</v>
      </c>
      <c r="O57">
        <v>6</v>
      </c>
      <c r="P57" s="2">
        <f t="shared" si="13"/>
        <v>115.728314484542</v>
      </c>
      <c r="Q57" s="2">
        <f t="shared" si="3"/>
        <v>198.72831448454201</v>
      </c>
      <c r="R57" s="21">
        <v>9</v>
      </c>
      <c r="S57" s="2">
        <v>65.433826960328489</v>
      </c>
      <c r="T57" s="1">
        <v>0.05</v>
      </c>
      <c r="U57" s="2">
        <f t="shared" si="32"/>
        <v>62.162135612312063</v>
      </c>
      <c r="V57" s="2">
        <f t="shared" si="34"/>
        <v>45.803678872229938</v>
      </c>
      <c r="W57" s="2">
        <v>0</v>
      </c>
      <c r="X57" s="3">
        <v>0</v>
      </c>
      <c r="Y57" s="1">
        <v>0.8</v>
      </c>
      <c r="Z57" s="3">
        <f t="shared" si="5"/>
        <v>0</v>
      </c>
      <c r="AA57" s="3">
        <v>0</v>
      </c>
      <c r="AB57" s="3">
        <v>0</v>
      </c>
      <c r="AC57" s="3">
        <f t="shared" si="7"/>
        <v>0</v>
      </c>
      <c r="AD57" s="3">
        <v>0</v>
      </c>
      <c r="AE57" s="3">
        <v>9</v>
      </c>
      <c r="AF57">
        <f>AE57*'fuels and tailpipe emissions'!$B$3</f>
        <v>6.75</v>
      </c>
      <c r="AG57" s="2">
        <f>AF57*'fuels and tailpipe emissions'!$C$3</f>
        <v>79.5</v>
      </c>
      <c r="AH57" s="3">
        <f t="shared" si="33"/>
        <v>1.0125</v>
      </c>
      <c r="AI57" s="3">
        <v>0</v>
      </c>
      <c r="AJ57" s="3">
        <v>0</v>
      </c>
      <c r="AK57">
        <f t="shared" si="30"/>
        <v>1</v>
      </c>
      <c r="AL57">
        <f t="shared" si="15"/>
        <v>1.0671710487819906E-4</v>
      </c>
      <c r="AM57">
        <v>1.2899999999999999E-3</v>
      </c>
      <c r="AN57" s="2">
        <f t="shared" si="9"/>
        <v>62.162135612312063</v>
      </c>
      <c r="AO57" s="2">
        <f t="shared" si="10"/>
        <v>45.803678872229938</v>
      </c>
      <c r="AP57" s="2">
        <f t="shared" si="11"/>
        <v>0</v>
      </c>
      <c r="AQ57" s="6">
        <v>0.9857471491165799</v>
      </c>
      <c r="AR57" s="6" t="str">
        <f>IF($H57="BEV",SUMPRODUCT(#REF!,#REF!),"")</f>
        <v/>
      </c>
      <c r="AS57" s="2">
        <f>SUM(Z57,AG57)/(SUM(AQ57:AR57)/3.6)</f>
        <v>290.33814630505458</v>
      </c>
      <c r="AT57" s="5">
        <f>IF($H57="ICEV-p",$AQ57/('fuels and tailpipe emissions'!$C$3*3.6)*'fuels and tailpipe emissions'!$D$3,"")</f>
        <v>7.3931036183743498E-2</v>
      </c>
      <c r="AU57" s="7">
        <f>IF($H57="ICEV-p",$AQ57/('fuels and tailpipe emissions'!$C$3*3.6)*'fuels and tailpipe emissions'!$E$3,"")</f>
        <v>3.719800562704075E-7</v>
      </c>
      <c r="AV57" s="7">
        <f>SUMIFS('fuels and tailpipe emissions'!$F$10:$F$126,'fuels and tailpipe emissions'!$A$10:$A$126,'vehicles specifications'!$F57,'fuels and tailpipe emissions'!$B$10:$B$126,'vehicles specifications'!AV$2)/1000*$AQ57</f>
        <v>2.9430983328031398E-6</v>
      </c>
      <c r="AW57" s="7">
        <f>SUMIFS('fuels and tailpipe emissions'!$F$10:$F$126,'fuels and tailpipe emissions'!$A$10:$A$126,'vehicles specifications'!$F57,'fuels and tailpipe emissions'!$B$10:$B$126,'vehicles specifications'!AW$2)/1000*$AQ57</f>
        <v>5.4634644234879682E-5</v>
      </c>
      <c r="AX57" s="7">
        <f>SUMIFS('fuels and tailpipe emissions'!$F$10:$F$126,'fuels and tailpipe emissions'!$A$10:$A$126,'vehicles specifications'!$F57,'fuels and tailpipe emissions'!$B$10:$B$126,'vehicles specifications'!AX$2)/1000*$AQ57</f>
        <v>6.982460007876497E-4</v>
      </c>
      <c r="AY57" s="7">
        <f>SUMIFS('fuels and tailpipe emissions'!$F$10:$F$126,'fuels and tailpipe emissions'!$A$10:$A$126,'vehicles specifications'!$F57,'fuels and tailpipe emissions'!$B$10:$B$126,'vehicles specifications'!AY$2)/1000*$AQ57</f>
        <v>1.9512372941028455E-6</v>
      </c>
      <c r="AZ57" s="7">
        <f>SUMIFS('fuels and tailpipe emissions'!$F$10:$F$126,'fuels and tailpipe emissions'!$A$10:$A$126,'vehicles specifications'!$F57,'fuels and tailpipe emissions'!$B$10:$B$126,'vehicles specifications'!AZ$2)/1000*$AQ57</f>
        <v>1.9512372941028455E-6</v>
      </c>
      <c r="BA57" s="7">
        <f>SUMIFS('fuels and tailpipe emissions'!$F$10:$F$126,'fuels and tailpipe emissions'!$A$10:$A$126,'vehicles specifications'!$F57,'fuels and tailpipe emissions'!$B$10:$B$126,'vehicles specifications'!BA$2)/1000*$AQ57</f>
        <v>1.795103735793305E-5</v>
      </c>
      <c r="BB57" s="7">
        <f>SUMIFS('fuels and tailpipe emissions'!$F$10:$F$126,'fuels and tailpipe emissions'!$A$10:$A$126,'vehicles specifications'!$F57,'fuels and tailpipe emissions'!$B$10:$B$126,'vehicles specifications'!BB$2)/1000*$AQ57</f>
        <v>4.8780932352571135E-6</v>
      </c>
      <c r="BC57" s="7">
        <f>SUMIFS('fuels and tailpipe emissions'!$F$10:$F$126,'fuels and tailpipe emissions'!$A$10:$A$126,'vehicles specifications'!$F57,'fuels and tailpipe emissions'!$B$10:$B$126,'vehicles specifications'!BC$2)/1000*$AQ57</f>
        <v>2.3733648587524791E-5</v>
      </c>
      <c r="BD57" s="7">
        <f>SUMIFS('fuels and tailpipe emissions'!$F$10:$F$126,'fuels and tailpipe emissions'!$A$10:$A$126,'vehicles specifications'!$F57,'fuels and tailpipe emissions'!$B$10:$B$126,'vehicles specifications'!BD$2)/1000*$AQ57</f>
        <v>1.6735265029664914E-6</v>
      </c>
      <c r="BE57" s="7">
        <f>SUMIFS('fuels and tailpipe emissions'!$F$10:$F$126,'fuels and tailpipe emissions'!$A$10:$A$126,'vehicles specifications'!$F57,'fuels and tailpipe emissions'!$B$10:$B$126,'vehicles specifications'!BE$2)/1000*$AQ57</f>
        <v>3.4100069809662051E-7</v>
      </c>
      <c r="BF57" s="7">
        <f>SUMIFS('fuels and tailpipe emissions'!$F$10:$F$126,'fuels and tailpipe emissions'!$A$10:$A$126,'vehicles specifications'!$F57,'fuels and tailpipe emissions'!$B$10:$B$126,'vehicles specifications'!BF$2)/1000*$AQ57</f>
        <v>2.7489902431173722E-6</v>
      </c>
      <c r="BG57" s="7">
        <f>SUMIFS('fuels and tailpipe emissions'!$F$10:$F$126,'fuels and tailpipe emissions'!$A$10:$A$126,'vehicles specifications'!$F57,'fuels and tailpipe emissions'!$B$10:$B$126,'vehicles specifications'!BG$2)/1000*$AQ57</f>
        <v>1.1279253860118987E-6</v>
      </c>
      <c r="BH57" s="7">
        <f>SUMIFS('fuels and tailpipe emissions'!$F$10:$F$126,'fuels and tailpipe emissions'!$A$10:$A$126,'vehicles specifications'!$F57,'fuels and tailpipe emissions'!$B$10:$B$126,'vehicles specifications'!BH$2)/1000*$AQ57</f>
        <v>8.4463249836239867E-7</v>
      </c>
      <c r="BI57" s="7">
        <f>SUMIFS('fuels and tailpipe emissions'!$F$10:$F$126,'fuels and tailpipe emissions'!$A$10:$A$126,'vehicles specifications'!$F57,'fuels and tailpipe emissions'!$B$10:$B$126,'vehicles specifications'!BI$2)/1000*$AQ57</f>
        <v>5.9806276281561148E-7</v>
      </c>
      <c r="BJ57" s="7">
        <f>SUMIFS('fuels and tailpipe emissions'!$F$10:$F$126,'fuels and tailpipe emissions'!$A$10:$A$126,'vehicles specifications'!$F57,'fuels and tailpipe emissions'!$B$10:$B$126,'vehicles specifications'!BJ$2)/1000*$AQ57</f>
        <v>3.8821617937153727E-7</v>
      </c>
      <c r="BK57" s="7">
        <f>SUMIFS('fuels and tailpipe emissions'!$F$10:$F$126,'fuels and tailpipe emissions'!$A$10:$A$126,'vehicles specifications'!$F57,'fuels and tailpipe emissions'!$B$10:$B$126,'vehicles specifications'!BK$2)/1000*$AQ57</f>
        <v>3.8297001478543544E-6</v>
      </c>
      <c r="BL57" s="7">
        <f>SUMIFS('fuels and tailpipe emissions'!$F$10:$F$126,'fuels and tailpipe emissions'!$A$10:$A$126,'vehicles specifications'!$F57,'fuels and tailpipe emissions'!$B$10:$B$126,'vehicles specifications'!BL$2)/1000*$AQ57</f>
        <v>2.0040348718909082E-6</v>
      </c>
      <c r="BM57" s="7">
        <f>SUMIFS('fuels and tailpipe emissions'!$F$10:$F$126,'fuels and tailpipe emissions'!$A$10:$A$126,'vehicles specifications'!$F57,'fuels and tailpipe emissions'!$B$10:$B$126,'vehicles specifications'!BM$2)/1000*$AQ57</f>
        <v>5.7707810447120405E-8</v>
      </c>
      <c r="BN57" s="7">
        <f>SUMIFS('fuels and tailpipe emissions'!$F$10:$F$126,'fuels and tailpipe emissions'!$A$10:$A$126,'vehicles specifications'!$F57,'fuels and tailpipe emissions'!$B$10:$B$126,'vehicles specifications'!BN$2)/1000*$AQ57</f>
        <v>2.9430983328031398E-6</v>
      </c>
      <c r="BO57" s="7">
        <f>SUMIFS('fuels and tailpipe emissions'!$F$10:$F$126,'fuels and tailpipe emissions'!$A$10:$A$126,'vehicles specifications'!$F57,'fuels and tailpipe emissions'!$B$10:$B$126,'vehicles specifications'!BO$2)/1000*$AQ57</f>
        <v>5.7602887155398365E-6</v>
      </c>
      <c r="BP57" s="7">
        <f>SUMIFS('fuels and tailpipe emissions'!$F$10:$F$126,'fuels and tailpipe emissions'!$A$10:$A$126,'vehicles specifications'!$F57,'fuels and tailpipe emissions'!$B$10:$B$126,'vehicles specifications'!BP$2)/1000*$AQ57</f>
        <v>2.8486673702533073E-6</v>
      </c>
      <c r="BQ57" s="7">
        <f>SUMIFS('fuels and tailpipe emissions'!$F$10:$F$126,'fuels and tailpipe emissions'!$A$10:$A$126,'vehicles specifications'!$F57,'fuels and tailpipe emissions'!$B$10:$B$126,'vehicles specifications'!BQ$2)/1000*$AQ57</f>
        <v>1.1856331964590191E-6</v>
      </c>
      <c r="BR57" s="7">
        <f>SUMIFS('fuels and tailpipe emissions'!$F$10:$F$126,'fuels and tailpipe emissions'!$A$10:$A$126,'vehicles specifications'!$F57,'fuels and tailpipe emissions'!$B$10:$B$126,'vehicles specifications'!BR$2)/1000*$AQ57</f>
        <v>8.9184797963731528E-7</v>
      </c>
      <c r="BS57" s="7">
        <f>SUMIFS('fuels and tailpipe emissions'!$F$10:$F$126,'fuels and tailpipe emissions'!$A$10:$A$126,'vehicles specifications'!$F57,'fuels and tailpipe emissions'!$B$10:$B$126,'vehicles specifications'!BS$2)/1000*$AQ57</f>
        <v>3.9346234395763905E-7</v>
      </c>
      <c r="BT57" s="7">
        <f>SUMIFS('fuels and tailpipe emissions'!$F$10:$F$126,'fuels and tailpipe emissions'!$A$10:$A$126,'vehicles specifications'!$F57,'fuels and tailpipe emissions'!$B$10:$B$126,'vehicles specifications'!BT$2)/1000*$AQ57</f>
        <v>1.1541562089424081E-7</v>
      </c>
      <c r="BU57" s="7">
        <f>SUMIFS('fuels and tailpipe emissions'!$F$10:$F$126,'fuels and tailpipe emissions'!$A$10:$A$126,'vehicles specifications'!$F57,'fuels and tailpipe emissions'!$B$10:$B$126,'vehicles specifications'!BU$2)/1000*$AQ57</f>
        <v>3.2001603975221312E-7</v>
      </c>
      <c r="BV57" s="7">
        <f>SUMIFS('fuels and tailpipe emissions'!$F$10:$F$126,'fuels and tailpipe emissions'!$A$10:$A$126,'vehicles specifications'!$F57,'fuels and tailpipe emissions'!$B$10:$B$126,'vehicles specifications'!BV$2)/1000*$AQ57</f>
        <v>0</v>
      </c>
      <c r="BW57" s="7">
        <f>SUMIFS('fuels and tailpipe emissions'!$F$10:$F$126,'fuels and tailpipe emissions'!$A$10:$A$126,'vehicles specifications'!$F57,'fuels and tailpipe emissions'!$B$10:$B$126,'vehicles specifications'!BW$2)/1000*$AQ57</f>
        <v>9.9677127135935233E-8</v>
      </c>
      <c r="BX57" s="7">
        <f>SUMIFS('fuels and tailpipe emissions'!$F$10:$F$126,'fuels and tailpipe emissions'!$A$10:$A$126,'vehicles specifications'!$F57,'fuels and tailpipe emissions'!$B$10:$B$126,'vehicles specifications'!BX$2)/1000*$AQ57</f>
        <v>5.2986262319628733E-7</v>
      </c>
      <c r="BY57" s="7">
        <f>SUMIFS('fuels and tailpipe emissions'!$F$10:$F$126,'fuels and tailpipe emissions'!$A$10:$A$126,'vehicles specifications'!$F57,'fuels and tailpipe emissions'!$B$10:$B$126,'vehicles specifications'!BY$2)/1000*$AQ57</f>
        <v>3.4304000789256983E-8</v>
      </c>
      <c r="BZ57" s="7">
        <f>SUMIFS('fuels and tailpipe emissions'!$F$10:$F$126,'fuels and tailpipe emissions'!$A$10:$A$126,'vehicles specifications'!$F57,'fuels and tailpipe emissions'!$B$10:$B$126,'vehicles specifications'!BZ$2)/1000*$AQ57</f>
        <v>2.9572414473497396E-10</v>
      </c>
      <c r="CA57" s="7">
        <f>SUMIFS('fuels and tailpipe emissions'!$F$10:$F$126,'fuels and tailpipe emissions'!$A$10:$A$126,'vehicles specifications'!$F57,'fuels and tailpipe emissions'!$B$10:$B$126,'vehicles specifications'!CA$2)/1000*$AQ57</f>
        <v>1.9714942982331598E-10</v>
      </c>
      <c r="CB57" s="7">
        <f>SUMIFS('fuels and tailpipe emissions'!$F$10:$F$126,'fuels and tailpipe emissions'!$A$10:$A$126,'vehicles specifications'!$F57,'fuels and tailpipe emissions'!$B$10:$B$126,'vehicles specifications'!CB$2)/1000*$AQ57</f>
        <v>2.1292138420918128E-6</v>
      </c>
      <c r="CC57" s="7">
        <f>SUMIFS('fuels and tailpipe emissions'!$F$10:$F$126,'fuels and tailpipe emissions'!$A$10:$A$126,'vehicles specifications'!$F57,'fuels and tailpipe emissions'!$B$10:$B$126,'vehicles specifications'!CC$2)/1000*$AQ57</f>
        <v>4.1401380262896352E-8</v>
      </c>
      <c r="CD57" s="7">
        <f>SUMIFS('fuels and tailpipe emissions'!$F$10:$F$126,'fuels and tailpipe emissions'!$A$10:$A$126,'vehicles specifications'!$F57,'fuels and tailpipe emissions'!$B$10:$B$126,'vehicles specifications'!CD$2)/1000*$AQ57</f>
        <v>1.281471293851554E-8</v>
      </c>
      <c r="CE57" s="7">
        <f>SUMIFS('fuels and tailpipe emissions'!$F$10:$F$126,'fuels and tailpipe emissions'!$A$10:$A$126,'vehicles specifications'!$F57,'fuels and tailpipe emissions'!$B$10:$B$126,'vehicles specifications'!CE$2)/1000*$AQ57</f>
        <v>1.5771954385865283E-8</v>
      </c>
      <c r="CF57" s="7">
        <f>SUMIFS('fuels and tailpipe emissions'!$F$10:$F$126,'fuels and tailpipe emissions'!$A$10:$A$126,'vehicles specifications'!$F57,'fuels and tailpipe emissions'!$B$10:$B$126,'vehicles specifications'!CF$2)/1000*$AQ57</f>
        <v>3.1543908771730556E-11</v>
      </c>
      <c r="CG57" s="7">
        <f>SUMIFS('fuels and tailpipe emissions'!$F$10:$F$126,'fuels and tailpipe emissions'!$A$10:$A$126,'vehicles specifications'!$F57,'fuels and tailpipe emissions'!$B$10:$B$126,'vehicles specifications'!CG$2)/1000*$AQ57</f>
        <v>8.5760001973142457E-9</v>
      </c>
      <c r="CH57" s="7">
        <f>SUMIFS('fuels and tailpipe emissions'!$F$10:$F$126,'fuels and tailpipe emissions'!$A$10:$A$126,'vehicles specifications'!$F57,'fuels and tailpipe emissions'!$B$10:$B$126,'vehicles specifications'!CH$2)/1000*$AQ57</f>
        <v>1.0646069210459064E-8</v>
      </c>
      <c r="CI57" s="7">
        <f>VLOOKUP(B57,'abrasion emissions'!$A$4:$D$32,4,FALSE)</f>
        <v>6.0000000000000002E-6</v>
      </c>
      <c r="CJ57" s="7">
        <f>VLOOKUP(B57,'abrasion emissions'!$A$4:$D$32,2,FALSE)</f>
        <v>7.3669999999999991E-6</v>
      </c>
      <c r="CK57" s="7">
        <f>VLOOKUP(B57,'abrasion emissions'!$A$4:$D$32,3,FALSE)</f>
        <v>8.3499999999999997E-6</v>
      </c>
    </row>
    <row r="58" spans="1:89" x14ac:dyDescent="0.3">
      <c r="A58" t="str">
        <f t="shared" ref="A58:A86" si="35">B58&amp;" - "&amp;D58&amp;" - "&amp;E58</f>
        <v>Motorbike, gasoline, 4-11kW, EURO-5 - 2050 - CH</v>
      </c>
      <c r="B58" t="s">
        <v>714</v>
      </c>
      <c r="D58">
        <v>2050</v>
      </c>
      <c r="E58" t="s">
        <v>37</v>
      </c>
      <c r="F58" t="s">
        <v>149</v>
      </c>
      <c r="G58" t="s">
        <v>39</v>
      </c>
      <c r="H58" t="s">
        <v>35</v>
      </c>
      <c r="J58" s="21">
        <v>39800</v>
      </c>
      <c r="K58" s="21">
        <v>2758</v>
      </c>
      <c r="L58" s="2">
        <f t="shared" ref="L58:L86" si="36">J58/K58</f>
        <v>14.430746918056563</v>
      </c>
      <c r="M58">
        <v>1.1000000000000001</v>
      </c>
      <c r="N58">
        <v>70</v>
      </c>
      <c r="O58">
        <v>6</v>
      </c>
      <c r="P58" s="2">
        <f t="shared" si="13"/>
        <v>114.41963794533542</v>
      </c>
      <c r="Q58" s="2">
        <f t="shared" ref="Q58:Q86" si="37">P58+(M58*N58)+O58</f>
        <v>197.41963794533541</v>
      </c>
      <c r="R58" s="21">
        <v>9</v>
      </c>
      <c r="S58" s="2">
        <v>65.433826960328489</v>
      </c>
      <c r="T58" s="1">
        <v>7.0000000000000007E-2</v>
      </c>
      <c r="U58" s="2">
        <f t="shared" si="32"/>
        <v>60.853459073105491</v>
      </c>
      <c r="V58" s="2">
        <f t="shared" si="34"/>
        <v>45.803678872229938</v>
      </c>
      <c r="W58" s="2">
        <v>0</v>
      </c>
      <c r="X58" s="3">
        <v>0</v>
      </c>
      <c r="Y58" s="1">
        <v>0.8</v>
      </c>
      <c r="Z58" s="3">
        <f t="shared" ref="Z58:Z86" si="38">Y58*X58</f>
        <v>0</v>
      </c>
      <c r="AA58" s="3">
        <v>0</v>
      </c>
      <c r="AB58" s="3">
        <v>0</v>
      </c>
      <c r="AC58" s="3">
        <f t="shared" ref="AC58:AC86" si="39">AB58+AA58</f>
        <v>0</v>
      </c>
      <c r="AD58" s="3">
        <v>0</v>
      </c>
      <c r="AE58" s="3">
        <v>9</v>
      </c>
      <c r="AF58">
        <f>AE58*'fuels and tailpipe emissions'!$B$3</f>
        <v>6.75</v>
      </c>
      <c r="AG58" s="2">
        <f>AF58*'fuels and tailpipe emissions'!$C$3</f>
        <v>79.5</v>
      </c>
      <c r="AH58" s="3">
        <f t="shared" si="33"/>
        <v>1.0125</v>
      </c>
      <c r="AI58" s="3">
        <v>0</v>
      </c>
      <c r="AJ58" s="3">
        <v>0</v>
      </c>
      <c r="AK58">
        <f t="shared" si="30"/>
        <v>1</v>
      </c>
      <c r="AL58">
        <f t="shared" si="15"/>
        <v>1.0601434557664512E-4</v>
      </c>
      <c r="AM58">
        <v>1.2899999999999999E-3</v>
      </c>
      <c r="AN58" s="2">
        <f t="shared" ref="AN58:AN86" si="40">U58</f>
        <v>60.853459073105491</v>
      </c>
      <c r="AO58" s="2">
        <f t="shared" ref="AO58:AO86" si="41">SUM(V58:W58)</f>
        <v>45.803678872229938</v>
      </c>
      <c r="AP58" s="2">
        <f t="shared" ref="AP58:AP86" si="42">AC58</f>
        <v>0</v>
      </c>
      <c r="AQ58" s="6">
        <v>0.97588967762541412</v>
      </c>
      <c r="AR58" s="6" t="str">
        <f>IF($H58="BEV",SUMPRODUCT(#REF!,#REF!),"")</f>
        <v/>
      </c>
      <c r="AS58" s="2">
        <f>SUM(Z58,AG58)/(SUM(AQ58:AR58)/3.6)</f>
        <v>293.27085485359044</v>
      </c>
      <c r="AT58" s="5">
        <f>IF($H58="ICEV-p",$AQ58/('fuels and tailpipe emissions'!$C$3*3.6)*'fuels and tailpipe emissions'!$D$3,"")</f>
        <v>7.3191725821906056E-2</v>
      </c>
      <c r="AU58" s="7">
        <f>IF($H58="ICEV-p",$AQ58/('fuels and tailpipe emissions'!$C$3*3.6)*'fuels and tailpipe emissions'!$E$3,"")</f>
        <v>3.682602557077034E-7</v>
      </c>
      <c r="AV58" s="7">
        <f>SUMIFS('fuels and tailpipe emissions'!$F$10:$F$126,'fuels and tailpipe emissions'!$A$10:$A$126,'vehicles specifications'!$F58,'fuels and tailpipe emissions'!$B$10:$B$126,'vehicles specifications'!AV$2)/1000*$AQ58</f>
        <v>2.9136673494751086E-6</v>
      </c>
      <c r="AW58" s="7">
        <f>SUMIFS('fuels and tailpipe emissions'!$F$10:$F$126,'fuels and tailpipe emissions'!$A$10:$A$126,'vehicles specifications'!$F58,'fuels and tailpipe emissions'!$B$10:$B$126,'vehicles specifications'!AW$2)/1000*$AQ58</f>
        <v>5.4088297792530884E-5</v>
      </c>
      <c r="AX58" s="7">
        <f>SUMIFS('fuels and tailpipe emissions'!$F$10:$F$126,'fuels and tailpipe emissions'!$A$10:$A$126,'vehicles specifications'!$F58,'fuels and tailpipe emissions'!$B$10:$B$126,'vehicles specifications'!AX$2)/1000*$AQ58</f>
        <v>6.912635407797733E-4</v>
      </c>
      <c r="AY58" s="7">
        <f>SUMIFS('fuels and tailpipe emissions'!$F$10:$F$126,'fuels and tailpipe emissions'!$A$10:$A$126,'vehicles specifications'!$F58,'fuels and tailpipe emissions'!$B$10:$B$126,'vehicles specifications'!AY$2)/1000*$AQ58</f>
        <v>1.9317249211618169E-6</v>
      </c>
      <c r="AZ58" s="7">
        <f>SUMIFS('fuels and tailpipe emissions'!$F$10:$F$126,'fuels and tailpipe emissions'!$A$10:$A$126,'vehicles specifications'!$F58,'fuels and tailpipe emissions'!$B$10:$B$126,'vehicles specifications'!AZ$2)/1000*$AQ58</f>
        <v>1.9317249211618169E-6</v>
      </c>
      <c r="BA58" s="7">
        <f>SUMIFS('fuels and tailpipe emissions'!$F$10:$F$126,'fuels and tailpipe emissions'!$A$10:$A$126,'vehicles specifications'!$F58,'fuels and tailpipe emissions'!$B$10:$B$126,'vehicles specifications'!BA$2)/1000*$AQ58</f>
        <v>1.7771526984353721E-5</v>
      </c>
      <c r="BB58" s="7">
        <f>SUMIFS('fuels and tailpipe emissions'!$F$10:$F$126,'fuels and tailpipe emissions'!$A$10:$A$126,'vehicles specifications'!$F58,'fuels and tailpipe emissions'!$B$10:$B$126,'vehicles specifications'!BB$2)/1000*$AQ58</f>
        <v>4.8293123029045427E-6</v>
      </c>
      <c r="BC58" s="7">
        <f>SUMIFS('fuels and tailpipe emissions'!$F$10:$F$126,'fuels and tailpipe emissions'!$A$10:$A$126,'vehicles specifications'!$F58,'fuels and tailpipe emissions'!$B$10:$B$126,'vehicles specifications'!BC$2)/1000*$AQ58</f>
        <v>2.3496312101649541E-5</v>
      </c>
      <c r="BD58" s="7">
        <f>SUMIFS('fuels and tailpipe emissions'!$F$10:$F$126,'fuels and tailpipe emissions'!$A$10:$A$126,'vehicles specifications'!$F58,'fuels and tailpipe emissions'!$B$10:$B$126,'vehicles specifications'!BD$2)/1000*$AQ58</f>
        <v>1.6567912379368265E-6</v>
      </c>
      <c r="BE58" s="7">
        <f>SUMIFS('fuels and tailpipe emissions'!$F$10:$F$126,'fuels and tailpipe emissions'!$A$10:$A$126,'vehicles specifications'!$F58,'fuels and tailpipe emissions'!$B$10:$B$126,'vehicles specifications'!BE$2)/1000*$AQ58</f>
        <v>3.3759069111565431E-7</v>
      </c>
      <c r="BF58" s="7">
        <f>SUMIFS('fuels and tailpipe emissions'!$F$10:$F$126,'fuels and tailpipe emissions'!$A$10:$A$126,'vehicles specifications'!$F58,'fuels and tailpipe emissions'!$B$10:$B$126,'vehicles specifications'!BF$2)/1000*$AQ58</f>
        <v>2.7215003406861984E-6</v>
      </c>
      <c r="BG58" s="7">
        <f>SUMIFS('fuels and tailpipe emissions'!$F$10:$F$126,'fuels and tailpipe emissions'!$A$10:$A$126,'vehicles specifications'!$F58,'fuels and tailpipe emissions'!$B$10:$B$126,'vehicles specifications'!BG$2)/1000*$AQ58</f>
        <v>1.1166461321517797E-6</v>
      </c>
      <c r="BH58" s="7">
        <f>SUMIFS('fuels and tailpipe emissions'!$F$10:$F$126,'fuels and tailpipe emissions'!$A$10:$A$126,'vehicles specifications'!$F58,'fuels and tailpipe emissions'!$B$10:$B$126,'vehicles specifications'!BH$2)/1000*$AQ58</f>
        <v>8.3618617337877467E-7</v>
      </c>
      <c r="BI58" s="7">
        <f>SUMIFS('fuels and tailpipe emissions'!$F$10:$F$126,'fuels and tailpipe emissions'!$A$10:$A$126,'vehicles specifications'!$F58,'fuels and tailpipe emissions'!$B$10:$B$126,'vehicles specifications'!BI$2)/1000*$AQ58</f>
        <v>5.9208213518745539E-7</v>
      </c>
      <c r="BJ58" s="7">
        <f>SUMIFS('fuels and tailpipe emissions'!$F$10:$F$126,'fuels and tailpipe emissions'!$A$10:$A$126,'vehicles specifications'!$F58,'fuels and tailpipe emissions'!$B$10:$B$126,'vehicles specifications'!BJ$2)/1000*$AQ58</f>
        <v>3.8433401757782191E-7</v>
      </c>
      <c r="BK58" s="7">
        <f>SUMIFS('fuels and tailpipe emissions'!$F$10:$F$126,'fuels and tailpipe emissions'!$A$10:$A$126,'vehicles specifications'!$F58,'fuels and tailpipe emissions'!$B$10:$B$126,'vehicles specifications'!BK$2)/1000*$AQ58</f>
        <v>3.7914031463758107E-6</v>
      </c>
      <c r="BL58" s="7">
        <f>SUMIFS('fuels and tailpipe emissions'!$F$10:$F$126,'fuels and tailpipe emissions'!$A$10:$A$126,'vehicles specifications'!$F58,'fuels and tailpipe emissions'!$B$10:$B$126,'vehicles specifications'!BL$2)/1000*$AQ58</f>
        <v>1.9839945231719991E-6</v>
      </c>
      <c r="BM58" s="7">
        <f>SUMIFS('fuels and tailpipe emissions'!$F$10:$F$126,'fuels and tailpipe emissions'!$A$10:$A$126,'vehicles specifications'!$F58,'fuels and tailpipe emissions'!$B$10:$B$126,'vehicles specifications'!BM$2)/1000*$AQ58</f>
        <v>5.7130732342649204E-8</v>
      </c>
      <c r="BN58" s="7">
        <f>SUMIFS('fuels and tailpipe emissions'!$F$10:$F$126,'fuels and tailpipe emissions'!$A$10:$A$126,'vehicles specifications'!$F58,'fuels and tailpipe emissions'!$B$10:$B$126,'vehicles specifications'!BN$2)/1000*$AQ58</f>
        <v>2.9136673494751086E-6</v>
      </c>
      <c r="BO58" s="7">
        <f>SUMIFS('fuels and tailpipe emissions'!$F$10:$F$126,'fuels and tailpipe emissions'!$A$10:$A$126,'vehicles specifications'!$F58,'fuels and tailpipe emissions'!$B$10:$B$126,'vehicles specifications'!BO$2)/1000*$AQ58</f>
        <v>5.7026858283844389E-6</v>
      </c>
      <c r="BP58" s="7">
        <f>SUMIFS('fuels and tailpipe emissions'!$F$10:$F$126,'fuels and tailpipe emissions'!$A$10:$A$126,'vehicles specifications'!$F58,'fuels and tailpipe emissions'!$B$10:$B$126,'vehicles specifications'!BP$2)/1000*$AQ58</f>
        <v>2.8201806965507743E-6</v>
      </c>
      <c r="BQ58" s="7">
        <f>SUMIFS('fuels and tailpipe emissions'!$F$10:$F$126,'fuels and tailpipe emissions'!$A$10:$A$126,'vehicles specifications'!$F58,'fuels and tailpipe emissions'!$B$10:$B$126,'vehicles specifications'!BQ$2)/1000*$AQ58</f>
        <v>1.173776864494429E-6</v>
      </c>
      <c r="BR58" s="7">
        <f>SUMIFS('fuels and tailpipe emissions'!$F$10:$F$126,'fuels and tailpipe emissions'!$A$10:$A$126,'vehicles specifications'!$F58,'fuels and tailpipe emissions'!$B$10:$B$126,'vehicles specifications'!BR$2)/1000*$AQ58</f>
        <v>8.8292949984094216E-7</v>
      </c>
      <c r="BS58" s="7">
        <f>SUMIFS('fuels and tailpipe emissions'!$F$10:$F$126,'fuels and tailpipe emissions'!$A$10:$A$126,'vehicles specifications'!$F58,'fuels and tailpipe emissions'!$B$10:$B$126,'vehicles specifications'!BS$2)/1000*$AQ58</f>
        <v>3.8952772051806267E-7</v>
      </c>
      <c r="BT58" s="7">
        <f>SUMIFS('fuels and tailpipe emissions'!$F$10:$F$126,'fuels and tailpipe emissions'!$A$10:$A$126,'vehicles specifications'!$F58,'fuels and tailpipe emissions'!$B$10:$B$126,'vehicles specifications'!BT$2)/1000*$AQ58</f>
        <v>1.1426146468529841E-7</v>
      </c>
      <c r="BU58" s="7">
        <f>SUMIFS('fuels and tailpipe emissions'!$F$10:$F$126,'fuels and tailpipe emissions'!$A$10:$A$126,'vehicles specifications'!$F58,'fuels and tailpipe emissions'!$B$10:$B$126,'vehicles specifications'!BU$2)/1000*$AQ58</f>
        <v>3.16815879354691E-7</v>
      </c>
      <c r="BV58" s="7">
        <f>SUMIFS('fuels and tailpipe emissions'!$F$10:$F$126,'fuels and tailpipe emissions'!$A$10:$A$126,'vehicles specifications'!$F58,'fuels and tailpipe emissions'!$B$10:$B$126,'vehicles specifications'!BV$2)/1000*$AQ58</f>
        <v>0</v>
      </c>
      <c r="BW58" s="7">
        <f>SUMIFS('fuels and tailpipe emissions'!$F$10:$F$126,'fuels and tailpipe emissions'!$A$10:$A$126,'vehicles specifications'!$F58,'fuels and tailpipe emissions'!$B$10:$B$126,'vehicles specifications'!BW$2)/1000*$AQ58</f>
        <v>9.8680355864575885E-8</v>
      </c>
      <c r="BX58" s="7">
        <f>SUMIFS('fuels and tailpipe emissions'!$F$10:$F$126,'fuels and tailpipe emissions'!$A$10:$A$126,'vehicles specifications'!$F58,'fuels and tailpipe emissions'!$B$10:$B$126,'vehicles specifications'!BX$2)/1000*$AQ58</f>
        <v>5.2456399696432443E-7</v>
      </c>
      <c r="BY58" s="7">
        <f>SUMIFS('fuels and tailpipe emissions'!$F$10:$F$126,'fuels and tailpipe emissions'!$A$10:$A$126,'vehicles specifications'!$F58,'fuels and tailpipe emissions'!$B$10:$B$126,'vehicles specifications'!BY$2)/1000*$AQ58</f>
        <v>3.3960960781364411E-8</v>
      </c>
      <c r="BZ58" s="7">
        <f>SUMIFS('fuels and tailpipe emissions'!$F$10:$F$126,'fuels and tailpipe emissions'!$A$10:$A$126,'vehicles specifications'!$F58,'fuels and tailpipe emissions'!$B$10:$B$126,'vehicles specifications'!BZ$2)/1000*$AQ58</f>
        <v>2.9276690328762423E-10</v>
      </c>
      <c r="CA58" s="7">
        <f>SUMIFS('fuels and tailpipe emissions'!$F$10:$F$126,'fuels and tailpipe emissions'!$A$10:$A$126,'vehicles specifications'!$F58,'fuels and tailpipe emissions'!$B$10:$B$126,'vehicles specifications'!CA$2)/1000*$AQ58</f>
        <v>1.9517793552508282E-10</v>
      </c>
      <c r="CB58" s="7">
        <f>SUMIFS('fuels and tailpipe emissions'!$F$10:$F$126,'fuels and tailpipe emissions'!$A$10:$A$126,'vehicles specifications'!$F58,'fuels and tailpipe emissions'!$B$10:$B$126,'vehicles specifications'!CB$2)/1000*$AQ58</f>
        <v>2.1079217036708944E-6</v>
      </c>
      <c r="CC58" s="7">
        <f>SUMIFS('fuels and tailpipe emissions'!$F$10:$F$126,'fuels and tailpipe emissions'!$A$10:$A$126,'vehicles specifications'!$F58,'fuels and tailpipe emissions'!$B$10:$B$126,'vehicles specifications'!CC$2)/1000*$AQ58</f>
        <v>4.0987366460267393E-8</v>
      </c>
      <c r="CD58" s="7">
        <f>SUMIFS('fuels and tailpipe emissions'!$F$10:$F$126,'fuels and tailpipe emissions'!$A$10:$A$126,'vehicles specifications'!$F58,'fuels and tailpipe emissions'!$B$10:$B$126,'vehicles specifications'!CD$2)/1000*$AQ58</f>
        <v>1.2686565809130383E-8</v>
      </c>
      <c r="CE58" s="7">
        <f>SUMIFS('fuels and tailpipe emissions'!$F$10:$F$126,'fuels and tailpipe emissions'!$A$10:$A$126,'vehicles specifications'!$F58,'fuels and tailpipe emissions'!$B$10:$B$126,'vehicles specifications'!CE$2)/1000*$AQ58</f>
        <v>1.5614234842006629E-8</v>
      </c>
      <c r="CF58" s="7">
        <f>SUMIFS('fuels and tailpipe emissions'!$F$10:$F$126,'fuels and tailpipe emissions'!$A$10:$A$126,'vehicles specifications'!$F58,'fuels and tailpipe emissions'!$B$10:$B$126,'vehicles specifications'!CF$2)/1000*$AQ58</f>
        <v>3.1228469684013252E-11</v>
      </c>
      <c r="CG58" s="7">
        <f>SUMIFS('fuels and tailpipe emissions'!$F$10:$F$126,'fuels and tailpipe emissions'!$A$10:$A$126,'vehicles specifications'!$F58,'fuels and tailpipe emissions'!$B$10:$B$126,'vehicles specifications'!CG$2)/1000*$AQ58</f>
        <v>8.4902401953411028E-9</v>
      </c>
      <c r="CH58" s="7">
        <f>SUMIFS('fuels and tailpipe emissions'!$F$10:$F$126,'fuels and tailpipe emissions'!$A$10:$A$126,'vehicles specifications'!$F58,'fuels and tailpipe emissions'!$B$10:$B$126,'vehicles specifications'!CH$2)/1000*$AQ58</f>
        <v>1.0539608518354472E-8</v>
      </c>
      <c r="CI58" s="7">
        <f>VLOOKUP(B58,'abrasion emissions'!$A$4:$D$32,4,FALSE)</f>
        <v>6.0000000000000002E-6</v>
      </c>
      <c r="CJ58" s="7">
        <f>VLOOKUP(B58,'abrasion emissions'!$A$4:$D$32,2,FALSE)</f>
        <v>7.3669999999999991E-6</v>
      </c>
      <c r="CK58" s="7">
        <f>VLOOKUP(B58,'abrasion emissions'!$A$4:$D$32,3,FALSE)</f>
        <v>8.3499999999999997E-6</v>
      </c>
    </row>
    <row r="59" spans="1:89" x14ac:dyDescent="0.3">
      <c r="A59" t="str">
        <f t="shared" si="35"/>
        <v>Motorbike, gasoline, 11-35kW, EURO-3 - 2006 - CH</v>
      </c>
      <c r="B59" t="s">
        <v>694</v>
      </c>
      <c r="D59">
        <v>2006</v>
      </c>
      <c r="E59" t="s">
        <v>37</v>
      </c>
      <c r="F59" t="s">
        <v>147</v>
      </c>
      <c r="G59" t="s">
        <v>39</v>
      </c>
      <c r="H59" t="s">
        <v>35</v>
      </c>
      <c r="J59" s="21">
        <v>62100</v>
      </c>
      <c r="K59">
        <v>4592</v>
      </c>
      <c r="L59" s="2">
        <f t="shared" si="36"/>
        <v>13.523519163763066</v>
      </c>
      <c r="M59">
        <v>1.1000000000000001</v>
      </c>
      <c r="N59">
        <v>70</v>
      </c>
      <c r="O59">
        <v>6</v>
      </c>
      <c r="P59" s="2">
        <f t="shared" si="13"/>
        <v>159.98750000000001</v>
      </c>
      <c r="Q59" s="2">
        <f t="shared" si="37"/>
        <v>242.98750000000001</v>
      </c>
      <c r="R59" s="21">
        <v>20</v>
      </c>
      <c r="S59" s="2">
        <v>81</v>
      </c>
      <c r="T59" s="1">
        <v>-0.05</v>
      </c>
      <c r="U59" s="2">
        <f t="shared" si="32"/>
        <v>85.05</v>
      </c>
      <c r="V59" s="2">
        <v>62</v>
      </c>
      <c r="W59" s="2">
        <v>0</v>
      </c>
      <c r="X59" s="3">
        <v>0</v>
      </c>
      <c r="Y59" s="1">
        <v>0.8</v>
      </c>
      <c r="Z59" s="3">
        <f t="shared" si="38"/>
        <v>0</v>
      </c>
      <c r="AA59" s="3">
        <v>0</v>
      </c>
      <c r="AB59" s="3">
        <v>0</v>
      </c>
      <c r="AC59" s="3">
        <f t="shared" si="39"/>
        <v>0</v>
      </c>
      <c r="AD59" s="3">
        <v>0</v>
      </c>
      <c r="AE59" s="3">
        <v>15</v>
      </c>
      <c r="AF59">
        <f>AE59*'fuels and tailpipe emissions'!$B$3</f>
        <v>11.25</v>
      </c>
      <c r="AG59" s="2">
        <f>AF59*'fuels and tailpipe emissions'!$C$3</f>
        <v>132.5</v>
      </c>
      <c r="AH59" s="3">
        <f t="shared" si="33"/>
        <v>1.6875</v>
      </c>
      <c r="AI59" s="3">
        <v>0</v>
      </c>
      <c r="AJ59" s="3">
        <v>0</v>
      </c>
      <c r="AK59">
        <f t="shared" si="30"/>
        <v>1.242</v>
      </c>
      <c r="AL59">
        <f t="shared" si="15"/>
        <v>1.3048428750000001E-4</v>
      </c>
      <c r="AM59">
        <v>1.2899999999999999E-3</v>
      </c>
      <c r="AN59" s="2">
        <f t="shared" si="40"/>
        <v>85.05</v>
      </c>
      <c r="AO59" s="2">
        <f t="shared" si="41"/>
        <v>62</v>
      </c>
      <c r="AP59" s="2">
        <f t="shared" si="42"/>
        <v>0</v>
      </c>
      <c r="AQ59" s="6">
        <v>1.4882481487614572</v>
      </c>
      <c r="AR59" s="6" t="str">
        <f>IF($H59="BEV",SUMPRODUCT(#REF!,#REF!),"")</f>
        <v/>
      </c>
      <c r="AS59" s="2">
        <f>SUM(Z59,AG59)/(SUM(AQ59:AR59)/3.6)</f>
        <v>320.51106557529852</v>
      </c>
      <c r="AT59" s="5">
        <f>IF($H59="ICEV-p",$AQ59/('fuels and tailpipe emissions'!$C$3*3.6)*'fuels and tailpipe emissions'!$D$3,"")</f>
        <v>0.1116186111571093</v>
      </c>
      <c r="AU59" s="7">
        <f>IF($H59="ICEV-p",$AQ59/('fuels and tailpipe emissions'!$C$3*3.6)*'fuels and tailpipe emissions'!$E$3,"")</f>
        <v>5.6160307500432345E-7</v>
      </c>
      <c r="AV59" s="7">
        <f>SUMIFS('fuels and tailpipe emissions'!$G$10:$G$126,'fuels and tailpipe emissions'!$A$10:$A$126,'vehicles specifications'!$F59,'fuels and tailpipe emissions'!$B$10:$B$126,'vehicles specifications'!AV$2)/1000*$AQ59</f>
        <v>5.4417962719780696E-6</v>
      </c>
      <c r="AW59" s="7">
        <f>SUMIFS('fuels and tailpipe emissions'!$G$10:$G$126,'fuels and tailpipe emissions'!$A$10:$A$126,'vehicles specifications'!$F59,'fuels and tailpipe emissions'!$B$10:$B$126,'vehicles specifications'!AW$2)/1000*$AQ59</f>
        <v>2.203769637337727E-5</v>
      </c>
      <c r="AX59" s="7">
        <f>SUMIFS('fuels and tailpipe emissions'!$G$10:$G$126,'fuels and tailpipe emissions'!$A$10:$A$126,'vehicles specifications'!$F59,'fuels and tailpipe emissions'!$B$10:$B$126,'vehicles specifications'!AX$2)/1000*$AQ59</f>
        <v>2.2122455045910314E-4</v>
      </c>
      <c r="AY59" s="7">
        <f>SUMIFS('fuels and tailpipe emissions'!$G$10:$G$126,'fuels and tailpipe emissions'!$A$10:$A$126,'vehicles specifications'!$F59,'fuels and tailpipe emissions'!$B$10:$B$126,'vehicles specifications'!AY$2)/1000*$AQ59</f>
        <v>6.627878608534517E-7</v>
      </c>
      <c r="AZ59" s="7">
        <f>SUMIFS('fuels and tailpipe emissions'!$G$10:$G$126,'fuels and tailpipe emissions'!$A$10:$A$126,'vehicles specifications'!$F59,'fuels and tailpipe emissions'!$B$10:$B$126,'vehicles specifications'!AZ$2)/1000*$AQ59</f>
        <v>6.627878608534517E-7</v>
      </c>
      <c r="BA59" s="7">
        <f>SUMIFS('fuels and tailpipe emissions'!$G$10:$G$126,'fuels and tailpipe emissions'!$A$10:$A$126,'vehicles specifications'!$F59,'fuels and tailpipe emissions'!$B$10:$B$126,'vehicles specifications'!BA$2)/1000*$AQ59</f>
        <v>2.6220817193601416E-5</v>
      </c>
      <c r="BB59" s="7">
        <f>SUMIFS('fuels and tailpipe emissions'!$G$10:$G$126,'fuels and tailpipe emissions'!$A$10:$A$126,'vehicles specifications'!$F59,'fuels and tailpipe emissions'!$B$10:$B$126,'vehicles specifications'!BB$2)/1000*$AQ59</f>
        <v>1.6569696521336294E-6</v>
      </c>
      <c r="BC59" s="7">
        <f>SUMIFS('fuels and tailpipe emissions'!$G$10:$G$126,'fuels and tailpipe emissions'!$A$10:$A$126,'vehicles specifications'!$F59,'fuels and tailpipe emissions'!$B$10:$B$126,'vehicles specifications'!BC$2)/1000*$AQ59</f>
        <v>4.3883576353705504E-5</v>
      </c>
      <c r="BD59" s="7">
        <f>SUMIFS('fuels and tailpipe emissions'!$G$10:$G$126,'fuels and tailpipe emissions'!$A$10:$A$126,'vehicles specifications'!$F59,'fuels and tailpipe emissions'!$B$10:$B$126,'vehicles specifications'!BD$2)/1000*$AQ59</f>
        <v>3.09435474288949E-6</v>
      </c>
      <c r="BE59" s="7">
        <f>SUMIFS('fuels and tailpipe emissions'!$G$10:$G$126,'fuels and tailpipe emissions'!$A$10:$A$126,'vehicles specifications'!$F59,'fuels and tailpipe emissions'!$B$10:$B$126,'vehicles specifications'!BE$2)/1000*$AQ59</f>
        <v>6.3051115450726299E-7</v>
      </c>
      <c r="BF59" s="7">
        <f>SUMIFS('fuels and tailpipe emissions'!$G$10:$G$126,'fuels and tailpipe emissions'!$A$10:$A$126,'vehicles specifications'!$F59,'fuels and tailpipe emissions'!$B$10:$B$126,'vehicles specifications'!BF$2)/1000*$AQ59</f>
        <v>5.0828899224893196E-6</v>
      </c>
      <c r="BG59" s="7">
        <f>SUMIFS('fuels and tailpipe emissions'!$G$10:$G$126,'fuels and tailpipe emissions'!$A$10:$A$126,'vehicles specifications'!$F59,'fuels and tailpipe emissions'!$B$10:$B$126,'vehicles specifications'!BG$2)/1000*$AQ59</f>
        <v>2.0855368956778698E-6</v>
      </c>
      <c r="BH59" s="7">
        <f>SUMIFS('fuels and tailpipe emissions'!$G$10:$G$126,'fuels and tailpipe emissions'!$A$10:$A$126,'vehicles specifications'!$F59,'fuels and tailpipe emissions'!$B$10:$B$126,'vehicles specifications'!BH$2)/1000*$AQ59</f>
        <v>1.5617276288564514E-6</v>
      </c>
      <c r="BI59" s="7">
        <f>SUMIFS('fuels and tailpipe emissions'!$G$10:$G$126,'fuels and tailpipe emissions'!$A$10:$A$126,'vehicles specifications'!$F59,'fuels and tailpipe emissions'!$B$10:$B$126,'vehicles specifications'!BI$2)/1000*$AQ59</f>
        <v>1.1058195632896611E-6</v>
      </c>
      <c r="BJ59" s="7">
        <f>SUMIFS('fuels and tailpipe emissions'!$G$10:$G$126,'fuels and tailpipe emissions'!$A$10:$A$126,'vehicles specifications'!$F59,'fuels and tailpipe emissions'!$B$10:$B$126,'vehicles specifications'!BJ$2)/1000*$AQ59</f>
        <v>7.1781269897749935E-7</v>
      </c>
      <c r="BK59" s="7">
        <f>SUMIFS('fuels and tailpipe emissions'!$G$10:$G$126,'fuels and tailpipe emissions'!$A$10:$A$126,'vehicles specifications'!$F59,'fuels and tailpipe emissions'!$B$10:$B$126,'vehicles specifications'!BK$2)/1000*$AQ59</f>
        <v>7.0811252736969535E-6</v>
      </c>
      <c r="BL59" s="7">
        <f>SUMIFS('fuels and tailpipe emissions'!$G$10:$G$126,'fuels and tailpipe emissions'!$A$10:$A$126,'vehicles specifications'!$F59,'fuels and tailpipe emissions'!$B$10:$B$126,'vehicles specifications'!BL$2)/1000*$AQ59</f>
        <v>3.7054655541811453E-6</v>
      </c>
      <c r="BM59" s="7">
        <f>SUMIFS('fuels and tailpipe emissions'!$G$10:$G$126,'fuels and tailpipe emissions'!$A$10:$A$126,'vehicles specifications'!$F59,'fuels and tailpipe emissions'!$B$10:$B$126,'vehicles specifications'!BM$2)/1000*$AQ59</f>
        <v>1.0670188768584451E-7</v>
      </c>
      <c r="BN59" s="7">
        <f>SUMIFS('fuels and tailpipe emissions'!$G$10:$G$126,'fuels and tailpipe emissions'!$A$10:$A$126,'vehicles specifications'!$F59,'fuels and tailpipe emissions'!$B$10:$B$126,'vehicles specifications'!BN$2)/1000*$AQ59</f>
        <v>5.4417962719780696E-6</v>
      </c>
      <c r="BO59" s="7">
        <f>SUMIFS('fuels and tailpipe emissions'!$G$10:$G$126,'fuels and tailpipe emissions'!$A$10:$A$126,'vehicles specifications'!$F59,'fuels and tailpipe emissions'!$B$10:$B$126,'vehicles specifications'!BO$2)/1000*$AQ59</f>
        <v>1.0650788425368842E-5</v>
      </c>
      <c r="BP59" s="7">
        <f>SUMIFS('fuels and tailpipe emissions'!$G$10:$G$126,'fuels and tailpipe emissions'!$A$10:$A$126,'vehicles specifications'!$F59,'fuels and tailpipe emissions'!$B$10:$B$126,'vehicles specifications'!BP$2)/1000*$AQ59</f>
        <v>5.2671931830375969E-6</v>
      </c>
      <c r="BQ59" s="7">
        <f>SUMIFS('fuels and tailpipe emissions'!$G$10:$G$126,'fuels and tailpipe emissions'!$A$10:$A$126,'vehicles specifications'!$F59,'fuels and tailpipe emissions'!$B$10:$B$126,'vehicles specifications'!BQ$2)/1000*$AQ59</f>
        <v>2.192238783363714E-6</v>
      </c>
      <c r="BR59" s="7">
        <f>SUMIFS('fuels and tailpipe emissions'!$G$10:$G$126,'fuels and tailpipe emissions'!$A$10:$A$126,'vehicles specifications'!$F59,'fuels and tailpipe emissions'!$B$10:$B$126,'vehicles specifications'!BR$2)/1000*$AQ59</f>
        <v>1.649029173326688E-6</v>
      </c>
      <c r="BS59" s="7">
        <f>SUMIFS('fuels and tailpipe emissions'!$G$10:$G$126,'fuels and tailpipe emissions'!$A$10:$A$126,'vehicles specifications'!$F59,'fuels and tailpipe emissions'!$B$10:$B$126,'vehicles specifications'!BS$2)/1000*$AQ59</f>
        <v>7.2751287058530338E-7</v>
      </c>
      <c r="BT59" s="7">
        <f>SUMIFS('fuels and tailpipe emissions'!$G$10:$G$126,'fuels and tailpipe emissions'!$A$10:$A$126,'vehicles specifications'!$F59,'fuels and tailpipe emissions'!$B$10:$B$126,'vehicles specifications'!BT$2)/1000*$AQ59</f>
        <v>2.1340377537168902E-7</v>
      </c>
      <c r="BU59" s="7">
        <f>SUMIFS('fuels and tailpipe emissions'!$G$10:$G$126,'fuels and tailpipe emissions'!$A$10:$A$126,'vehicles specifications'!$F59,'fuels and tailpipe emissions'!$B$10:$B$126,'vehicles specifications'!BU$2)/1000*$AQ59</f>
        <v>5.9171046807604678E-7</v>
      </c>
      <c r="BV59" s="7">
        <f>SUMIFS('fuels and tailpipe emissions'!$G$10:$G$126,'fuels and tailpipe emissions'!$A$10:$A$126,'vehicles specifications'!$F59,'fuels and tailpipe emissions'!$B$10:$B$126,'vehicles specifications'!BV$2)/1000*$AQ59</f>
        <v>4.8500858039020227E-8</v>
      </c>
      <c r="BW59" s="7">
        <f>SUMIFS('fuels and tailpipe emissions'!$G$10:$G$126,'fuels and tailpipe emissions'!$A$10:$A$126,'vehicles specifications'!$F59,'fuels and tailpipe emissions'!$B$10:$B$126,'vehicles specifications'!BW$2)/1000*$AQ59</f>
        <v>1.8430326054827685E-7</v>
      </c>
      <c r="BX59" s="7">
        <f>SUMIFS('fuels and tailpipe emissions'!$G$10:$G$126,'fuels and tailpipe emissions'!$A$10:$A$126,'vehicles specifications'!$F59,'fuels and tailpipe emissions'!$B$10:$B$126,'vehicles specifications'!BX$2)/1000*$AQ59</f>
        <v>9.7971733238820843E-7</v>
      </c>
      <c r="BY59" s="7">
        <f>SUMIFS('fuels and tailpipe emissions'!$G$10:$G$126,'fuels and tailpipe emissions'!$A$10:$A$126,'vehicles specifications'!$F59,'fuels and tailpipe emissions'!$B$10:$B$126,'vehicles specifications'!BY$2)/1000*$AQ59</f>
        <v>5.1791035576898713E-8</v>
      </c>
      <c r="BZ59" s="7">
        <f>SUMIFS('fuels and tailpipe emissions'!$G$10:$G$126,'fuels and tailpipe emissions'!$A$10:$A$126,'vehicles specifications'!$F59,'fuels and tailpipe emissions'!$B$10:$B$126,'vehicles specifications'!BZ$2)/1000*$AQ59</f>
        <v>4.4647444462843715E-10</v>
      </c>
      <c r="CA59" s="7">
        <f>SUMIFS('fuels and tailpipe emissions'!$G$10:$G$126,'fuels and tailpipe emissions'!$A$10:$A$126,'vehicles specifications'!$F59,'fuels and tailpipe emissions'!$B$10:$B$126,'vehicles specifications'!CA$2)/1000*$AQ59</f>
        <v>2.9764962975229147E-10</v>
      </c>
      <c r="CB59" s="7">
        <f>SUMIFS('fuels and tailpipe emissions'!$G$10:$G$126,'fuels and tailpipe emissions'!$A$10:$A$126,'vehicles specifications'!$F59,'fuels and tailpipe emissions'!$B$10:$B$126,'vehicles specifications'!CB$2)/1000*$AQ59</f>
        <v>3.2146160013247478E-6</v>
      </c>
      <c r="CC59" s="7">
        <f>SUMIFS('fuels and tailpipe emissions'!$G$10:$G$126,'fuels and tailpipe emissions'!$A$10:$A$126,'vehicles specifications'!$F59,'fuels and tailpipe emissions'!$B$10:$B$126,'vehicles specifications'!CC$2)/1000*$AQ59</f>
        <v>6.2506422247981203E-8</v>
      </c>
      <c r="CD59" s="7">
        <f>SUMIFS('fuels and tailpipe emissions'!$G$10:$G$126,'fuels and tailpipe emissions'!$A$10:$A$126,'vehicles specifications'!$F59,'fuels and tailpipe emissions'!$B$10:$B$126,'vehicles specifications'!CD$2)/1000*$AQ59</f>
        <v>1.9347225933898945E-8</v>
      </c>
      <c r="CE59" s="7">
        <f>SUMIFS('fuels and tailpipe emissions'!$G$10:$G$126,'fuels and tailpipe emissions'!$A$10:$A$126,'vehicles specifications'!$F59,'fuels and tailpipe emissions'!$B$10:$B$126,'vehicles specifications'!CE$2)/1000*$AQ59</f>
        <v>2.3811970380183322E-8</v>
      </c>
      <c r="CF59" s="7">
        <f>SUMIFS('fuels and tailpipe emissions'!$G$10:$G$126,'fuels and tailpipe emissions'!$A$10:$A$126,'vehicles specifications'!$F59,'fuels and tailpipe emissions'!$B$10:$B$126,'vehicles specifications'!CF$2)/1000*$AQ59</f>
        <v>4.7623940760366629E-11</v>
      </c>
      <c r="CG59" s="7">
        <f>SUMIFS('fuels and tailpipe emissions'!$G$10:$G$126,'fuels and tailpipe emissions'!$A$10:$A$126,'vehicles specifications'!$F59,'fuels and tailpipe emissions'!$B$10:$B$126,'vehicles specifications'!CG$2)/1000*$AQ59</f>
        <v>1.2947758894224678E-8</v>
      </c>
      <c r="CH59" s="7">
        <f>SUMIFS('fuels and tailpipe emissions'!$G$10:$G$126,'fuels and tailpipe emissions'!$A$10:$A$126,'vehicles specifications'!$F59,'fuels and tailpipe emissions'!$B$10:$B$126,'vehicles specifications'!CH$2)/1000*$AQ59</f>
        <v>1.6073080006623738E-8</v>
      </c>
      <c r="CI59" s="7">
        <f>VLOOKUP(B59,'abrasion emissions'!$A$4:$D$32,4,FALSE)</f>
        <v>6.0000000000000002E-6</v>
      </c>
      <c r="CJ59" s="7">
        <f>VLOOKUP(B59,'abrasion emissions'!$A$4:$D$32,2,FALSE)</f>
        <v>7.3669999999999991E-6</v>
      </c>
      <c r="CK59" s="7">
        <f>VLOOKUP(B59,'abrasion emissions'!$A$4:$D$32,3,FALSE)</f>
        <v>8.3499999999999997E-6</v>
      </c>
    </row>
    <row r="60" spans="1:89" x14ac:dyDescent="0.3">
      <c r="A60" t="str">
        <f t="shared" si="35"/>
        <v>Motorbike, gasoline, 11-35kW, EURO-4 - 2016 - CH</v>
      </c>
      <c r="B60" t="s">
        <v>695</v>
      </c>
      <c r="D60">
        <v>2016</v>
      </c>
      <c r="E60" t="s">
        <v>37</v>
      </c>
      <c r="F60" t="s">
        <v>148</v>
      </c>
      <c r="G60" t="s">
        <v>39</v>
      </c>
      <c r="H60" t="s">
        <v>35</v>
      </c>
      <c r="J60" s="21">
        <v>62100</v>
      </c>
      <c r="K60" s="21">
        <v>4592</v>
      </c>
      <c r="L60" s="2">
        <f t="shared" si="36"/>
        <v>13.523519163763066</v>
      </c>
      <c r="M60">
        <v>1.1000000000000001</v>
      </c>
      <c r="N60">
        <v>70</v>
      </c>
      <c r="O60">
        <v>6</v>
      </c>
      <c r="P60" s="2">
        <f t="shared" si="13"/>
        <v>157.5575</v>
      </c>
      <c r="Q60" s="2">
        <f t="shared" si="37"/>
        <v>240.5575</v>
      </c>
      <c r="R60" s="21">
        <v>20</v>
      </c>
      <c r="S60" s="2">
        <v>81</v>
      </c>
      <c r="T60" s="1">
        <v>-0.02</v>
      </c>
      <c r="U60" s="2">
        <f t="shared" si="32"/>
        <v>82.62</v>
      </c>
      <c r="V60" s="2">
        <v>62</v>
      </c>
      <c r="W60" s="2">
        <v>0</v>
      </c>
      <c r="X60" s="3">
        <v>0</v>
      </c>
      <c r="Y60" s="1">
        <v>0.8</v>
      </c>
      <c r="Z60" s="3">
        <f t="shared" si="38"/>
        <v>0</v>
      </c>
      <c r="AA60" s="3">
        <v>0</v>
      </c>
      <c r="AB60" s="3">
        <v>0</v>
      </c>
      <c r="AC60" s="3">
        <f t="shared" si="39"/>
        <v>0</v>
      </c>
      <c r="AD60" s="3">
        <v>0</v>
      </c>
      <c r="AE60" s="3">
        <v>15</v>
      </c>
      <c r="AF60">
        <f>AE60*'fuels and tailpipe emissions'!$B$3</f>
        <v>11.25</v>
      </c>
      <c r="AG60" s="2">
        <f>AF60*'fuels and tailpipe emissions'!$C$3</f>
        <v>132.5</v>
      </c>
      <c r="AH60" s="3">
        <f t="shared" si="33"/>
        <v>1.6875</v>
      </c>
      <c r="AI60" s="3">
        <v>0</v>
      </c>
      <c r="AJ60" s="3">
        <v>0</v>
      </c>
      <c r="AK60">
        <f t="shared" si="30"/>
        <v>1.242</v>
      </c>
      <c r="AL60">
        <f t="shared" si="15"/>
        <v>1.291793775E-4</v>
      </c>
      <c r="AM60">
        <v>1.2899999999999999E-3</v>
      </c>
      <c r="AN60" s="2">
        <f t="shared" si="40"/>
        <v>82.62</v>
      </c>
      <c r="AO60" s="2">
        <f t="shared" si="41"/>
        <v>62</v>
      </c>
      <c r="AP60" s="2">
        <f t="shared" si="42"/>
        <v>0</v>
      </c>
      <c r="AQ60" s="6">
        <v>1.4735130185757002</v>
      </c>
      <c r="AR60" s="6" t="str">
        <f>IF($H60="BEV",SUMPRODUCT(#REF!,#REF!),"")</f>
        <v/>
      </c>
      <c r="AS60" s="2">
        <f>SUM(Z60,AG60)/(SUM(AQ60:AR60)/3.6)</f>
        <v>323.71617623105146</v>
      </c>
      <c r="AT60" s="5">
        <f>IF($H60="ICEV-p",$AQ60/('fuels and tailpipe emissions'!$C$3*3.6)*'fuels and tailpipe emissions'!$D$3,"")</f>
        <v>0.11051347639317753</v>
      </c>
      <c r="AU60" s="7">
        <f>IF($H60="ICEV-p",$AQ60/('fuels and tailpipe emissions'!$C$3*3.6)*'fuels and tailpipe emissions'!$E$3,"")</f>
        <v>5.5604264851913217E-7</v>
      </c>
      <c r="AV60" s="7">
        <f>SUMIFS('fuels and tailpipe emissions'!$G$10:$G$126,'fuels and tailpipe emissions'!$A$10:$A$126,'vehicles specifications'!$F60,'fuels and tailpipe emissions'!$B$10:$B$126,'vehicles specifications'!AV$2)/1000*$AQ60</f>
        <v>1.9073617591137917E-6</v>
      </c>
      <c r="AW60" s="7">
        <f>SUMIFS('fuels and tailpipe emissions'!$G$10:$G$126,'fuels and tailpipe emissions'!$A$10:$A$126,'vehicles specifications'!$F60,'fuels and tailpipe emissions'!$B$10:$B$126,'vehicles specifications'!AW$2)/1000*$AQ60</f>
        <v>2.7697735778460602E-5</v>
      </c>
      <c r="AX60" s="7">
        <f>SUMIFS('fuels and tailpipe emissions'!$G$10:$G$126,'fuels and tailpipe emissions'!$A$10:$A$126,'vehicles specifications'!$F60,'fuels and tailpipe emissions'!$B$10:$B$126,'vehicles specifications'!AX$2)/1000*$AQ60</f>
        <v>1.4020599038117664E-4</v>
      </c>
      <c r="AY60" s="7">
        <f>SUMIFS('fuels and tailpipe emissions'!$G$10:$G$126,'fuels and tailpipe emissions'!$A$10:$A$126,'vehicles specifications'!$F60,'fuels and tailpipe emissions'!$B$10:$B$126,'vehicles specifications'!AY$2)/1000*$AQ60</f>
        <v>8.3301460987851437E-7</v>
      </c>
      <c r="AZ60" s="7">
        <f>SUMIFS('fuels and tailpipe emissions'!$G$10:$G$126,'fuels and tailpipe emissions'!$A$10:$A$126,'vehicles specifications'!$F60,'fuels and tailpipe emissions'!$B$10:$B$126,'vehicles specifications'!AZ$2)/1000*$AQ60</f>
        <v>8.3301460987851437E-7</v>
      </c>
      <c r="BA60" s="7">
        <f>SUMIFS('fuels and tailpipe emissions'!$G$10:$G$126,'fuels and tailpipe emissions'!$A$10:$A$126,'vehicles specifications'!$F60,'fuels and tailpipe emissions'!$B$10:$B$126,'vehicles specifications'!BA$2)/1000*$AQ60</f>
        <v>1.3603299444488674E-5</v>
      </c>
      <c r="BB60" s="7">
        <f>SUMIFS('fuels and tailpipe emissions'!$G$10:$G$126,'fuels and tailpipe emissions'!$A$10:$A$126,'vehicles specifications'!$F60,'fuels and tailpipe emissions'!$B$10:$B$126,'vehicles specifications'!BB$2)/1000*$AQ60</f>
        <v>2.082536524696286E-6</v>
      </c>
      <c r="BC60" s="7">
        <f>SUMIFS('fuels and tailpipe emissions'!$G$10:$G$126,'fuels and tailpipe emissions'!$A$10:$A$126,'vehicles specifications'!$F60,'fuels and tailpipe emissions'!$B$10:$B$126,'vehicles specifications'!BC$2)/1000*$AQ60</f>
        <v>1.5381291618949722E-5</v>
      </c>
      <c r="BD60" s="7">
        <f>SUMIFS('fuels and tailpipe emissions'!$G$10:$G$126,'fuels and tailpipe emissions'!$A$10:$A$126,'vehicles specifications'!$F60,'fuels and tailpipe emissions'!$B$10:$B$126,'vehicles specifications'!BD$2)/1000*$AQ60</f>
        <v>1.084578255182352E-6</v>
      </c>
      <c r="BE60" s="7">
        <f>SUMIFS('fuels and tailpipe emissions'!$G$10:$G$126,'fuels and tailpipe emissions'!$A$10:$A$126,'vehicles specifications'!$F60,'fuels and tailpipe emissions'!$B$10:$B$126,'vehicles specifications'!BE$2)/1000*$AQ60</f>
        <v>2.2099556923778335E-7</v>
      </c>
      <c r="BF60" s="7">
        <f>SUMIFS('fuels and tailpipe emissions'!$G$10:$G$126,'fuels and tailpipe emissions'!$A$10:$A$126,'vehicles specifications'!$F60,'fuels and tailpipe emissions'!$B$10:$B$126,'vehicles specifications'!BF$2)/1000*$AQ60</f>
        <v>1.7815642812399767E-6</v>
      </c>
      <c r="BG60" s="7">
        <f>SUMIFS('fuels and tailpipe emissions'!$G$10:$G$126,'fuels and tailpipe emissions'!$A$10:$A$126,'vehicles specifications'!$F60,'fuels and tailpipe emissions'!$B$10:$B$126,'vehicles specifications'!BG$2)/1000*$AQ60</f>
        <v>7.3098534440189867E-7</v>
      </c>
      <c r="BH60" s="7">
        <f>SUMIFS('fuels and tailpipe emissions'!$G$10:$G$126,'fuels and tailpipe emissions'!$A$10:$A$126,'vehicles specifications'!$F60,'fuels and tailpipe emissions'!$B$10:$B$126,'vehicles specifications'!BH$2)/1000*$AQ60</f>
        <v>5.4738902534281725E-7</v>
      </c>
      <c r="BI60" s="7">
        <f>SUMIFS('fuels and tailpipe emissions'!$G$10:$G$126,'fuels and tailpipe emissions'!$A$10:$A$126,'vehicles specifications'!$F60,'fuels and tailpipe emissions'!$B$10:$B$126,'vehicles specifications'!BI$2)/1000*$AQ60</f>
        <v>3.875922291247277E-7</v>
      </c>
      <c r="BJ60" s="7">
        <f>SUMIFS('fuels and tailpipe emissions'!$G$10:$G$126,'fuels and tailpipe emissions'!$A$10:$A$126,'vehicles specifications'!$F60,'fuels and tailpipe emissions'!$B$10:$B$126,'vehicles specifications'!BJ$2)/1000*$AQ60</f>
        <v>2.5159495574763026E-7</v>
      </c>
      <c r="BK60" s="7">
        <f>SUMIFS('fuels and tailpipe emissions'!$G$10:$G$126,'fuels and tailpipe emissions'!$A$10:$A$126,'vehicles specifications'!$F60,'fuels and tailpipe emissions'!$B$10:$B$126,'vehicles specifications'!BK$2)/1000*$AQ60</f>
        <v>2.481950239132028E-6</v>
      </c>
      <c r="BL60" s="7">
        <f>SUMIFS('fuels and tailpipe emissions'!$G$10:$G$126,'fuels and tailpipe emissions'!$A$10:$A$126,'vehicles specifications'!$F60,'fuels and tailpipe emissions'!$B$10:$B$126,'vehicles specifications'!BL$2)/1000*$AQ60</f>
        <v>1.2987739607512805E-6</v>
      </c>
      <c r="BM60" s="7">
        <f>SUMIFS('fuels and tailpipe emissions'!$G$10:$G$126,'fuels and tailpipe emissions'!$A$10:$A$126,'vehicles specifications'!$F60,'fuels and tailpipe emissions'!$B$10:$B$126,'vehicles specifications'!BM$2)/1000*$AQ60</f>
        <v>3.73992501787018E-8</v>
      </c>
      <c r="BN60" s="7">
        <f>SUMIFS('fuels and tailpipe emissions'!$G$10:$G$126,'fuels and tailpipe emissions'!$A$10:$A$126,'vehicles specifications'!$F60,'fuels and tailpipe emissions'!$B$10:$B$126,'vehicles specifications'!BN$2)/1000*$AQ60</f>
        <v>1.9073617591137917E-6</v>
      </c>
      <c r="BO60" s="7">
        <f>SUMIFS('fuels and tailpipe emissions'!$G$10:$G$126,'fuels and tailpipe emissions'!$A$10:$A$126,'vehicles specifications'!$F60,'fuels and tailpipe emissions'!$B$10:$B$126,'vehicles specifications'!BO$2)/1000*$AQ60</f>
        <v>3.7331251542013252E-6</v>
      </c>
      <c r="BP60" s="7">
        <f>SUMIFS('fuels and tailpipe emissions'!$G$10:$G$126,'fuels and tailpipe emissions'!$A$10:$A$126,'vehicles specifications'!$F60,'fuels and tailpipe emissions'!$B$10:$B$126,'vehicles specifications'!BP$2)/1000*$AQ60</f>
        <v>1.8461629860940981E-6</v>
      </c>
      <c r="BQ60" s="7">
        <f>SUMIFS('fuels and tailpipe emissions'!$G$10:$G$126,'fuels and tailpipe emissions'!$A$10:$A$126,'vehicles specifications'!$F60,'fuels and tailpipe emissions'!$B$10:$B$126,'vehicles specifications'!BQ$2)/1000*$AQ60</f>
        <v>7.6838459458060058E-7</v>
      </c>
      <c r="BR60" s="7">
        <f>SUMIFS('fuels and tailpipe emissions'!$G$10:$G$126,'fuels and tailpipe emissions'!$A$10:$A$126,'vehicles specifications'!$F60,'fuels and tailpipe emissions'!$B$10:$B$126,'vehicles specifications'!BR$2)/1000*$AQ60</f>
        <v>5.7798841185266424E-7</v>
      </c>
      <c r="BS60" s="7">
        <f>SUMIFS('fuels and tailpipe emissions'!$G$10:$G$126,'fuels and tailpipe emissions'!$A$10:$A$126,'vehicles specifications'!$F60,'fuels and tailpipe emissions'!$B$10:$B$126,'vehicles specifications'!BS$2)/1000*$AQ60</f>
        <v>2.5499488758205772E-7</v>
      </c>
      <c r="BT60" s="7">
        <f>SUMIFS('fuels and tailpipe emissions'!$G$10:$G$126,'fuels and tailpipe emissions'!$A$10:$A$126,'vehicles specifications'!$F60,'fuels and tailpipe emissions'!$B$10:$B$126,'vehicles specifications'!BT$2)/1000*$AQ60</f>
        <v>7.47985003574036E-8</v>
      </c>
      <c r="BU60" s="7">
        <f>SUMIFS('fuels and tailpipe emissions'!$G$10:$G$126,'fuels and tailpipe emissions'!$A$10:$A$126,'vehicles specifications'!$F60,'fuels and tailpipe emissions'!$B$10:$B$126,'vehicles specifications'!BU$2)/1000*$AQ60</f>
        <v>2.0739584190007364E-7</v>
      </c>
      <c r="BV60" s="7">
        <f>SUMIFS('fuels and tailpipe emissions'!$G$10:$G$126,'fuels and tailpipe emissions'!$A$10:$A$126,'vehicles specifications'!$F60,'fuels and tailpipe emissions'!$B$10:$B$126,'vehicles specifications'!BV$2)/1000*$AQ60</f>
        <v>0</v>
      </c>
      <c r="BW60" s="7">
        <f>SUMIFS('fuels and tailpipe emissions'!$G$10:$G$126,'fuels and tailpipe emissions'!$A$10:$A$126,'vehicles specifications'!$F60,'fuels and tailpipe emissions'!$B$10:$B$126,'vehicles specifications'!BW$2)/1000*$AQ60</f>
        <v>6.4598704854121283E-8</v>
      </c>
      <c r="BX60" s="7">
        <f>SUMIFS('fuels and tailpipe emissions'!$G$10:$G$126,'fuels and tailpipe emissions'!$A$10:$A$126,'vehicles specifications'!$F60,'fuels and tailpipe emissions'!$B$10:$B$126,'vehicles specifications'!BX$2)/1000*$AQ60</f>
        <v>3.4339311527717102E-7</v>
      </c>
      <c r="BY60" s="7">
        <f>SUMIFS('fuels and tailpipe emissions'!$G$10:$G$126,'fuels and tailpipe emissions'!$A$10:$A$126,'vehicles specifications'!$F60,'fuels and tailpipe emissions'!$B$10:$B$126,'vehicles specifications'!BY$2)/1000*$AQ60</f>
        <v>5.1278253046434368E-8</v>
      </c>
      <c r="BZ60" s="7">
        <f>SUMIFS('fuels and tailpipe emissions'!$G$10:$G$126,'fuels and tailpipe emissions'!$A$10:$A$126,'vehicles specifications'!$F60,'fuels and tailpipe emissions'!$B$10:$B$126,'vehicles specifications'!BZ$2)/1000*$AQ60</f>
        <v>4.4205390557271004E-10</v>
      </c>
      <c r="CA60" s="7">
        <f>SUMIFS('fuels and tailpipe emissions'!$G$10:$G$126,'fuels and tailpipe emissions'!$A$10:$A$126,'vehicles specifications'!$F60,'fuels and tailpipe emissions'!$B$10:$B$126,'vehicles specifications'!CA$2)/1000*$AQ60</f>
        <v>2.9470260371514004E-10</v>
      </c>
      <c r="CB60" s="7">
        <f>SUMIFS('fuels and tailpipe emissions'!$G$10:$G$126,'fuels and tailpipe emissions'!$A$10:$A$126,'vehicles specifications'!$F60,'fuels and tailpipe emissions'!$B$10:$B$126,'vehicles specifications'!CB$2)/1000*$AQ60</f>
        <v>3.1827881201235126E-6</v>
      </c>
      <c r="CC60" s="7">
        <f>SUMIFS('fuels and tailpipe emissions'!$G$10:$G$126,'fuels and tailpipe emissions'!$A$10:$A$126,'vehicles specifications'!$F60,'fuels and tailpipe emissions'!$B$10:$B$126,'vehicles specifications'!CC$2)/1000*$AQ60</f>
        <v>6.1887546780179402E-8</v>
      </c>
      <c r="CD60" s="7">
        <f>SUMIFS('fuels and tailpipe emissions'!$G$10:$G$126,'fuels and tailpipe emissions'!$A$10:$A$126,'vehicles specifications'!$F60,'fuels and tailpipe emissions'!$B$10:$B$126,'vehicles specifications'!CD$2)/1000*$AQ60</f>
        <v>1.9155669241484104E-8</v>
      </c>
      <c r="CE60" s="7">
        <f>SUMIFS('fuels and tailpipe emissions'!$G$10:$G$126,'fuels and tailpipe emissions'!$A$10:$A$126,'vehicles specifications'!$F60,'fuels and tailpipe emissions'!$B$10:$B$126,'vehicles specifications'!CE$2)/1000*$AQ60</f>
        <v>2.3576208297211208E-8</v>
      </c>
      <c r="CF60" s="7">
        <f>SUMIFS('fuels and tailpipe emissions'!$G$10:$G$126,'fuels and tailpipe emissions'!$A$10:$A$126,'vehicles specifications'!$F60,'fuels and tailpipe emissions'!$B$10:$B$126,'vehicles specifications'!CF$2)/1000*$AQ60</f>
        <v>4.7152416594422404E-11</v>
      </c>
      <c r="CG60" s="7">
        <f>SUMIFS('fuels and tailpipe emissions'!$G$10:$G$126,'fuels and tailpipe emissions'!$A$10:$A$126,'vehicles specifications'!$F60,'fuels and tailpipe emissions'!$B$10:$B$126,'vehicles specifications'!CG$2)/1000*$AQ60</f>
        <v>1.2819563261608592E-8</v>
      </c>
      <c r="CH60" s="7">
        <f>SUMIFS('fuels and tailpipe emissions'!$G$10:$G$126,'fuels and tailpipe emissions'!$A$10:$A$126,'vehicles specifications'!$F60,'fuels and tailpipe emissions'!$B$10:$B$126,'vehicles specifications'!CH$2)/1000*$AQ60</f>
        <v>1.5913940600617563E-8</v>
      </c>
      <c r="CI60" s="7">
        <f>VLOOKUP(B60,'abrasion emissions'!$A$4:$D$32,4,FALSE)</f>
        <v>6.0000000000000002E-6</v>
      </c>
      <c r="CJ60" s="7">
        <f>VLOOKUP(B60,'abrasion emissions'!$A$4:$D$32,2,FALSE)</f>
        <v>7.3669999999999991E-6</v>
      </c>
      <c r="CK60" s="7">
        <f>VLOOKUP(B60,'abrasion emissions'!$A$4:$D$32,3,FALSE)</f>
        <v>8.3499999999999997E-6</v>
      </c>
    </row>
    <row r="61" spans="1:89" x14ac:dyDescent="0.3">
      <c r="A61" t="str">
        <f t="shared" si="35"/>
        <v>Motorbike, gasoline, 11-35kW, EURO-5 - 2020 - CH</v>
      </c>
      <c r="B61" t="s">
        <v>696</v>
      </c>
      <c r="D61">
        <v>2020</v>
      </c>
      <c r="E61" t="s">
        <v>37</v>
      </c>
      <c r="F61" t="s">
        <v>149</v>
      </c>
      <c r="G61" t="s">
        <v>39</v>
      </c>
      <c r="H61" t="s">
        <v>35</v>
      </c>
      <c r="J61" s="21">
        <v>62100</v>
      </c>
      <c r="K61" s="21">
        <v>4592</v>
      </c>
      <c r="L61" s="2">
        <f t="shared" si="36"/>
        <v>13.523519163763066</v>
      </c>
      <c r="M61">
        <v>1.1000000000000001</v>
      </c>
      <c r="N61">
        <v>70</v>
      </c>
      <c r="O61">
        <v>6</v>
      </c>
      <c r="P61" s="2">
        <f t="shared" si="13"/>
        <v>155.9375</v>
      </c>
      <c r="Q61" s="2">
        <f t="shared" si="37"/>
        <v>238.9375</v>
      </c>
      <c r="R61" s="21">
        <v>20</v>
      </c>
      <c r="S61" s="2">
        <v>81</v>
      </c>
      <c r="T61" s="1">
        <v>0</v>
      </c>
      <c r="U61" s="2">
        <f t="shared" si="32"/>
        <v>81</v>
      </c>
      <c r="V61" s="2">
        <v>62</v>
      </c>
      <c r="W61" s="2">
        <v>0</v>
      </c>
      <c r="X61" s="3">
        <v>0</v>
      </c>
      <c r="Y61" s="1">
        <v>0.8</v>
      </c>
      <c r="Z61" s="3">
        <f t="shared" si="38"/>
        <v>0</v>
      </c>
      <c r="AA61" s="3">
        <v>0</v>
      </c>
      <c r="AB61" s="3">
        <v>0</v>
      </c>
      <c r="AC61" s="3">
        <f t="shared" si="39"/>
        <v>0</v>
      </c>
      <c r="AD61" s="3">
        <v>0</v>
      </c>
      <c r="AE61" s="3">
        <v>15</v>
      </c>
      <c r="AF61">
        <f>AE61*'fuels and tailpipe emissions'!$B$3</f>
        <v>11.25</v>
      </c>
      <c r="AG61" s="2">
        <f>AF61*'fuels and tailpipe emissions'!$C$3</f>
        <v>132.5</v>
      </c>
      <c r="AH61" s="3">
        <f t="shared" si="33"/>
        <v>1.6875</v>
      </c>
      <c r="AI61" s="3">
        <v>0</v>
      </c>
      <c r="AJ61" s="3">
        <v>0</v>
      </c>
      <c r="AK61">
        <f t="shared" si="30"/>
        <v>1.242</v>
      </c>
      <c r="AL61">
        <f t="shared" si="15"/>
        <v>1.2830943749999999E-4</v>
      </c>
      <c r="AM61">
        <v>1.2899999999999999E-3</v>
      </c>
      <c r="AN61" s="2">
        <f t="shared" si="40"/>
        <v>81</v>
      </c>
      <c r="AO61" s="2">
        <f t="shared" si="41"/>
        <v>62</v>
      </c>
      <c r="AP61" s="2">
        <f t="shared" si="42"/>
        <v>0</v>
      </c>
      <c r="AQ61" s="6">
        <v>1.4587778883899432</v>
      </c>
      <c r="AR61" s="6" t="str">
        <f>IF($H61="BEV",SUMPRODUCT(#REF!,#REF!),"")</f>
        <v/>
      </c>
      <c r="AS61" s="2">
        <f>SUM(Z61,AG61)/(SUM(AQ61:AR61)/3.6)</f>
        <v>326.98603659702172</v>
      </c>
      <c r="AT61" s="5">
        <f>IF($H61="ICEV-p",$AQ61/('fuels and tailpipe emissions'!$C$3*3.6)*'fuels and tailpipe emissions'!$D$3,"")</f>
        <v>0.10940834162924575</v>
      </c>
      <c r="AU61" s="7">
        <f>IF($H61="ICEV-p",$AQ61/('fuels and tailpipe emissions'!$C$3*3.6)*'fuels and tailpipe emissions'!$E$3,"")</f>
        <v>5.5048222203394077E-7</v>
      </c>
      <c r="AV61" s="7">
        <f>SUMIFS('fuels and tailpipe emissions'!$G$10:$G$126,'fuels and tailpipe emissions'!$A$10:$A$126,'vehicles specifications'!$F61,'fuels and tailpipe emissions'!$B$10:$B$126,'vehicles specifications'!AV$2)/1000*$AQ61</f>
        <v>1.1120861815633757E-6</v>
      </c>
      <c r="AW61" s="7">
        <f>SUMIFS('fuels and tailpipe emissions'!$G$10:$G$126,'fuels and tailpipe emissions'!$A$10:$A$126,'vehicles specifications'!$F61,'fuels and tailpipe emissions'!$B$10:$B$126,'vehicles specifications'!AW$2)/1000*$AQ61</f>
        <v>2.7420758420675998E-5</v>
      </c>
      <c r="AX61" s="7">
        <f>SUMIFS('fuels and tailpipe emissions'!$G$10:$G$126,'fuels and tailpipe emissions'!$A$10:$A$126,'vehicles specifications'!$F61,'fuels and tailpipe emissions'!$B$10:$B$126,'vehicles specifications'!AX$2)/1000*$AQ61</f>
        <v>1.217425302427384E-4</v>
      </c>
      <c r="AY61" s="7">
        <f>SUMIFS('fuels and tailpipe emissions'!$G$10:$G$126,'fuels and tailpipe emissions'!$A$10:$A$126,'vehicles specifications'!$F61,'fuels and tailpipe emissions'!$B$10:$B$126,'vehicles specifications'!AY$2)/1000*$AQ61</f>
        <v>8.2468446377972918E-7</v>
      </c>
      <c r="AZ61" s="7">
        <f>SUMIFS('fuels and tailpipe emissions'!$G$10:$G$126,'fuels and tailpipe emissions'!$A$10:$A$126,'vehicles specifications'!$F61,'fuels and tailpipe emissions'!$B$10:$B$126,'vehicles specifications'!AZ$2)/1000*$AQ61</f>
        <v>8.2468446377972918E-7</v>
      </c>
      <c r="BA61" s="7">
        <f>SUMIFS('fuels and tailpipe emissions'!$G$10:$G$126,'fuels and tailpipe emissions'!$A$10:$A$126,'vehicles specifications'!$F61,'fuels and tailpipe emissions'!$B$10:$B$126,'vehicles specifications'!BA$2)/1000*$AQ61</f>
        <v>8.9890099189194488E-6</v>
      </c>
      <c r="BB61" s="7">
        <f>SUMIFS('fuels and tailpipe emissions'!$G$10:$G$126,'fuels and tailpipe emissions'!$A$10:$A$126,'vehicles specifications'!$F61,'fuels and tailpipe emissions'!$B$10:$B$126,'vehicles specifications'!BB$2)/1000*$AQ61</f>
        <v>2.0617111594493231E-6</v>
      </c>
      <c r="BC61" s="7">
        <f>SUMIFS('fuels and tailpipe emissions'!$G$10:$G$126,'fuels and tailpipe emissions'!$A$10:$A$126,'vehicles specifications'!$F61,'fuels and tailpipe emissions'!$B$10:$B$126,'vehicles specifications'!BC$2)/1000*$AQ61</f>
        <v>8.9680532716447633E-6</v>
      </c>
      <c r="BD61" s="7">
        <f>SUMIFS('fuels and tailpipe emissions'!$G$10:$G$126,'fuels and tailpipe emissions'!$A$10:$A$126,'vehicles specifications'!$F61,'fuels and tailpipe emissions'!$B$10:$B$126,'vehicles specifications'!BD$2)/1000*$AQ61</f>
        <v>6.3236273069289983E-7</v>
      </c>
      <c r="BE61" s="7">
        <f>SUMIFS('fuels and tailpipe emissions'!$G$10:$G$126,'fuels and tailpipe emissions'!$A$10:$A$126,'vehicles specifications'!$F61,'fuels and tailpipe emissions'!$B$10:$B$126,'vehicles specifications'!BE$2)/1000*$AQ61</f>
        <v>1.2885134010983853E-7</v>
      </c>
      <c r="BF61" s="7">
        <f>SUMIFS('fuels and tailpipe emissions'!$G$10:$G$126,'fuels and tailpipe emissions'!$A$10:$A$126,'vehicles specifications'!$F61,'fuels and tailpipe emissions'!$B$10:$B$126,'vehicles specifications'!BF$2)/1000*$AQ61</f>
        <v>1.0387400341162367E-6</v>
      </c>
      <c r="BG61" s="7">
        <f>SUMIFS('fuels and tailpipe emissions'!$G$10:$G$126,'fuels and tailpipe emissions'!$A$10:$A$126,'vehicles specifications'!$F61,'fuels and tailpipe emissions'!$B$10:$B$126,'vehicles specifications'!BG$2)/1000*$AQ61</f>
        <v>4.2620058651715824E-7</v>
      </c>
      <c r="BH61" s="7">
        <f>SUMIFS('fuels and tailpipe emissions'!$G$10:$G$126,'fuels and tailpipe emissions'!$A$10:$A$126,'vehicles specifications'!$F61,'fuels and tailpipe emissions'!$B$10:$B$126,'vehicles specifications'!BH$2)/1000*$AQ61</f>
        <v>3.1915485781052317E-7</v>
      </c>
      <c r="BI61" s="7">
        <f>SUMIFS('fuels and tailpipe emissions'!$G$10:$G$126,'fuels and tailpipe emissions'!$A$10:$A$126,'vehicles specifications'!$F61,'fuels and tailpipe emissions'!$B$10:$B$126,'vehicles specifications'!BI$2)/1000*$AQ61</f>
        <v>2.2598542726956295E-7</v>
      </c>
      <c r="BJ61" s="7">
        <f>SUMIFS('fuels and tailpipe emissions'!$G$10:$G$126,'fuels and tailpipe emissions'!$A$10:$A$126,'vehicles specifications'!$F61,'fuels and tailpipe emissions'!$B$10:$B$126,'vehicles specifications'!BJ$2)/1000*$AQ61</f>
        <v>1.4669229489427773E-7</v>
      </c>
      <c r="BK61" s="7">
        <f>SUMIFS('fuels and tailpipe emissions'!$G$10:$G$126,'fuels and tailpipe emissions'!$A$10:$A$126,'vehicles specifications'!$F61,'fuels and tailpipe emissions'!$B$10:$B$126,'vehicles specifications'!BK$2)/1000*$AQ61</f>
        <v>1.4470996658489557E-6</v>
      </c>
      <c r="BL61" s="7">
        <f>SUMIFS('fuels and tailpipe emissions'!$G$10:$G$126,'fuels and tailpipe emissions'!$A$10:$A$126,'vehicles specifications'!$F61,'fuels and tailpipe emissions'!$B$10:$B$126,'vehicles specifications'!BL$2)/1000*$AQ61</f>
        <v>7.572494141839741E-7</v>
      </c>
      <c r="BM61" s="7">
        <f>SUMIFS('fuels and tailpipe emissions'!$G$10:$G$126,'fuels and tailpipe emissions'!$A$10:$A$126,'vehicles specifications'!$F61,'fuels and tailpipe emissions'!$B$10:$B$126,'vehicles specifications'!BM$2)/1000*$AQ61</f>
        <v>2.1805611403203451E-8</v>
      </c>
      <c r="BN61" s="7">
        <f>SUMIFS('fuels and tailpipe emissions'!$G$10:$G$126,'fuels and tailpipe emissions'!$A$10:$A$126,'vehicles specifications'!$F61,'fuels and tailpipe emissions'!$B$10:$B$126,'vehicles specifications'!BN$2)/1000*$AQ61</f>
        <v>1.1120861815633757E-6</v>
      </c>
      <c r="BO61" s="7">
        <f>SUMIFS('fuels and tailpipe emissions'!$G$10:$G$126,'fuels and tailpipe emissions'!$A$10:$A$126,'vehicles specifications'!$F61,'fuels and tailpipe emissions'!$B$10:$B$126,'vehicles specifications'!BO$2)/1000*$AQ61</f>
        <v>2.1765964837015801E-6</v>
      </c>
      <c r="BP61" s="7">
        <f>SUMIFS('fuels and tailpipe emissions'!$G$10:$G$126,'fuels and tailpipe emissions'!$A$10:$A$126,'vehicles specifications'!$F61,'fuels and tailpipe emissions'!$B$10:$B$126,'vehicles specifications'!BP$2)/1000*$AQ61</f>
        <v>1.0764042719944975E-6</v>
      </c>
      <c r="BQ61" s="7">
        <f>SUMIFS('fuels and tailpipe emissions'!$G$10:$G$126,'fuels and tailpipe emissions'!$A$10:$A$126,'vehicles specifications'!$F61,'fuels and tailpipe emissions'!$B$10:$B$126,'vehicles specifications'!BQ$2)/1000*$AQ61</f>
        <v>4.4800619792036162E-7</v>
      </c>
      <c r="BR61" s="7">
        <f>SUMIFS('fuels and tailpipe emissions'!$G$10:$G$126,'fuels and tailpipe emissions'!$A$10:$A$126,'vehicles specifications'!$F61,'fuels and tailpipe emissions'!$B$10:$B$126,'vehicles specifications'!BR$2)/1000*$AQ61</f>
        <v>3.3699581259496236E-7</v>
      </c>
      <c r="BS61" s="7">
        <f>SUMIFS('fuels and tailpipe emissions'!$G$10:$G$126,'fuels and tailpipe emissions'!$A$10:$A$126,'vehicles specifications'!$F61,'fuels and tailpipe emissions'!$B$10:$B$126,'vehicles specifications'!BS$2)/1000*$AQ61</f>
        <v>1.4867462320365984E-7</v>
      </c>
      <c r="BT61" s="7">
        <f>SUMIFS('fuels and tailpipe emissions'!$G$10:$G$126,'fuels and tailpipe emissions'!$A$10:$A$126,'vehicles specifications'!$F61,'fuels and tailpipe emissions'!$B$10:$B$126,'vehicles specifications'!BT$2)/1000*$AQ61</f>
        <v>4.3611222806406902E-8</v>
      </c>
      <c r="BU61" s="7">
        <f>SUMIFS('fuels and tailpipe emissions'!$G$10:$G$126,'fuels and tailpipe emissions'!$A$10:$A$126,'vehicles specifications'!$F61,'fuels and tailpipe emissions'!$B$10:$B$126,'vehicles specifications'!BU$2)/1000*$AQ61</f>
        <v>1.2092202687231004E-7</v>
      </c>
      <c r="BV61" s="7">
        <f>SUMIFS('fuels and tailpipe emissions'!$G$10:$G$126,'fuels and tailpipe emissions'!$A$10:$A$126,'vehicles specifications'!$F61,'fuels and tailpipe emissions'!$B$10:$B$126,'vehicles specifications'!BV$2)/1000*$AQ61</f>
        <v>0</v>
      </c>
      <c r="BW61" s="7">
        <f>SUMIFS('fuels and tailpipe emissions'!$G$10:$G$126,'fuels and tailpipe emissions'!$A$10:$A$126,'vehicles specifications'!$F61,'fuels and tailpipe emissions'!$B$10:$B$126,'vehicles specifications'!BW$2)/1000*$AQ61</f>
        <v>3.7664237878260496E-8</v>
      </c>
      <c r="BX61" s="7">
        <f>SUMIFS('fuels and tailpipe emissions'!$G$10:$G$126,'fuels and tailpipe emissions'!$A$10:$A$126,'vehicles specifications'!$F61,'fuels and tailpipe emissions'!$B$10:$B$126,'vehicles specifications'!BX$2)/1000*$AQ61</f>
        <v>2.0021515924759527E-7</v>
      </c>
      <c r="BY61" s="7">
        <f>SUMIFS('fuels and tailpipe emissions'!$G$10:$G$126,'fuels and tailpipe emissions'!$A$10:$A$126,'vehicles specifications'!$F61,'fuels and tailpipe emissions'!$B$10:$B$126,'vehicles specifications'!BY$2)/1000*$AQ61</f>
        <v>5.0765470515970023E-8</v>
      </c>
      <c r="BZ61" s="7">
        <f>SUMIFS('fuels and tailpipe emissions'!$G$10:$G$126,'fuels and tailpipe emissions'!$A$10:$A$126,'vehicles specifications'!$F61,'fuels and tailpipe emissions'!$B$10:$B$126,'vehicles specifications'!BZ$2)/1000*$AQ61</f>
        <v>4.3763336651698293E-10</v>
      </c>
      <c r="CA61" s="7">
        <f>SUMIFS('fuels and tailpipe emissions'!$G$10:$G$126,'fuels and tailpipe emissions'!$A$10:$A$126,'vehicles specifications'!$F61,'fuels and tailpipe emissions'!$B$10:$B$126,'vehicles specifications'!CA$2)/1000*$AQ61</f>
        <v>2.9175557767798862E-10</v>
      </c>
      <c r="CB61" s="7">
        <f>SUMIFS('fuels and tailpipe emissions'!$G$10:$G$126,'fuels and tailpipe emissions'!$A$10:$A$126,'vehicles specifications'!$F61,'fuels and tailpipe emissions'!$B$10:$B$126,'vehicles specifications'!CB$2)/1000*$AQ61</f>
        <v>3.1509602389222774E-6</v>
      </c>
      <c r="CC61" s="7">
        <f>SUMIFS('fuels and tailpipe emissions'!$G$10:$G$126,'fuels and tailpipe emissions'!$A$10:$A$126,'vehicles specifications'!$F61,'fuels and tailpipe emissions'!$B$10:$B$126,'vehicles specifications'!CC$2)/1000*$AQ61</f>
        <v>6.1268671312377613E-8</v>
      </c>
      <c r="CD61" s="7">
        <f>SUMIFS('fuels and tailpipe emissions'!$G$10:$G$126,'fuels and tailpipe emissions'!$A$10:$A$126,'vehicles specifications'!$F61,'fuels and tailpipe emissions'!$B$10:$B$126,'vehicles specifications'!CD$2)/1000*$AQ61</f>
        <v>1.8964112549069262E-8</v>
      </c>
      <c r="CE61" s="7">
        <f>SUMIFS('fuels and tailpipe emissions'!$G$10:$G$126,'fuels and tailpipe emissions'!$A$10:$A$126,'vehicles specifications'!$F61,'fuels and tailpipe emissions'!$B$10:$B$126,'vehicles specifications'!CE$2)/1000*$AQ61</f>
        <v>2.3340446214239096E-8</v>
      </c>
      <c r="CF61" s="7">
        <f>SUMIFS('fuels and tailpipe emissions'!$G$10:$G$126,'fuels and tailpipe emissions'!$A$10:$A$126,'vehicles specifications'!$F61,'fuels and tailpipe emissions'!$B$10:$B$126,'vehicles specifications'!CF$2)/1000*$AQ61</f>
        <v>4.6680892428478179E-11</v>
      </c>
      <c r="CG61" s="7">
        <f>SUMIFS('fuels and tailpipe emissions'!$G$10:$G$126,'fuels and tailpipe emissions'!$A$10:$A$126,'vehicles specifications'!$F61,'fuels and tailpipe emissions'!$B$10:$B$126,'vehicles specifications'!CG$2)/1000*$AQ61</f>
        <v>1.2691367628992506E-8</v>
      </c>
      <c r="CH61" s="7">
        <f>SUMIFS('fuels and tailpipe emissions'!$G$10:$G$126,'fuels and tailpipe emissions'!$A$10:$A$126,'vehicles specifications'!$F61,'fuels and tailpipe emissions'!$B$10:$B$126,'vehicles specifications'!CH$2)/1000*$AQ61</f>
        <v>1.5754801194611389E-8</v>
      </c>
      <c r="CI61" s="7">
        <f>VLOOKUP(B61,'abrasion emissions'!$A$4:$D$32,4,FALSE)</f>
        <v>6.0000000000000002E-6</v>
      </c>
      <c r="CJ61" s="7">
        <f>VLOOKUP(B61,'abrasion emissions'!$A$4:$D$32,2,FALSE)</f>
        <v>7.3669999999999991E-6</v>
      </c>
      <c r="CK61" s="7">
        <f>VLOOKUP(B61,'abrasion emissions'!$A$4:$D$32,3,FALSE)</f>
        <v>8.3499999999999997E-6</v>
      </c>
    </row>
    <row r="62" spans="1:89" x14ac:dyDescent="0.3">
      <c r="A62" t="str">
        <f t="shared" si="35"/>
        <v>Motorbike, gasoline, 11-35kW, EURO-5 - 2030 - CH</v>
      </c>
      <c r="B62" t="s">
        <v>696</v>
      </c>
      <c r="D62">
        <v>2030</v>
      </c>
      <c r="E62" t="s">
        <v>37</v>
      </c>
      <c r="F62" t="s">
        <v>149</v>
      </c>
      <c r="G62" t="s">
        <v>39</v>
      </c>
      <c r="H62" t="s">
        <v>35</v>
      </c>
      <c r="J62" s="21">
        <v>62100</v>
      </c>
      <c r="K62" s="21">
        <v>4592</v>
      </c>
      <c r="L62" s="2">
        <f t="shared" si="36"/>
        <v>13.523519163763066</v>
      </c>
      <c r="M62">
        <v>1.1000000000000001</v>
      </c>
      <c r="N62">
        <v>70</v>
      </c>
      <c r="O62">
        <v>6</v>
      </c>
      <c r="P62" s="2">
        <f t="shared" si="13"/>
        <v>153.50749999999999</v>
      </c>
      <c r="Q62" s="2">
        <f t="shared" si="37"/>
        <v>236.50749999999999</v>
      </c>
      <c r="R62" s="21">
        <v>20</v>
      </c>
      <c r="S62" s="2">
        <v>81</v>
      </c>
      <c r="T62" s="1">
        <v>0.03</v>
      </c>
      <c r="U62" s="2">
        <f t="shared" si="32"/>
        <v>78.569999999999993</v>
      </c>
      <c r="V62" s="2">
        <v>62</v>
      </c>
      <c r="W62" s="2">
        <v>0</v>
      </c>
      <c r="X62" s="3">
        <v>0</v>
      </c>
      <c r="Y62" s="1">
        <v>0.8</v>
      </c>
      <c r="Z62" s="3">
        <f t="shared" si="38"/>
        <v>0</v>
      </c>
      <c r="AA62" s="3">
        <v>0</v>
      </c>
      <c r="AB62" s="3">
        <v>0</v>
      </c>
      <c r="AC62" s="3">
        <f t="shared" si="39"/>
        <v>0</v>
      </c>
      <c r="AD62" s="3">
        <v>0</v>
      </c>
      <c r="AE62" s="3">
        <v>15</v>
      </c>
      <c r="AF62">
        <f>AE62*'fuels and tailpipe emissions'!$B$3</f>
        <v>11.25</v>
      </c>
      <c r="AG62" s="2">
        <f>AF62*'fuels and tailpipe emissions'!$C$3</f>
        <v>132.5</v>
      </c>
      <c r="AH62" s="3">
        <f t="shared" si="33"/>
        <v>1.6875</v>
      </c>
      <c r="AI62" s="3">
        <v>0</v>
      </c>
      <c r="AJ62" s="3">
        <v>0</v>
      </c>
      <c r="AK62">
        <f t="shared" si="30"/>
        <v>1.242</v>
      </c>
      <c r="AL62">
        <f t="shared" si="15"/>
        <v>1.2700452749999999E-4</v>
      </c>
      <c r="AM62">
        <v>1.2899999999999999E-3</v>
      </c>
      <c r="AN62" s="2">
        <f t="shared" si="40"/>
        <v>78.569999999999993</v>
      </c>
      <c r="AO62" s="2">
        <f t="shared" si="41"/>
        <v>62</v>
      </c>
      <c r="AP62" s="2">
        <f t="shared" si="42"/>
        <v>0</v>
      </c>
      <c r="AQ62" s="6">
        <v>1.4441901095060437</v>
      </c>
      <c r="AR62" s="6" t="str">
        <f>IF($H62="BEV",SUMPRODUCT(#REF!,#REF!),"")</f>
        <v/>
      </c>
      <c r="AS62" s="2">
        <f>SUM(Z62,AG62)/(SUM(AQ62:AR62)/3.6)</f>
        <v>330.28892585557753</v>
      </c>
      <c r="AT62" s="5">
        <f>IF($H62="ICEV-p",$AQ62/('fuels and tailpipe emissions'!$C$3*3.6)*'fuels and tailpipe emissions'!$D$3,"")</f>
        <v>0.10831425821295328</v>
      </c>
      <c r="AU62" s="7">
        <f>IF($H62="ICEV-p",$AQ62/('fuels and tailpipe emissions'!$C$3*3.6)*'fuels and tailpipe emissions'!$E$3,"")</f>
        <v>5.4497739981360134E-7</v>
      </c>
      <c r="AV62" s="7">
        <f>SUMIFS('fuels and tailpipe emissions'!$G$10:$G$126,'fuels and tailpipe emissions'!$A$10:$A$126,'vehicles specifications'!$F62,'fuels and tailpipe emissions'!$B$10:$B$126,'vehicles specifications'!AV$2)/1000*$AQ62</f>
        <v>1.1009653197477418E-6</v>
      </c>
      <c r="AW62" s="7">
        <f>SUMIFS('fuels and tailpipe emissions'!$G$10:$G$126,'fuels and tailpipe emissions'!$A$10:$A$126,'vehicles specifications'!$F62,'fuels and tailpipe emissions'!$B$10:$B$126,'vehicles specifications'!AW$2)/1000*$AQ62</f>
        <v>2.7146550836469235E-5</v>
      </c>
      <c r="AX62" s="7">
        <f>SUMIFS('fuels and tailpipe emissions'!$G$10:$G$126,'fuels and tailpipe emissions'!$A$10:$A$126,'vehicles specifications'!$F62,'fuels and tailpipe emissions'!$B$10:$B$126,'vehicles specifications'!AX$2)/1000*$AQ62</f>
        <v>1.2052510494031101E-4</v>
      </c>
      <c r="AY62" s="7">
        <f>SUMIFS('fuels and tailpipe emissions'!$G$10:$G$126,'fuels and tailpipe emissions'!$A$10:$A$126,'vehicles specifications'!$F62,'fuels and tailpipe emissions'!$B$10:$B$126,'vehicles specifications'!AY$2)/1000*$AQ62</f>
        <v>8.1643761914193182E-7</v>
      </c>
      <c r="AZ62" s="7">
        <f>SUMIFS('fuels and tailpipe emissions'!$G$10:$G$126,'fuels and tailpipe emissions'!$A$10:$A$126,'vehicles specifications'!$F62,'fuels and tailpipe emissions'!$B$10:$B$126,'vehicles specifications'!AZ$2)/1000*$AQ62</f>
        <v>8.1643761914193182E-7</v>
      </c>
      <c r="BA62" s="7">
        <f>SUMIFS('fuels and tailpipe emissions'!$G$10:$G$126,'fuels and tailpipe emissions'!$A$10:$A$126,'vehicles specifications'!$F62,'fuels and tailpipe emissions'!$B$10:$B$126,'vehicles specifications'!BA$2)/1000*$AQ62</f>
        <v>8.8991198197302526E-6</v>
      </c>
      <c r="BB62" s="7">
        <f>SUMIFS('fuels and tailpipe emissions'!$G$10:$G$126,'fuels and tailpipe emissions'!$A$10:$A$126,'vehicles specifications'!$F62,'fuels and tailpipe emissions'!$B$10:$B$126,'vehicles specifications'!BB$2)/1000*$AQ62</f>
        <v>2.0410940478548298E-6</v>
      </c>
      <c r="BC62" s="7">
        <f>SUMIFS('fuels and tailpipe emissions'!$G$10:$G$126,'fuels and tailpipe emissions'!$A$10:$A$126,'vehicles specifications'!$F62,'fuels and tailpipe emissions'!$B$10:$B$126,'vehicles specifications'!BC$2)/1000*$AQ62</f>
        <v>8.8783727389283155E-6</v>
      </c>
      <c r="BD62" s="7">
        <f>SUMIFS('fuels and tailpipe emissions'!$G$10:$G$126,'fuels and tailpipe emissions'!$A$10:$A$126,'vehicles specifications'!$F62,'fuels and tailpipe emissions'!$B$10:$B$126,'vehicles specifications'!BD$2)/1000*$AQ62</f>
        <v>6.2603910338597077E-7</v>
      </c>
      <c r="BE62" s="7">
        <f>SUMIFS('fuels and tailpipe emissions'!$G$10:$G$126,'fuels and tailpipe emissions'!$A$10:$A$126,'vehicles specifications'!$F62,'fuels and tailpipe emissions'!$B$10:$B$126,'vehicles specifications'!BE$2)/1000*$AQ62</f>
        <v>1.2756282670874015E-7</v>
      </c>
      <c r="BF62" s="7">
        <f>SUMIFS('fuels and tailpipe emissions'!$G$10:$G$126,'fuels and tailpipe emissions'!$A$10:$A$126,'vehicles specifications'!$F62,'fuels and tailpipe emissions'!$B$10:$B$126,'vehicles specifications'!BF$2)/1000*$AQ62</f>
        <v>1.0283526337750743E-6</v>
      </c>
      <c r="BG62" s="7">
        <f>SUMIFS('fuels and tailpipe emissions'!$G$10:$G$126,'fuels and tailpipe emissions'!$A$10:$A$126,'vehicles specifications'!$F62,'fuels and tailpipe emissions'!$B$10:$B$126,'vehicles specifications'!BG$2)/1000*$AQ62</f>
        <v>4.2193858065198663E-7</v>
      </c>
      <c r="BH62" s="7">
        <f>SUMIFS('fuels and tailpipe emissions'!$G$10:$G$126,'fuels and tailpipe emissions'!$A$10:$A$126,'vehicles specifications'!$F62,'fuels and tailpipe emissions'!$B$10:$B$126,'vehicles specifications'!BH$2)/1000*$AQ62</f>
        <v>3.1596330923241792E-7</v>
      </c>
      <c r="BI62" s="7">
        <f>SUMIFS('fuels and tailpipe emissions'!$G$10:$G$126,'fuels and tailpipe emissions'!$A$10:$A$126,'vehicles specifications'!$F62,'fuels and tailpipe emissions'!$B$10:$B$126,'vehicles specifications'!BI$2)/1000*$AQ62</f>
        <v>2.2372557299686732E-7</v>
      </c>
      <c r="BJ62" s="7">
        <f>SUMIFS('fuels and tailpipe emissions'!$G$10:$G$126,'fuels and tailpipe emissions'!$A$10:$A$126,'vehicles specifications'!$F62,'fuels and tailpipe emissions'!$B$10:$B$126,'vehicles specifications'!BJ$2)/1000*$AQ62</f>
        <v>1.4522537194533496E-7</v>
      </c>
      <c r="BK62" s="7">
        <f>SUMIFS('fuels and tailpipe emissions'!$G$10:$G$126,'fuels and tailpipe emissions'!$A$10:$A$126,'vehicles specifications'!$F62,'fuels and tailpipe emissions'!$B$10:$B$126,'vehicles specifications'!BK$2)/1000*$AQ62</f>
        <v>1.4326286691904661E-6</v>
      </c>
      <c r="BL62" s="7">
        <f>SUMIFS('fuels and tailpipe emissions'!$G$10:$G$126,'fuels and tailpipe emissions'!$A$10:$A$126,'vehicles specifications'!$F62,'fuels and tailpipe emissions'!$B$10:$B$126,'vehicles specifications'!BL$2)/1000*$AQ62</f>
        <v>7.4967692004213441E-7</v>
      </c>
      <c r="BM62" s="7">
        <f>SUMIFS('fuels and tailpipe emissions'!$G$10:$G$126,'fuels and tailpipe emissions'!$A$10:$A$126,'vehicles specifications'!$F62,'fuels and tailpipe emissions'!$B$10:$B$126,'vehicles specifications'!BM$2)/1000*$AQ62</f>
        <v>2.1587555289171415E-8</v>
      </c>
      <c r="BN62" s="7">
        <f>SUMIFS('fuels and tailpipe emissions'!$G$10:$G$126,'fuels and tailpipe emissions'!$A$10:$A$126,'vehicles specifications'!$F62,'fuels and tailpipe emissions'!$B$10:$B$126,'vehicles specifications'!BN$2)/1000*$AQ62</f>
        <v>1.1009653197477418E-6</v>
      </c>
      <c r="BO62" s="7">
        <f>SUMIFS('fuels and tailpipe emissions'!$G$10:$G$126,'fuels and tailpipe emissions'!$A$10:$A$126,'vehicles specifications'!$F62,'fuels and tailpipe emissions'!$B$10:$B$126,'vehicles specifications'!BO$2)/1000*$AQ62</f>
        <v>2.154830518864564E-6</v>
      </c>
      <c r="BP62" s="7">
        <f>SUMIFS('fuels and tailpipe emissions'!$G$10:$G$126,'fuels and tailpipe emissions'!$A$10:$A$126,'vehicles specifications'!$F62,'fuels and tailpipe emissions'!$B$10:$B$126,'vehicles specifications'!BP$2)/1000*$AQ62</f>
        <v>1.0656402292745523E-6</v>
      </c>
      <c r="BQ62" s="7">
        <f>SUMIFS('fuels and tailpipe emissions'!$G$10:$G$126,'fuels and tailpipe emissions'!$A$10:$A$126,'vehicles specifications'!$F62,'fuels and tailpipe emissions'!$B$10:$B$126,'vehicles specifications'!BQ$2)/1000*$AQ62</f>
        <v>4.4352613594115801E-7</v>
      </c>
      <c r="BR62" s="7">
        <f>SUMIFS('fuels and tailpipe emissions'!$G$10:$G$126,'fuels and tailpipe emissions'!$A$10:$A$126,'vehicles specifications'!$F62,'fuels and tailpipe emissions'!$B$10:$B$126,'vehicles specifications'!BR$2)/1000*$AQ62</f>
        <v>3.3362585446901273E-7</v>
      </c>
      <c r="BS62" s="7">
        <f>SUMIFS('fuels and tailpipe emissions'!$G$10:$G$126,'fuels and tailpipe emissions'!$A$10:$A$126,'vehicles specifications'!$F62,'fuels and tailpipe emissions'!$B$10:$B$126,'vehicles specifications'!BS$2)/1000*$AQ62</f>
        <v>1.4718787697162324E-7</v>
      </c>
      <c r="BT62" s="7">
        <f>SUMIFS('fuels and tailpipe emissions'!$G$10:$G$126,'fuels and tailpipe emissions'!$A$10:$A$126,'vehicles specifications'!$F62,'fuels and tailpipe emissions'!$B$10:$B$126,'vehicles specifications'!BT$2)/1000*$AQ62</f>
        <v>4.317511057834283E-8</v>
      </c>
      <c r="BU62" s="7">
        <f>SUMIFS('fuels and tailpipe emissions'!$G$10:$G$126,'fuels and tailpipe emissions'!$A$10:$A$126,'vehicles specifications'!$F62,'fuels and tailpipe emissions'!$B$10:$B$126,'vehicles specifications'!BU$2)/1000*$AQ62</f>
        <v>1.1971280660358694E-7</v>
      </c>
      <c r="BV62" s="7">
        <f>SUMIFS('fuels and tailpipe emissions'!$G$10:$G$126,'fuels and tailpipe emissions'!$A$10:$A$126,'vehicles specifications'!$F62,'fuels and tailpipe emissions'!$B$10:$B$126,'vehicles specifications'!BV$2)/1000*$AQ62</f>
        <v>0</v>
      </c>
      <c r="BW62" s="7">
        <f>SUMIFS('fuels and tailpipe emissions'!$G$10:$G$126,'fuels and tailpipe emissions'!$A$10:$A$126,'vehicles specifications'!$F62,'fuels and tailpipe emissions'!$B$10:$B$126,'vehicles specifications'!BW$2)/1000*$AQ62</f>
        <v>3.7287595499477888E-8</v>
      </c>
      <c r="BX62" s="7">
        <f>SUMIFS('fuels and tailpipe emissions'!$G$10:$G$126,'fuels and tailpipe emissions'!$A$10:$A$126,'vehicles specifications'!$F62,'fuels and tailpipe emissions'!$B$10:$B$126,'vehicles specifications'!BX$2)/1000*$AQ62</f>
        <v>1.9821300765511932E-7</v>
      </c>
      <c r="BY62" s="7">
        <f>SUMIFS('fuels and tailpipe emissions'!$G$10:$G$126,'fuels and tailpipe emissions'!$A$10:$A$126,'vehicles specifications'!$F62,'fuels and tailpipe emissions'!$B$10:$B$126,'vehicles specifications'!BY$2)/1000*$AQ62</f>
        <v>5.0257815810810321E-8</v>
      </c>
      <c r="BZ62" s="7">
        <f>SUMIFS('fuels and tailpipe emissions'!$G$10:$G$126,'fuels and tailpipe emissions'!$A$10:$A$126,'vehicles specifications'!$F62,'fuels and tailpipe emissions'!$B$10:$B$126,'vehicles specifications'!BZ$2)/1000*$AQ62</f>
        <v>4.3325703285181307E-10</v>
      </c>
      <c r="CA62" s="7">
        <f>SUMIFS('fuels and tailpipe emissions'!$G$10:$G$126,'fuels and tailpipe emissions'!$A$10:$A$126,'vehicles specifications'!$F62,'fuels and tailpipe emissions'!$B$10:$B$126,'vehicles specifications'!CA$2)/1000*$AQ62</f>
        <v>2.8883802190120875E-10</v>
      </c>
      <c r="CB62" s="7">
        <f>SUMIFS('fuels and tailpipe emissions'!$G$10:$G$126,'fuels and tailpipe emissions'!$A$10:$A$126,'vehicles specifications'!$F62,'fuels and tailpipe emissions'!$B$10:$B$126,'vehicles specifications'!CB$2)/1000*$AQ62</f>
        <v>3.1194506365330544E-6</v>
      </c>
      <c r="CC62" s="7">
        <f>SUMIFS('fuels and tailpipe emissions'!$G$10:$G$126,'fuels and tailpipe emissions'!$A$10:$A$126,'vehicles specifications'!$F62,'fuels and tailpipe emissions'!$B$10:$B$126,'vehicles specifications'!CC$2)/1000*$AQ62</f>
        <v>6.0655984599253833E-8</v>
      </c>
      <c r="CD62" s="7">
        <f>SUMIFS('fuels and tailpipe emissions'!$G$10:$G$126,'fuels and tailpipe emissions'!$A$10:$A$126,'vehicles specifications'!$F62,'fuels and tailpipe emissions'!$B$10:$B$126,'vehicles specifications'!CD$2)/1000*$AQ62</f>
        <v>1.877447142357857E-8</v>
      </c>
      <c r="CE62" s="7">
        <f>SUMIFS('fuels and tailpipe emissions'!$G$10:$G$126,'fuels and tailpipe emissions'!$A$10:$A$126,'vehicles specifications'!$F62,'fuels and tailpipe emissions'!$B$10:$B$126,'vehicles specifications'!CE$2)/1000*$AQ62</f>
        <v>2.3107041752096703E-8</v>
      </c>
      <c r="CF62" s="7">
        <f>SUMIFS('fuels and tailpipe emissions'!$G$10:$G$126,'fuels and tailpipe emissions'!$A$10:$A$126,'vehicles specifications'!$F62,'fuels and tailpipe emissions'!$B$10:$B$126,'vehicles specifications'!CF$2)/1000*$AQ62</f>
        <v>4.6214083504193395E-11</v>
      </c>
      <c r="CG62" s="7">
        <f>SUMIFS('fuels and tailpipe emissions'!$G$10:$G$126,'fuels and tailpipe emissions'!$A$10:$A$126,'vehicles specifications'!$F62,'fuels and tailpipe emissions'!$B$10:$B$126,'vehicles specifications'!CG$2)/1000*$AQ62</f>
        <v>1.256445395270258E-8</v>
      </c>
      <c r="CH62" s="7">
        <f>SUMIFS('fuels and tailpipe emissions'!$G$10:$G$126,'fuels and tailpipe emissions'!$A$10:$A$126,'vehicles specifications'!$F62,'fuels and tailpipe emissions'!$B$10:$B$126,'vehicles specifications'!CH$2)/1000*$AQ62</f>
        <v>1.5597253182665274E-8</v>
      </c>
      <c r="CI62" s="7">
        <f>VLOOKUP(B62,'abrasion emissions'!$A$4:$D$32,4,FALSE)</f>
        <v>6.0000000000000002E-6</v>
      </c>
      <c r="CJ62" s="7">
        <f>VLOOKUP(B62,'abrasion emissions'!$A$4:$D$32,2,FALSE)</f>
        <v>7.3669999999999991E-6</v>
      </c>
      <c r="CK62" s="7">
        <f>VLOOKUP(B62,'abrasion emissions'!$A$4:$D$32,3,FALSE)</f>
        <v>8.3499999999999997E-6</v>
      </c>
    </row>
    <row r="63" spans="1:89" x14ac:dyDescent="0.3">
      <c r="A63" t="str">
        <f t="shared" si="35"/>
        <v>Motorbike, gasoline, 11-35kW, EURO-5 - 2040 - CH</v>
      </c>
      <c r="B63" t="s">
        <v>696</v>
      </c>
      <c r="D63">
        <v>2040</v>
      </c>
      <c r="E63" t="s">
        <v>37</v>
      </c>
      <c r="F63" t="s">
        <v>149</v>
      </c>
      <c r="G63" t="s">
        <v>39</v>
      </c>
      <c r="H63" t="s">
        <v>35</v>
      </c>
      <c r="J63" s="21">
        <v>62100</v>
      </c>
      <c r="K63" s="21">
        <v>4592</v>
      </c>
      <c r="L63" s="2">
        <f t="shared" si="36"/>
        <v>13.523519163763066</v>
      </c>
      <c r="M63">
        <v>1.1000000000000001</v>
      </c>
      <c r="N63">
        <v>70</v>
      </c>
      <c r="O63">
        <v>6</v>
      </c>
      <c r="P63" s="2">
        <f t="shared" si="13"/>
        <v>151.88749999999999</v>
      </c>
      <c r="Q63" s="2">
        <f t="shared" si="37"/>
        <v>234.88749999999999</v>
      </c>
      <c r="R63" s="21">
        <v>20</v>
      </c>
      <c r="S63" s="2">
        <v>81</v>
      </c>
      <c r="T63" s="1">
        <v>0.05</v>
      </c>
      <c r="U63" s="2">
        <f t="shared" si="32"/>
        <v>76.95</v>
      </c>
      <c r="V63" s="2">
        <v>62</v>
      </c>
      <c r="W63" s="2">
        <v>0</v>
      </c>
      <c r="X63" s="3">
        <v>0</v>
      </c>
      <c r="Y63" s="1">
        <v>0.8</v>
      </c>
      <c r="Z63" s="3">
        <f t="shared" si="38"/>
        <v>0</v>
      </c>
      <c r="AA63" s="3">
        <v>0</v>
      </c>
      <c r="AB63" s="3">
        <v>0</v>
      </c>
      <c r="AC63" s="3">
        <f t="shared" si="39"/>
        <v>0</v>
      </c>
      <c r="AD63" s="3">
        <v>0</v>
      </c>
      <c r="AE63" s="3">
        <v>15</v>
      </c>
      <c r="AF63">
        <f>AE63*'fuels and tailpipe emissions'!$B$3</f>
        <v>11.25</v>
      </c>
      <c r="AG63" s="2">
        <f>AF63*'fuels and tailpipe emissions'!$C$3</f>
        <v>132.5</v>
      </c>
      <c r="AH63" s="3">
        <f t="shared" si="33"/>
        <v>1.6875</v>
      </c>
      <c r="AI63" s="3">
        <v>0</v>
      </c>
      <c r="AJ63" s="3">
        <v>0</v>
      </c>
      <c r="AK63">
        <f t="shared" si="30"/>
        <v>1.242</v>
      </c>
      <c r="AL63">
        <f t="shared" si="15"/>
        <v>1.2613458750000001E-4</v>
      </c>
      <c r="AM63">
        <v>1.2899999999999999E-3</v>
      </c>
      <c r="AN63" s="2">
        <f t="shared" si="40"/>
        <v>76.95</v>
      </c>
      <c r="AO63" s="2">
        <f t="shared" si="41"/>
        <v>62</v>
      </c>
      <c r="AP63" s="2">
        <f t="shared" si="42"/>
        <v>0</v>
      </c>
      <c r="AQ63" s="6">
        <v>1.4297482084109832</v>
      </c>
      <c r="AR63" s="6" t="str">
        <f>IF($H63="BEV",SUMPRODUCT(#REF!,#REF!),"")</f>
        <v/>
      </c>
      <c r="AS63" s="2">
        <f>SUM(Z63,AG63)/(SUM(AQ63:AR63)/3.6)</f>
        <v>333.62517763189646</v>
      </c>
      <c r="AT63" s="5">
        <f>IF($H63="ICEV-p",$AQ63/('fuels and tailpipe emissions'!$C$3*3.6)*'fuels and tailpipe emissions'!$D$3,"")</f>
        <v>0.10723111563082374</v>
      </c>
      <c r="AU63" s="7">
        <f>IF($H63="ICEV-p",$AQ63/('fuels and tailpipe emissions'!$C$3*3.6)*'fuels and tailpipe emissions'!$E$3,"")</f>
        <v>5.3952762581546533E-7</v>
      </c>
      <c r="AV63" s="7">
        <f>SUMIFS('fuels and tailpipe emissions'!$G$10:$G$126,'fuels and tailpipe emissions'!$A$10:$A$126,'vehicles specifications'!$F63,'fuels and tailpipe emissions'!$B$10:$B$126,'vehicles specifications'!AV$2)/1000*$AQ63</f>
        <v>1.0899556665502644E-6</v>
      </c>
      <c r="AW63" s="7">
        <f>SUMIFS('fuels and tailpipe emissions'!$G$10:$G$126,'fuels and tailpipe emissions'!$A$10:$A$126,'vehicles specifications'!$F63,'fuels and tailpipe emissions'!$B$10:$B$126,'vehicles specifications'!AW$2)/1000*$AQ63</f>
        <v>2.6875085328104543E-5</v>
      </c>
      <c r="AX63" s="7">
        <f>SUMIFS('fuels and tailpipe emissions'!$G$10:$G$126,'fuels and tailpipe emissions'!$A$10:$A$126,'vehicles specifications'!$F63,'fuels and tailpipe emissions'!$B$10:$B$126,'vehicles specifications'!AX$2)/1000*$AQ63</f>
        <v>1.1931985389090789E-4</v>
      </c>
      <c r="AY63" s="7">
        <f>SUMIFS('fuels and tailpipe emissions'!$G$10:$G$126,'fuels and tailpipe emissions'!$A$10:$A$126,'vehicles specifications'!$F63,'fuels and tailpipe emissions'!$B$10:$B$126,'vehicles specifications'!AY$2)/1000*$AQ63</f>
        <v>8.0827324295051251E-7</v>
      </c>
      <c r="AZ63" s="7">
        <f>SUMIFS('fuels and tailpipe emissions'!$G$10:$G$126,'fuels and tailpipe emissions'!$A$10:$A$126,'vehicles specifications'!$F63,'fuels and tailpipe emissions'!$B$10:$B$126,'vehicles specifications'!AZ$2)/1000*$AQ63</f>
        <v>8.0827324295051251E-7</v>
      </c>
      <c r="BA63" s="7">
        <f>SUMIFS('fuels and tailpipe emissions'!$G$10:$G$126,'fuels and tailpipe emissions'!$A$10:$A$126,'vehicles specifications'!$F63,'fuels and tailpipe emissions'!$B$10:$B$126,'vehicles specifications'!BA$2)/1000*$AQ63</f>
        <v>8.8101286215329498E-6</v>
      </c>
      <c r="BB63" s="7">
        <f>SUMIFS('fuels and tailpipe emissions'!$G$10:$G$126,'fuels and tailpipe emissions'!$A$10:$A$126,'vehicles specifications'!$F63,'fuels and tailpipe emissions'!$B$10:$B$126,'vehicles specifications'!BB$2)/1000*$AQ63</f>
        <v>2.0206831073762815E-6</v>
      </c>
      <c r="BC63" s="7">
        <f>SUMIFS('fuels and tailpipe emissions'!$G$10:$G$126,'fuels and tailpipe emissions'!$A$10:$A$126,'vehicles specifications'!$F63,'fuels and tailpipe emissions'!$B$10:$B$126,'vehicles specifications'!BC$2)/1000*$AQ63</f>
        <v>8.7895890115390312E-6</v>
      </c>
      <c r="BD63" s="7">
        <f>SUMIFS('fuels and tailpipe emissions'!$G$10:$G$126,'fuels and tailpipe emissions'!$A$10:$A$126,'vehicles specifications'!$F63,'fuels and tailpipe emissions'!$B$10:$B$126,'vehicles specifications'!BD$2)/1000*$AQ63</f>
        <v>6.1977871235211111E-7</v>
      </c>
      <c r="BE63" s="7">
        <f>SUMIFS('fuels and tailpipe emissions'!$G$10:$G$126,'fuels and tailpipe emissions'!$A$10:$A$126,'vehicles specifications'!$F63,'fuels and tailpipe emissions'!$B$10:$B$126,'vehicles specifications'!BE$2)/1000*$AQ63</f>
        <v>1.2628719844165272E-7</v>
      </c>
      <c r="BF63" s="7">
        <f>SUMIFS('fuels and tailpipe emissions'!$G$10:$G$126,'fuels and tailpipe emissions'!$A$10:$A$126,'vehicles specifications'!$F63,'fuels and tailpipe emissions'!$B$10:$B$126,'vehicles specifications'!BF$2)/1000*$AQ63</f>
        <v>1.0180691074373236E-6</v>
      </c>
      <c r="BG63" s="7">
        <f>SUMIFS('fuels and tailpipe emissions'!$G$10:$G$126,'fuels and tailpipe emissions'!$A$10:$A$126,'vehicles specifications'!$F63,'fuels and tailpipe emissions'!$B$10:$B$126,'vehicles specifications'!BG$2)/1000*$AQ63</f>
        <v>4.1771919484546673E-7</v>
      </c>
      <c r="BH63" s="7">
        <f>SUMIFS('fuels and tailpipe emissions'!$G$10:$G$126,'fuels and tailpipe emissions'!$A$10:$A$126,'vehicles specifications'!$F63,'fuels and tailpipe emissions'!$B$10:$B$126,'vehicles specifications'!BH$2)/1000*$AQ63</f>
        <v>3.1280367614009373E-7</v>
      </c>
      <c r="BI63" s="7">
        <f>SUMIFS('fuels and tailpipe emissions'!$G$10:$G$126,'fuels and tailpipe emissions'!$A$10:$A$126,'vehicles specifications'!$F63,'fuels and tailpipe emissions'!$B$10:$B$126,'vehicles specifications'!BI$2)/1000*$AQ63</f>
        <v>2.2148831726689864E-7</v>
      </c>
      <c r="BJ63" s="7">
        <f>SUMIFS('fuels and tailpipe emissions'!$G$10:$G$126,'fuels and tailpipe emissions'!$A$10:$A$126,'vehicles specifications'!$F63,'fuels and tailpipe emissions'!$B$10:$B$126,'vehicles specifications'!BJ$2)/1000*$AQ63</f>
        <v>1.4377311822588159E-7</v>
      </c>
      <c r="BK63" s="7">
        <f>SUMIFS('fuels and tailpipe emissions'!$G$10:$G$126,'fuels and tailpipe emissions'!$A$10:$A$126,'vehicles specifications'!$F63,'fuels and tailpipe emissions'!$B$10:$B$126,'vehicles specifications'!BK$2)/1000*$AQ63</f>
        <v>1.4183023824985615E-6</v>
      </c>
      <c r="BL63" s="7">
        <f>SUMIFS('fuels and tailpipe emissions'!$G$10:$G$126,'fuels and tailpipe emissions'!$A$10:$A$126,'vehicles specifications'!$F63,'fuels and tailpipe emissions'!$B$10:$B$126,'vehicles specifications'!BL$2)/1000*$AQ63</f>
        <v>7.4218015084171301E-7</v>
      </c>
      <c r="BM63" s="7">
        <f>SUMIFS('fuels and tailpipe emissions'!$G$10:$G$126,'fuels and tailpipe emissions'!$A$10:$A$126,'vehicles specifications'!$F63,'fuels and tailpipe emissions'!$B$10:$B$126,'vehicles specifications'!BM$2)/1000*$AQ63</f>
        <v>2.1371679736279698E-8</v>
      </c>
      <c r="BN63" s="7">
        <f>SUMIFS('fuels and tailpipe emissions'!$G$10:$G$126,'fuels and tailpipe emissions'!$A$10:$A$126,'vehicles specifications'!$F63,'fuels and tailpipe emissions'!$B$10:$B$126,'vehicles specifications'!BN$2)/1000*$AQ63</f>
        <v>1.0899556665502644E-6</v>
      </c>
      <c r="BO63" s="7">
        <f>SUMIFS('fuels and tailpipe emissions'!$G$10:$G$126,'fuels and tailpipe emissions'!$A$10:$A$126,'vehicles specifications'!$F63,'fuels and tailpipe emissions'!$B$10:$B$126,'vehicles specifications'!BO$2)/1000*$AQ63</f>
        <v>2.1332822136759185E-6</v>
      </c>
      <c r="BP63" s="7">
        <f>SUMIFS('fuels and tailpipe emissions'!$G$10:$G$126,'fuels and tailpipe emissions'!$A$10:$A$126,'vehicles specifications'!$F63,'fuels and tailpipe emissions'!$B$10:$B$126,'vehicles specifications'!BP$2)/1000*$AQ63</f>
        <v>1.0549838269818067E-6</v>
      </c>
      <c r="BQ63" s="7">
        <f>SUMIFS('fuels and tailpipe emissions'!$G$10:$G$126,'fuels and tailpipe emissions'!$A$10:$A$126,'vehicles specifications'!$F63,'fuels and tailpipe emissions'!$B$10:$B$126,'vehicles specifications'!BQ$2)/1000*$AQ63</f>
        <v>4.390908745817464E-7</v>
      </c>
      <c r="BR63" s="7">
        <f>SUMIFS('fuels and tailpipe emissions'!$G$10:$G$126,'fuels and tailpipe emissions'!$A$10:$A$126,'vehicles specifications'!$F63,'fuels and tailpipe emissions'!$B$10:$B$126,'vehicles specifications'!BR$2)/1000*$AQ63</f>
        <v>3.3028959592432257E-7</v>
      </c>
      <c r="BS63" s="7">
        <f>SUMIFS('fuels and tailpipe emissions'!$G$10:$G$126,'fuels and tailpipe emissions'!$A$10:$A$126,'vehicles specifications'!$F63,'fuels and tailpipe emissions'!$B$10:$B$126,'vehicles specifications'!BS$2)/1000*$AQ63</f>
        <v>1.45715998201907E-7</v>
      </c>
      <c r="BT63" s="7">
        <f>SUMIFS('fuels and tailpipe emissions'!$G$10:$G$126,'fuels and tailpipe emissions'!$A$10:$A$126,'vehicles specifications'!$F63,'fuels and tailpipe emissions'!$B$10:$B$126,'vehicles specifications'!BT$2)/1000*$AQ63</f>
        <v>4.2743359472559396E-8</v>
      </c>
      <c r="BU63" s="7">
        <f>SUMIFS('fuels and tailpipe emissions'!$G$10:$G$126,'fuels and tailpipe emissions'!$A$10:$A$126,'vehicles specifications'!$F63,'fuels and tailpipe emissions'!$B$10:$B$126,'vehicles specifications'!BU$2)/1000*$AQ63</f>
        <v>1.1851567853755105E-7</v>
      </c>
      <c r="BV63" s="7">
        <f>SUMIFS('fuels and tailpipe emissions'!$G$10:$G$126,'fuels and tailpipe emissions'!$A$10:$A$126,'vehicles specifications'!$F63,'fuels and tailpipe emissions'!$B$10:$B$126,'vehicles specifications'!BV$2)/1000*$AQ63</f>
        <v>0</v>
      </c>
      <c r="BW63" s="7">
        <f>SUMIFS('fuels and tailpipe emissions'!$G$10:$G$126,'fuels and tailpipe emissions'!$A$10:$A$126,'vehicles specifications'!$F63,'fuels and tailpipe emissions'!$B$10:$B$126,'vehicles specifications'!BW$2)/1000*$AQ63</f>
        <v>3.6914719544483105E-8</v>
      </c>
      <c r="BX63" s="7">
        <f>SUMIFS('fuels and tailpipe emissions'!$G$10:$G$126,'fuels and tailpipe emissions'!$A$10:$A$126,'vehicles specifications'!$F63,'fuels and tailpipe emissions'!$B$10:$B$126,'vehicles specifications'!BX$2)/1000*$AQ63</f>
        <v>1.9623087757856811E-7</v>
      </c>
      <c r="BY63" s="7">
        <f>SUMIFS('fuels and tailpipe emissions'!$G$10:$G$126,'fuels and tailpipe emissions'!$A$10:$A$126,'vehicles specifications'!$F63,'fuels and tailpipe emissions'!$B$10:$B$126,'vehicles specifications'!BY$2)/1000*$AQ63</f>
        <v>4.9755237652702212E-8</v>
      </c>
      <c r="BZ63" s="7">
        <f>SUMIFS('fuels and tailpipe emissions'!$G$10:$G$126,'fuels and tailpipe emissions'!$A$10:$A$126,'vehicles specifications'!$F63,'fuels and tailpipe emissions'!$B$10:$B$126,'vehicles specifications'!BZ$2)/1000*$AQ63</f>
        <v>4.2892446252329494E-10</v>
      </c>
      <c r="CA63" s="7">
        <f>SUMIFS('fuels and tailpipe emissions'!$G$10:$G$126,'fuels and tailpipe emissions'!$A$10:$A$126,'vehicles specifications'!$F63,'fuels and tailpipe emissions'!$B$10:$B$126,'vehicles specifications'!CA$2)/1000*$AQ63</f>
        <v>2.8594964168219666E-10</v>
      </c>
      <c r="CB63" s="7">
        <f>SUMIFS('fuels and tailpipe emissions'!$G$10:$G$126,'fuels and tailpipe emissions'!$A$10:$A$126,'vehicles specifications'!$F63,'fuels and tailpipe emissions'!$B$10:$B$126,'vehicles specifications'!CB$2)/1000*$AQ63</f>
        <v>3.0882561301677236E-6</v>
      </c>
      <c r="CC63" s="7">
        <f>SUMIFS('fuels and tailpipe emissions'!$G$10:$G$126,'fuels and tailpipe emissions'!$A$10:$A$126,'vehicles specifications'!$F63,'fuels and tailpipe emissions'!$B$10:$B$126,'vehicles specifications'!CC$2)/1000*$AQ63</f>
        <v>6.0049424753261291E-8</v>
      </c>
      <c r="CD63" s="7">
        <f>SUMIFS('fuels and tailpipe emissions'!$G$10:$G$126,'fuels and tailpipe emissions'!$A$10:$A$126,'vehicles specifications'!$F63,'fuels and tailpipe emissions'!$B$10:$B$126,'vehicles specifications'!CD$2)/1000*$AQ63</f>
        <v>1.8586726709342784E-8</v>
      </c>
      <c r="CE63" s="7">
        <f>SUMIFS('fuels and tailpipe emissions'!$G$10:$G$126,'fuels and tailpipe emissions'!$A$10:$A$126,'vehicles specifications'!$F63,'fuels and tailpipe emissions'!$B$10:$B$126,'vehicles specifications'!CE$2)/1000*$AQ63</f>
        <v>2.2875971334575738E-8</v>
      </c>
      <c r="CF63" s="7">
        <f>SUMIFS('fuels and tailpipe emissions'!$G$10:$G$126,'fuels and tailpipe emissions'!$A$10:$A$126,'vehicles specifications'!$F63,'fuels and tailpipe emissions'!$B$10:$B$126,'vehicles specifications'!CF$2)/1000*$AQ63</f>
        <v>4.575194266915146E-11</v>
      </c>
      <c r="CG63" s="7">
        <f>SUMIFS('fuels and tailpipe emissions'!$G$10:$G$126,'fuels and tailpipe emissions'!$A$10:$A$126,'vehicles specifications'!$F63,'fuels and tailpipe emissions'!$B$10:$B$126,'vehicles specifications'!CG$2)/1000*$AQ63</f>
        <v>1.2438809413175553E-8</v>
      </c>
      <c r="CH63" s="7">
        <f>SUMIFS('fuels and tailpipe emissions'!$G$10:$G$126,'fuels and tailpipe emissions'!$A$10:$A$126,'vehicles specifications'!$F63,'fuels and tailpipe emissions'!$B$10:$B$126,'vehicles specifications'!CH$2)/1000*$AQ63</f>
        <v>1.5441280650838619E-8</v>
      </c>
      <c r="CI63" s="7">
        <f>VLOOKUP(B63,'abrasion emissions'!$A$4:$D$32,4,FALSE)</f>
        <v>6.0000000000000002E-6</v>
      </c>
      <c r="CJ63" s="7">
        <f>VLOOKUP(B63,'abrasion emissions'!$A$4:$D$32,2,FALSE)</f>
        <v>7.3669999999999991E-6</v>
      </c>
      <c r="CK63" s="7">
        <f>VLOOKUP(B63,'abrasion emissions'!$A$4:$D$32,3,FALSE)</f>
        <v>8.3499999999999997E-6</v>
      </c>
    </row>
    <row r="64" spans="1:89" x14ac:dyDescent="0.3">
      <c r="A64" t="str">
        <f t="shared" si="35"/>
        <v>Motorbike, gasoline, 11-35kW, EURO-5 - 2050 - CH</v>
      </c>
      <c r="B64" t="s">
        <v>696</v>
      </c>
      <c r="D64">
        <v>2050</v>
      </c>
      <c r="E64" t="s">
        <v>37</v>
      </c>
      <c r="F64" t="s">
        <v>149</v>
      </c>
      <c r="G64" t="s">
        <v>39</v>
      </c>
      <c r="H64" t="s">
        <v>35</v>
      </c>
      <c r="J64" s="21">
        <v>62100</v>
      </c>
      <c r="K64" s="21">
        <v>4592</v>
      </c>
      <c r="L64" s="2">
        <f t="shared" si="36"/>
        <v>13.523519163763066</v>
      </c>
      <c r="M64">
        <v>1.1000000000000001</v>
      </c>
      <c r="N64">
        <v>70</v>
      </c>
      <c r="O64">
        <v>6</v>
      </c>
      <c r="P64" s="2">
        <f t="shared" si="13"/>
        <v>150.26749999999998</v>
      </c>
      <c r="Q64" s="2">
        <f t="shared" si="37"/>
        <v>233.26749999999998</v>
      </c>
      <c r="R64" s="21">
        <v>20</v>
      </c>
      <c r="S64" s="2">
        <v>81</v>
      </c>
      <c r="T64" s="1">
        <v>7.0000000000000007E-2</v>
      </c>
      <c r="U64" s="2">
        <f t="shared" si="32"/>
        <v>75.33</v>
      </c>
      <c r="V64" s="2">
        <v>62</v>
      </c>
      <c r="W64" s="2">
        <v>0</v>
      </c>
      <c r="X64" s="3">
        <v>0</v>
      </c>
      <c r="Y64" s="1">
        <v>0.8</v>
      </c>
      <c r="Z64" s="3">
        <f t="shared" si="38"/>
        <v>0</v>
      </c>
      <c r="AA64" s="3">
        <v>0</v>
      </c>
      <c r="AB64" s="3">
        <v>0</v>
      </c>
      <c r="AC64" s="3">
        <f t="shared" si="39"/>
        <v>0</v>
      </c>
      <c r="AD64" s="3">
        <v>0</v>
      </c>
      <c r="AE64" s="3">
        <v>15</v>
      </c>
      <c r="AF64">
        <f>AE64*'fuels and tailpipe emissions'!$B$3</f>
        <v>11.25</v>
      </c>
      <c r="AG64" s="2">
        <f>AF64*'fuels and tailpipe emissions'!$C$3</f>
        <v>132.5</v>
      </c>
      <c r="AH64" s="3">
        <f t="shared" si="33"/>
        <v>1.6875</v>
      </c>
      <c r="AI64" s="3">
        <v>0</v>
      </c>
      <c r="AJ64" s="3">
        <v>0</v>
      </c>
      <c r="AK64">
        <f t="shared" si="30"/>
        <v>1.242</v>
      </c>
      <c r="AL64">
        <f t="shared" si="15"/>
        <v>1.252646475E-4</v>
      </c>
      <c r="AM64">
        <v>1.2899999999999999E-3</v>
      </c>
      <c r="AN64" s="2">
        <f t="shared" si="40"/>
        <v>75.33</v>
      </c>
      <c r="AO64" s="2">
        <f t="shared" si="41"/>
        <v>62</v>
      </c>
      <c r="AP64" s="2">
        <f t="shared" si="42"/>
        <v>0</v>
      </c>
      <c r="AQ64" s="6">
        <v>1.4154507263268734</v>
      </c>
      <c r="AR64" s="6" t="str">
        <f>IF($H64="BEV",SUMPRODUCT(#REF!,#REF!),"")</f>
        <v/>
      </c>
      <c r="AS64" s="2">
        <f>SUM(Z64,AG64)/(SUM(AQ64:AR64)/3.6)</f>
        <v>336.99512892110755</v>
      </c>
      <c r="AT64" s="5">
        <f>IF($H64="ICEV-p",$AQ64/('fuels and tailpipe emissions'!$C$3*3.6)*'fuels and tailpipe emissions'!$D$3,"")</f>
        <v>0.10615880447451551</v>
      </c>
      <c r="AU64" s="7">
        <f>IF($H64="ICEV-p",$AQ64/('fuels and tailpipe emissions'!$C$3*3.6)*'fuels and tailpipe emissions'!$E$3,"")</f>
        <v>5.3413234955731065E-7</v>
      </c>
      <c r="AV64" s="7">
        <f>SUMIFS('fuels and tailpipe emissions'!$G$10:$G$126,'fuels and tailpipe emissions'!$A$10:$A$126,'vehicles specifications'!$F64,'fuels and tailpipe emissions'!$B$10:$B$126,'vehicles specifications'!AV$2)/1000*$AQ64</f>
        <v>1.0790561098847618E-6</v>
      </c>
      <c r="AW64" s="7">
        <f>SUMIFS('fuels and tailpipe emissions'!$G$10:$G$126,'fuels and tailpipe emissions'!$A$10:$A$126,'vehicles specifications'!$F64,'fuels and tailpipe emissions'!$B$10:$B$126,'vehicles specifications'!AW$2)/1000*$AQ64</f>
        <v>2.6606334474823498E-5</v>
      </c>
      <c r="AX64" s="7">
        <f>SUMIFS('fuels and tailpipe emissions'!$G$10:$G$126,'fuels and tailpipe emissions'!$A$10:$A$126,'vehicles specifications'!$F64,'fuels and tailpipe emissions'!$B$10:$B$126,'vehicles specifications'!AX$2)/1000*$AQ64</f>
        <v>1.1812665535199882E-4</v>
      </c>
      <c r="AY64" s="7">
        <f>SUMIFS('fuels and tailpipe emissions'!$G$10:$G$126,'fuels and tailpipe emissions'!$A$10:$A$126,'vehicles specifications'!$F64,'fuels and tailpipe emissions'!$B$10:$B$126,'vehicles specifications'!AY$2)/1000*$AQ64</f>
        <v>8.0019051052100739E-7</v>
      </c>
      <c r="AZ64" s="7">
        <f>SUMIFS('fuels and tailpipe emissions'!$G$10:$G$126,'fuels and tailpipe emissions'!$A$10:$A$126,'vehicles specifications'!$F64,'fuels and tailpipe emissions'!$B$10:$B$126,'vehicles specifications'!AZ$2)/1000*$AQ64</f>
        <v>8.0019051052100739E-7</v>
      </c>
      <c r="BA64" s="7">
        <f>SUMIFS('fuels and tailpipe emissions'!$G$10:$G$126,'fuels and tailpipe emissions'!$A$10:$A$126,'vehicles specifications'!$F64,'fuels and tailpipe emissions'!$B$10:$B$126,'vehicles specifications'!BA$2)/1000*$AQ64</f>
        <v>8.7220273353176207E-6</v>
      </c>
      <c r="BB64" s="7">
        <f>SUMIFS('fuels and tailpipe emissions'!$G$10:$G$126,'fuels and tailpipe emissions'!$A$10:$A$126,'vehicles specifications'!$F64,'fuels and tailpipe emissions'!$B$10:$B$126,'vehicles specifications'!BB$2)/1000*$AQ64</f>
        <v>2.0004762763025187E-6</v>
      </c>
      <c r="BC64" s="7">
        <f>SUMIFS('fuels and tailpipe emissions'!$G$10:$G$126,'fuels and tailpipe emissions'!$A$10:$A$126,'vehicles specifications'!$F64,'fuels and tailpipe emissions'!$B$10:$B$126,'vehicles specifications'!BC$2)/1000*$AQ64</f>
        <v>8.7016931214236427E-6</v>
      </c>
      <c r="BD64" s="7">
        <f>SUMIFS('fuels and tailpipe emissions'!$G$10:$G$126,'fuels and tailpipe emissions'!$A$10:$A$126,'vehicles specifications'!$F64,'fuels and tailpipe emissions'!$B$10:$B$126,'vehicles specifications'!BD$2)/1000*$AQ64</f>
        <v>6.1358092522859004E-7</v>
      </c>
      <c r="BE64" s="7">
        <f>SUMIFS('fuels and tailpipe emissions'!$G$10:$G$126,'fuels and tailpipe emissions'!$A$10:$A$126,'vehicles specifications'!$F64,'fuels and tailpipe emissions'!$B$10:$B$126,'vehicles specifications'!BE$2)/1000*$AQ64</f>
        <v>1.2502432645723621E-7</v>
      </c>
      <c r="BF64" s="7">
        <f>SUMIFS('fuels and tailpipe emissions'!$G$10:$G$126,'fuels and tailpipe emissions'!$A$10:$A$126,'vehicles specifications'!$F64,'fuels and tailpipe emissions'!$B$10:$B$126,'vehicles specifications'!BF$2)/1000*$AQ64</f>
        <v>1.0078884163629505E-6</v>
      </c>
      <c r="BG64" s="7">
        <f>SUMIFS('fuels and tailpipe emissions'!$G$10:$G$126,'fuels and tailpipe emissions'!$A$10:$A$126,'vehicles specifications'!$F64,'fuels and tailpipe emissions'!$B$10:$B$126,'vehicles specifications'!BG$2)/1000*$AQ64</f>
        <v>4.1354200289701212E-7</v>
      </c>
      <c r="BH64" s="7">
        <f>SUMIFS('fuels and tailpipe emissions'!$G$10:$G$126,'fuels and tailpipe emissions'!$A$10:$A$126,'vehicles specifications'!$F64,'fuels and tailpipe emissions'!$B$10:$B$126,'vehicles specifications'!BH$2)/1000*$AQ64</f>
        <v>3.0967563937869277E-7</v>
      </c>
      <c r="BI64" s="7">
        <f>SUMIFS('fuels and tailpipe emissions'!$G$10:$G$126,'fuels and tailpipe emissions'!$A$10:$A$126,'vehicles specifications'!$F64,'fuels and tailpipe emissions'!$B$10:$B$126,'vehicles specifications'!BI$2)/1000*$AQ64</f>
        <v>2.1927343409422966E-7</v>
      </c>
      <c r="BJ64" s="7">
        <f>SUMIFS('fuels and tailpipe emissions'!$G$10:$G$126,'fuels and tailpipe emissions'!$A$10:$A$126,'vehicles specifications'!$F64,'fuels and tailpipe emissions'!$B$10:$B$126,'vehicles specifications'!BJ$2)/1000*$AQ64</f>
        <v>1.4233538704362279E-7</v>
      </c>
      <c r="BK64" s="7">
        <f>SUMIFS('fuels and tailpipe emissions'!$G$10:$G$126,'fuels and tailpipe emissions'!$A$10:$A$126,'vehicles specifications'!$F64,'fuels and tailpipe emissions'!$B$10:$B$126,'vehicles specifications'!BK$2)/1000*$AQ64</f>
        <v>1.404119358673576E-6</v>
      </c>
      <c r="BL64" s="7">
        <f>SUMIFS('fuels and tailpipe emissions'!$G$10:$G$126,'fuels and tailpipe emissions'!$A$10:$A$126,'vehicles specifications'!$F64,'fuels and tailpipe emissions'!$B$10:$B$126,'vehicles specifications'!BL$2)/1000*$AQ64</f>
        <v>7.3475834933329586E-7</v>
      </c>
      <c r="BM64" s="7">
        <f>SUMIFS('fuels and tailpipe emissions'!$G$10:$G$126,'fuels and tailpipe emissions'!$A$10:$A$126,'vehicles specifications'!$F64,'fuels and tailpipe emissions'!$B$10:$B$126,'vehicles specifications'!BM$2)/1000*$AQ64</f>
        <v>2.1157962938916902E-8</v>
      </c>
      <c r="BN64" s="7">
        <f>SUMIFS('fuels and tailpipe emissions'!$G$10:$G$126,'fuels and tailpipe emissions'!$A$10:$A$126,'vehicles specifications'!$F64,'fuels and tailpipe emissions'!$B$10:$B$126,'vehicles specifications'!BN$2)/1000*$AQ64</f>
        <v>1.0790561098847618E-6</v>
      </c>
      <c r="BO64" s="7">
        <f>SUMIFS('fuels and tailpipe emissions'!$G$10:$G$126,'fuels and tailpipe emissions'!$A$10:$A$126,'vehicles specifications'!$F64,'fuels and tailpipe emissions'!$B$10:$B$126,'vehicles specifications'!BO$2)/1000*$AQ64</f>
        <v>2.1119493915391591E-6</v>
      </c>
      <c r="BP64" s="7">
        <f>SUMIFS('fuels and tailpipe emissions'!$G$10:$G$126,'fuels and tailpipe emissions'!$A$10:$A$126,'vehicles specifications'!$F64,'fuels and tailpipe emissions'!$B$10:$B$126,'vehicles specifications'!BP$2)/1000*$AQ64</f>
        <v>1.0444339887119887E-6</v>
      </c>
      <c r="BQ64" s="7">
        <f>SUMIFS('fuels and tailpipe emissions'!$G$10:$G$126,'fuels and tailpipe emissions'!$A$10:$A$126,'vehicles specifications'!$F64,'fuels and tailpipe emissions'!$B$10:$B$126,'vehicles specifications'!BQ$2)/1000*$AQ64</f>
        <v>4.3469996583592895E-7</v>
      </c>
      <c r="BR64" s="7">
        <f>SUMIFS('fuels and tailpipe emissions'!$G$10:$G$126,'fuels and tailpipe emissions'!$A$10:$A$126,'vehicles specifications'!$F64,'fuels and tailpipe emissions'!$B$10:$B$126,'vehicles specifications'!BR$2)/1000*$AQ64</f>
        <v>3.2698669996507936E-7</v>
      </c>
      <c r="BS64" s="7">
        <f>SUMIFS('fuels and tailpipe emissions'!$G$10:$G$126,'fuels and tailpipe emissions'!$A$10:$A$126,'vehicles specifications'!$F64,'fuels and tailpipe emissions'!$B$10:$B$126,'vehicles specifications'!BS$2)/1000*$AQ64</f>
        <v>1.4425883821988794E-7</v>
      </c>
      <c r="BT64" s="7">
        <f>SUMIFS('fuels and tailpipe emissions'!$G$10:$G$126,'fuels and tailpipe emissions'!$A$10:$A$126,'vehicles specifications'!$F64,'fuels and tailpipe emissions'!$B$10:$B$126,'vehicles specifications'!BT$2)/1000*$AQ64</f>
        <v>4.2315925877833804E-8</v>
      </c>
      <c r="BU64" s="7">
        <f>SUMIFS('fuels and tailpipe emissions'!$G$10:$G$126,'fuels and tailpipe emissions'!$A$10:$A$126,'vehicles specifications'!$F64,'fuels and tailpipe emissions'!$B$10:$B$126,'vehicles specifications'!BU$2)/1000*$AQ64</f>
        <v>1.1733052175217554E-7</v>
      </c>
      <c r="BV64" s="7">
        <f>SUMIFS('fuels and tailpipe emissions'!$G$10:$G$126,'fuels and tailpipe emissions'!$A$10:$A$126,'vehicles specifications'!$F64,'fuels and tailpipe emissions'!$B$10:$B$126,'vehicles specifications'!BV$2)/1000*$AQ64</f>
        <v>0</v>
      </c>
      <c r="BW64" s="7">
        <f>SUMIFS('fuels and tailpipe emissions'!$G$10:$G$126,'fuels and tailpipe emissions'!$A$10:$A$126,'vehicles specifications'!$F64,'fuels and tailpipe emissions'!$B$10:$B$126,'vehicles specifications'!BW$2)/1000*$AQ64</f>
        <v>3.654557234903828E-8</v>
      </c>
      <c r="BX64" s="7">
        <f>SUMIFS('fuels and tailpipe emissions'!$G$10:$G$126,'fuels and tailpipe emissions'!$A$10:$A$126,'vehicles specifications'!$F64,'fuels and tailpipe emissions'!$B$10:$B$126,'vehicles specifications'!BX$2)/1000*$AQ64</f>
        <v>1.9426856880278244E-7</v>
      </c>
      <c r="BY64" s="7">
        <f>SUMIFS('fuels and tailpipe emissions'!$G$10:$G$126,'fuels and tailpipe emissions'!$A$10:$A$126,'vehicles specifications'!$F64,'fuels and tailpipe emissions'!$B$10:$B$126,'vehicles specifications'!BY$2)/1000*$AQ64</f>
        <v>4.9257685276175197E-8</v>
      </c>
      <c r="BZ64" s="7">
        <f>SUMIFS('fuels and tailpipe emissions'!$G$10:$G$126,'fuels and tailpipe emissions'!$A$10:$A$126,'vehicles specifications'!$F64,'fuels and tailpipe emissions'!$B$10:$B$126,'vehicles specifications'!BZ$2)/1000*$AQ64</f>
        <v>4.24635217898062E-10</v>
      </c>
      <c r="CA64" s="7">
        <f>SUMIFS('fuels and tailpipe emissions'!$G$10:$G$126,'fuels and tailpipe emissions'!$A$10:$A$126,'vehicles specifications'!$F64,'fuels and tailpipe emissions'!$B$10:$B$126,'vehicles specifications'!CA$2)/1000*$AQ64</f>
        <v>2.8309014526537472E-10</v>
      </c>
      <c r="CB64" s="7">
        <f>SUMIFS('fuels and tailpipe emissions'!$G$10:$G$126,'fuels and tailpipe emissions'!$A$10:$A$126,'vehicles specifications'!$F64,'fuels and tailpipe emissions'!$B$10:$B$126,'vehicles specifications'!CB$2)/1000*$AQ64</f>
        <v>3.0573735688660467E-6</v>
      </c>
      <c r="CC64" s="7">
        <f>SUMIFS('fuels and tailpipe emissions'!$G$10:$G$126,'fuels and tailpipe emissions'!$A$10:$A$126,'vehicles specifications'!$F64,'fuels and tailpipe emissions'!$B$10:$B$126,'vehicles specifications'!CC$2)/1000*$AQ64</f>
        <v>5.944893050572868E-8</v>
      </c>
      <c r="CD64" s="7">
        <f>SUMIFS('fuels and tailpipe emissions'!$G$10:$G$126,'fuels and tailpipe emissions'!$A$10:$A$126,'vehicles specifications'!$F64,'fuels and tailpipe emissions'!$B$10:$B$126,'vehicles specifications'!CD$2)/1000*$AQ64</f>
        <v>1.8400859442249354E-8</v>
      </c>
      <c r="CE64" s="7">
        <f>SUMIFS('fuels and tailpipe emissions'!$G$10:$G$126,'fuels and tailpipe emissions'!$A$10:$A$126,'vehicles specifications'!$F64,'fuels and tailpipe emissions'!$B$10:$B$126,'vehicles specifications'!CE$2)/1000*$AQ64</f>
        <v>2.264721162122998E-8</v>
      </c>
      <c r="CF64" s="7">
        <f>SUMIFS('fuels and tailpipe emissions'!$G$10:$G$126,'fuels and tailpipe emissions'!$A$10:$A$126,'vehicles specifications'!$F64,'fuels and tailpipe emissions'!$B$10:$B$126,'vehicles specifications'!CF$2)/1000*$AQ64</f>
        <v>4.529442324245995E-11</v>
      </c>
      <c r="CG64" s="7">
        <f>SUMIFS('fuels and tailpipe emissions'!$G$10:$G$126,'fuels and tailpipe emissions'!$A$10:$A$126,'vehicles specifications'!$F64,'fuels and tailpipe emissions'!$B$10:$B$126,'vehicles specifications'!CG$2)/1000*$AQ64</f>
        <v>1.2314421319043799E-8</v>
      </c>
      <c r="CH64" s="7">
        <f>SUMIFS('fuels and tailpipe emissions'!$G$10:$G$126,'fuels and tailpipe emissions'!$A$10:$A$126,'vehicles specifications'!$F64,'fuels and tailpipe emissions'!$B$10:$B$126,'vehicles specifications'!CH$2)/1000*$AQ64</f>
        <v>1.5286867844330234E-8</v>
      </c>
      <c r="CI64" s="7">
        <f>VLOOKUP(B64,'abrasion emissions'!$A$4:$D$32,4,FALSE)</f>
        <v>6.0000000000000002E-6</v>
      </c>
      <c r="CJ64" s="7">
        <f>VLOOKUP(B64,'abrasion emissions'!$A$4:$D$32,2,FALSE)</f>
        <v>7.3669999999999991E-6</v>
      </c>
      <c r="CK64" s="7">
        <f>VLOOKUP(B64,'abrasion emissions'!$A$4:$D$32,3,FALSE)</f>
        <v>8.3499999999999997E-6</v>
      </c>
    </row>
    <row r="65" spans="1:89" x14ac:dyDescent="0.3">
      <c r="A65" t="str">
        <f t="shared" si="35"/>
        <v>Motorbike, gasoline, &gt;35kW, EURO-3 - 2006 - CH</v>
      </c>
      <c r="B65" t="s">
        <v>703</v>
      </c>
      <c r="D65">
        <v>2006</v>
      </c>
      <c r="E65" t="s">
        <v>37</v>
      </c>
      <c r="F65" t="s">
        <v>147</v>
      </c>
      <c r="G65" t="s">
        <v>39</v>
      </c>
      <c r="H65" t="s">
        <v>35</v>
      </c>
      <c r="J65" s="21">
        <v>62100</v>
      </c>
      <c r="K65" s="21">
        <v>4592</v>
      </c>
      <c r="L65" s="2">
        <f t="shared" si="36"/>
        <v>13.523519163763066</v>
      </c>
      <c r="M65">
        <v>1.1000000000000001</v>
      </c>
      <c r="N65">
        <v>70</v>
      </c>
      <c r="O65">
        <v>6</v>
      </c>
      <c r="P65" s="2">
        <f t="shared" si="13"/>
        <v>262.07499999999999</v>
      </c>
      <c r="Q65" s="2">
        <f t="shared" si="37"/>
        <v>345.07499999999999</v>
      </c>
      <c r="R65">
        <v>91</v>
      </c>
      <c r="S65" s="2">
        <v>111</v>
      </c>
      <c r="T65" s="1">
        <v>-0.05</v>
      </c>
      <c r="U65" s="2">
        <f t="shared" si="32"/>
        <v>116.55000000000001</v>
      </c>
      <c r="V65" s="2">
        <v>130</v>
      </c>
      <c r="W65" s="2">
        <v>0</v>
      </c>
      <c r="X65" s="3">
        <v>0</v>
      </c>
      <c r="Y65" s="1">
        <v>0.8</v>
      </c>
      <c r="Z65" s="3">
        <f t="shared" si="38"/>
        <v>0</v>
      </c>
      <c r="AA65" s="3">
        <v>0</v>
      </c>
      <c r="AB65" s="3">
        <v>0</v>
      </c>
      <c r="AC65" s="3">
        <f t="shared" si="39"/>
        <v>0</v>
      </c>
      <c r="AD65" s="3">
        <v>0</v>
      </c>
      <c r="AE65" s="3">
        <v>18</v>
      </c>
      <c r="AF65">
        <f>AE65*'fuels and tailpipe emissions'!$B$3</f>
        <v>13.5</v>
      </c>
      <c r="AG65" s="2">
        <f>AF65*'fuels and tailpipe emissions'!$C$3</f>
        <v>159</v>
      </c>
      <c r="AH65" s="3">
        <f t="shared" si="33"/>
        <v>2.0249999999999999</v>
      </c>
      <c r="AI65" s="3">
        <v>0</v>
      </c>
      <c r="AJ65" s="3">
        <v>0</v>
      </c>
      <c r="AK65">
        <f t="shared" si="30"/>
        <v>1.242</v>
      </c>
      <c r="AL65">
        <f t="shared" si="15"/>
        <v>1.8530527499999999E-4</v>
      </c>
      <c r="AM65">
        <v>1.2899999999999999E-3</v>
      </c>
      <c r="AN65" s="2">
        <f t="shared" si="40"/>
        <v>116.55000000000001</v>
      </c>
      <c r="AO65" s="2">
        <f t="shared" si="41"/>
        <v>130</v>
      </c>
      <c r="AP65" s="2">
        <f t="shared" si="42"/>
        <v>0</v>
      </c>
      <c r="AQ65" s="6">
        <v>1.9734383163842311</v>
      </c>
      <c r="AR65" s="6" t="str">
        <f>IF($H65="BEV",SUMPRODUCT(#REF!,#REF!),"")</f>
        <v/>
      </c>
      <c r="AS65" s="2">
        <f>SUM(Z65,AG65)/(SUM(AQ65:AR65)/3.6)</f>
        <v>290.05213654144586</v>
      </c>
      <c r="AT65" s="5">
        <f>IF($H65="ICEV-p",$AQ65/('fuels and tailpipe emissions'!$C$3*3.6)*'fuels and tailpipe emissions'!$D$3,"")</f>
        <v>0.14800787372881735</v>
      </c>
      <c r="AU65" s="7">
        <f>IF($H65="ICEV-p",$AQ65/('fuels and tailpipe emissions'!$C$3*3.6)*'fuels and tailpipe emissions'!$E$3,"")</f>
        <v>7.4469370429593623E-7</v>
      </c>
      <c r="AV65" s="7">
        <f>SUMIFS('fuels and tailpipe emissions'!$H$10:$H$126,'fuels and tailpipe emissions'!$A$10:$A$126,'vehicles specifications'!$F65,'fuels and tailpipe emissions'!$B$10:$B$126,'vehicles specifications'!AV$2)/1000*$AQ65</f>
        <v>7.237951507199054E-6</v>
      </c>
      <c r="AW65" s="7">
        <f>SUMIFS('fuels and tailpipe emissions'!$H$10:$H$126,'fuels and tailpipe emissions'!$A$10:$A$126,'vehicles specifications'!$F65,'fuels and tailpipe emissions'!$B$10:$B$126,'vehicles specifications'!AW$2)/1000*$AQ65</f>
        <v>1.6720380300830153E-5</v>
      </c>
      <c r="AX65" s="7">
        <f>SUMIFS('fuels and tailpipe emissions'!$H$10:$H$126,'fuels and tailpipe emissions'!$A$10:$A$126,'vehicles specifications'!$F65,'fuels and tailpipe emissions'!$B$10:$B$126,'vehicles specifications'!AX$2)/1000*$AQ65</f>
        <v>2.9373204293002417E-4</v>
      </c>
      <c r="AY65" s="7">
        <f>SUMIFS('fuels and tailpipe emissions'!$H$10:$H$126,'fuels and tailpipe emissions'!$A$10:$A$126,'vehicles specifications'!$F65,'fuels and tailpipe emissions'!$B$10:$B$126,'vehicles specifications'!AY$2)/1000*$AQ65</f>
        <v>8.8002001583316587E-7</v>
      </c>
      <c r="AZ65" s="7">
        <f>SUMIFS('fuels and tailpipe emissions'!$H$10:$H$126,'fuels and tailpipe emissions'!$A$10:$A$126,'vehicles specifications'!$F65,'fuels and tailpipe emissions'!$B$10:$B$126,'vehicles specifications'!AZ$2)/1000*$AQ65</f>
        <v>8.8002001583316587E-7</v>
      </c>
      <c r="BA65" s="7">
        <f>SUMIFS('fuels and tailpipe emissions'!$H$10:$H$126,'fuels and tailpipe emissions'!$A$10:$A$126,'vehicles specifications'!$F65,'fuels and tailpipe emissions'!$B$10:$B$126,'vehicles specifications'!BA$2)/1000*$AQ65</f>
        <v>3.1128530669022286E-5</v>
      </c>
      <c r="BB65" s="7">
        <f>SUMIFS('fuels and tailpipe emissions'!$H$10:$H$126,'fuels and tailpipe emissions'!$A$10:$A$126,'vehicles specifications'!$F65,'fuels and tailpipe emissions'!$B$10:$B$126,'vehicles specifications'!BB$2)/1000*$AQ65</f>
        <v>2.2000500395829146E-6</v>
      </c>
      <c r="BC65" s="7">
        <f>SUMIFS('fuels and tailpipe emissions'!$H$10:$H$126,'fuels and tailpipe emissions'!$A$10:$A$126,'vehicles specifications'!$F65,'fuels and tailpipe emissions'!$B$10:$B$126,'vehicles specifications'!BC$2)/1000*$AQ65</f>
        <v>5.8368079533990228E-5</v>
      </c>
      <c r="BD65" s="7">
        <f>SUMIFS('fuels and tailpipe emissions'!$H$10:$H$126,'fuels and tailpipe emissions'!$A$10:$A$126,'vehicles specifications'!$F65,'fuels and tailpipe emissions'!$B$10:$B$126,'vehicles specifications'!BD$2)/1000*$AQ65</f>
        <v>4.1156979158582854E-6</v>
      </c>
      <c r="BE65" s="7">
        <f>SUMIFS('fuels and tailpipe emissions'!$H$10:$H$126,'fuels and tailpipe emissions'!$A$10:$A$126,'vehicles specifications'!$F65,'fuels and tailpipe emissions'!$B$10:$B$126,'vehicles specifications'!BE$2)/1000*$AQ65</f>
        <v>8.3862183238491708E-7</v>
      </c>
      <c r="BF65" s="7">
        <f>SUMIFS('fuels and tailpipe emissions'!$H$10:$H$126,'fuels and tailpipe emissions'!$A$10:$A$126,'vehicles specifications'!$F65,'fuels and tailpipe emissions'!$B$10:$B$126,'vehicles specifications'!BF$2)/1000*$AQ65</f>
        <v>6.7605821564568703E-6</v>
      </c>
      <c r="BG65" s="7">
        <f>SUMIFS('fuels and tailpipe emissions'!$H$10:$H$126,'fuels and tailpipe emissions'!$A$10:$A$126,'vehicles specifications'!$F65,'fuels and tailpipe emissions'!$B$10:$B$126,'vehicles specifications'!BG$2)/1000*$AQ65</f>
        <v>2.7739029840424182E-6</v>
      </c>
      <c r="BH65" s="7">
        <f>SUMIFS('fuels and tailpipe emissions'!$H$10:$H$126,'fuels and tailpipe emissions'!$A$10:$A$126,'vehicles specifications'!$F65,'fuels and tailpipe emissions'!$B$10:$B$126,'vehicles specifications'!BH$2)/1000*$AQ65</f>
        <v>2.0772017694457178E-6</v>
      </c>
      <c r="BI65" s="7">
        <f>SUMIFS('fuels and tailpipe emissions'!$H$10:$H$126,'fuels and tailpipe emissions'!$A$10:$A$126,'vehicles specifications'!$F65,'fuels and tailpipe emissions'!$B$10:$B$126,'vehicles specifications'!BI$2)/1000*$AQ65</f>
        <v>1.4708136752597006E-6</v>
      </c>
      <c r="BJ65" s="7">
        <f>SUMIFS('fuels and tailpipe emissions'!$H$10:$H$126,'fuels and tailpipe emissions'!$A$10:$A$126,'vehicles specifications'!$F65,'fuels and tailpipe emissions'!$B$10:$B$126,'vehicles specifications'!BJ$2)/1000*$AQ65</f>
        <v>9.5473870148436736E-7</v>
      </c>
      <c r="BK65" s="7">
        <f>SUMIFS('fuels and tailpipe emissions'!$H$10:$H$126,'fuels and tailpipe emissions'!$A$10:$A$126,'vehicles specifications'!$F65,'fuels and tailpipe emissions'!$B$10:$B$126,'vehicles specifications'!BK$2)/1000*$AQ65</f>
        <v>9.4183682713998361E-6</v>
      </c>
      <c r="BL65" s="7">
        <f>SUMIFS('fuels and tailpipe emissions'!$H$10:$H$126,'fuels and tailpipe emissions'!$A$10:$A$126,'vehicles specifications'!$F65,'fuels and tailpipe emissions'!$B$10:$B$126,'vehicles specifications'!BL$2)/1000*$AQ65</f>
        <v>4.928515999554436E-6</v>
      </c>
      <c r="BM65" s="7">
        <f>SUMIFS('fuels and tailpipe emissions'!$H$10:$H$126,'fuels and tailpipe emissions'!$A$10:$A$126,'vehicles specifications'!$F65,'fuels and tailpipe emissions'!$B$10:$B$126,'vehicles specifications'!BM$2)/1000*$AQ65</f>
        <v>1.4192061778821673E-7</v>
      </c>
      <c r="BN65" s="7">
        <f>SUMIFS('fuels and tailpipe emissions'!$H$10:$H$126,'fuels and tailpipe emissions'!$A$10:$A$126,'vehicles specifications'!$F65,'fuels and tailpipe emissions'!$B$10:$B$126,'vehicles specifications'!BN$2)/1000*$AQ65</f>
        <v>7.237951507199054E-6</v>
      </c>
      <c r="BO65" s="7">
        <f>SUMIFS('fuels and tailpipe emissions'!$H$10:$H$126,'fuels and tailpipe emissions'!$A$10:$A$126,'vehicles specifications'!$F65,'fuels and tailpipe emissions'!$B$10:$B$126,'vehicles specifications'!BO$2)/1000*$AQ65</f>
        <v>1.4166258030132906E-5</v>
      </c>
      <c r="BP65" s="7">
        <f>SUMIFS('fuels and tailpipe emissions'!$H$10:$H$126,'fuels and tailpipe emissions'!$A$10:$A$126,'vehicles specifications'!$F65,'fuels and tailpipe emissions'!$B$10:$B$126,'vehicles specifications'!BP$2)/1000*$AQ65</f>
        <v>7.0057177690001534E-6</v>
      </c>
      <c r="BQ65" s="7">
        <f>SUMIFS('fuels and tailpipe emissions'!$H$10:$H$126,'fuels and tailpipe emissions'!$A$10:$A$126,'vehicles specifications'!$F65,'fuels and tailpipe emissions'!$B$10:$B$126,'vehicles specifications'!BQ$2)/1000*$AQ65</f>
        <v>2.9158236018306349E-6</v>
      </c>
      <c r="BR65" s="7">
        <f>SUMIFS('fuels and tailpipe emissions'!$H$10:$H$126,'fuels and tailpipe emissions'!$A$10:$A$126,'vehicles specifications'!$F65,'fuels and tailpipe emissions'!$B$10:$B$126,'vehicles specifications'!BR$2)/1000*$AQ65</f>
        <v>2.1933186385451676E-6</v>
      </c>
      <c r="BS65" s="7">
        <f>SUMIFS('fuels and tailpipe emissions'!$H$10:$H$126,'fuels and tailpipe emissions'!$A$10:$A$126,'vehicles specifications'!$F65,'fuels and tailpipe emissions'!$B$10:$B$126,'vehicles specifications'!BS$2)/1000*$AQ65</f>
        <v>9.6764057582875035E-7</v>
      </c>
      <c r="BT65" s="7">
        <f>SUMIFS('fuels and tailpipe emissions'!$H$10:$H$126,'fuels and tailpipe emissions'!$A$10:$A$126,'vehicles specifications'!$F65,'fuels and tailpipe emissions'!$B$10:$B$126,'vehicles specifications'!BT$2)/1000*$AQ65</f>
        <v>2.8384123557643346E-7</v>
      </c>
      <c r="BU65" s="7">
        <f>SUMIFS('fuels and tailpipe emissions'!$H$10:$H$126,'fuels and tailpipe emissions'!$A$10:$A$126,'vehicles specifications'!$F65,'fuels and tailpipe emissions'!$B$10:$B$126,'vehicles specifications'!BU$2)/1000*$AQ65</f>
        <v>7.8701433500738386E-7</v>
      </c>
      <c r="BV65" s="7">
        <f>SUMIFS('fuels and tailpipe emissions'!$H$10:$H$126,'fuels and tailpipe emissions'!$A$10:$A$126,'vehicles specifications'!$F65,'fuels and tailpipe emissions'!$B$10:$B$126,'vehicles specifications'!BV$2)/1000*$AQ65</f>
        <v>6.4509371721916699E-8</v>
      </c>
      <c r="BW65" s="7">
        <f>SUMIFS('fuels and tailpipe emissions'!$H$10:$H$126,'fuels and tailpipe emissions'!$A$10:$A$126,'vehicles specifications'!$F65,'fuels and tailpipe emissions'!$B$10:$B$126,'vehicles specifications'!BW$2)/1000*$AQ65</f>
        <v>2.4513561254328344E-7</v>
      </c>
      <c r="BX65" s="7">
        <f>SUMIFS('fuels and tailpipe emissions'!$H$10:$H$126,'fuels and tailpipe emissions'!$A$10:$A$126,'vehicles specifications'!$F65,'fuels and tailpipe emissions'!$B$10:$B$126,'vehicles specifications'!BX$2)/1000*$AQ65</f>
        <v>1.3030893087827173E-6</v>
      </c>
      <c r="BY65" s="7">
        <f>SUMIFS('fuels and tailpipe emissions'!$H$10:$H$126,'fuels and tailpipe emissions'!$A$10:$A$126,'vehicles specifications'!$F65,'fuels and tailpipe emissions'!$B$10:$B$126,'vehicles specifications'!BY$2)/1000*$AQ65</f>
        <v>6.8675653410171242E-8</v>
      </c>
      <c r="BZ65" s="7">
        <f>SUMIFS('fuels and tailpipe emissions'!$H$10:$H$126,'fuels and tailpipe emissions'!$A$10:$A$126,'vehicles specifications'!$F65,'fuels and tailpipe emissions'!$B$10:$B$126,'vehicles specifications'!BZ$2)/1000*$AQ65</f>
        <v>5.9203149491526932E-10</v>
      </c>
      <c r="CA65" s="7">
        <f>SUMIFS('fuels and tailpipe emissions'!$H$10:$H$126,'fuels and tailpipe emissions'!$A$10:$A$126,'vehicles specifications'!$F65,'fuels and tailpipe emissions'!$B$10:$B$126,'vehicles specifications'!CA$2)/1000*$AQ65</f>
        <v>3.9468766327684625E-10</v>
      </c>
      <c r="CB65" s="7">
        <f>SUMIFS('fuels and tailpipe emissions'!$H$10:$H$126,'fuels and tailpipe emissions'!$A$10:$A$126,'vehicles specifications'!$F65,'fuels and tailpipe emissions'!$B$10:$B$126,'vehicles specifications'!CB$2)/1000*$AQ65</f>
        <v>4.2626267633899395E-6</v>
      </c>
      <c r="CC65" s="7">
        <f>SUMIFS('fuels and tailpipe emissions'!$H$10:$H$126,'fuels and tailpipe emissions'!$A$10:$A$126,'vehicles specifications'!$F65,'fuels and tailpipe emissions'!$B$10:$B$126,'vehicles specifications'!CC$2)/1000*$AQ65</f>
        <v>8.2884409288137703E-8</v>
      </c>
      <c r="CD65" s="7">
        <f>SUMIFS('fuels and tailpipe emissions'!$H$10:$H$126,'fuels and tailpipe emissions'!$A$10:$A$126,'vehicles specifications'!$F65,'fuels and tailpipe emissions'!$B$10:$B$126,'vehicles specifications'!CD$2)/1000*$AQ65</f>
        <v>2.5654698112995006E-8</v>
      </c>
      <c r="CE65" s="7">
        <f>SUMIFS('fuels and tailpipe emissions'!$H$10:$H$126,'fuels and tailpipe emissions'!$A$10:$A$126,'vehicles specifications'!$F65,'fuels and tailpipe emissions'!$B$10:$B$126,'vehicles specifications'!CE$2)/1000*$AQ65</f>
        <v>3.1575013062147705E-8</v>
      </c>
      <c r="CF65" s="7">
        <f>SUMIFS('fuels and tailpipe emissions'!$H$10:$H$126,'fuels and tailpipe emissions'!$A$10:$A$126,'vehicles specifications'!$F65,'fuels and tailpipe emissions'!$B$10:$B$126,'vehicles specifications'!CF$2)/1000*$AQ65</f>
        <v>6.3150026124295389E-11</v>
      </c>
      <c r="CG65" s="7">
        <f>SUMIFS('fuels and tailpipe emissions'!$H$10:$H$126,'fuels and tailpipe emissions'!$A$10:$A$126,'vehicles specifications'!$F65,'fuels and tailpipe emissions'!$B$10:$B$126,'vehicles specifications'!CG$2)/1000*$AQ65</f>
        <v>1.7168913352542811E-8</v>
      </c>
      <c r="CH65" s="7">
        <f>SUMIFS('fuels and tailpipe emissions'!$H$10:$H$126,'fuels and tailpipe emissions'!$A$10:$A$126,'vehicles specifications'!$F65,'fuels and tailpipe emissions'!$B$10:$B$126,'vehicles specifications'!CH$2)/1000*$AQ65</f>
        <v>2.1313133816949698E-8</v>
      </c>
      <c r="CI65" s="7">
        <f>VLOOKUP(B65,'abrasion emissions'!$A$4:$D$32,4,FALSE)</f>
        <v>6.0000000000000002E-6</v>
      </c>
      <c r="CJ65" s="7">
        <f>VLOOKUP(B65,'abrasion emissions'!$A$4:$D$32,2,FALSE)</f>
        <v>7.3669999999999991E-6</v>
      </c>
      <c r="CK65" s="7">
        <f>VLOOKUP(B65,'abrasion emissions'!$A$4:$D$32,3,FALSE)</f>
        <v>8.3499999999999997E-6</v>
      </c>
    </row>
    <row r="66" spans="1:89" x14ac:dyDescent="0.3">
      <c r="A66" t="str">
        <f t="shared" si="35"/>
        <v>Motorbike, gasoline, &gt;35kW, EURO-4 - 2016 - CH</v>
      </c>
      <c r="B66" t="s">
        <v>704</v>
      </c>
      <c r="D66">
        <v>2016</v>
      </c>
      <c r="E66" t="s">
        <v>37</v>
      </c>
      <c r="F66" t="s">
        <v>148</v>
      </c>
      <c r="G66" t="s">
        <v>39</v>
      </c>
      <c r="H66" t="s">
        <v>35</v>
      </c>
      <c r="J66" s="21">
        <v>62100</v>
      </c>
      <c r="K66" s="21">
        <v>4592</v>
      </c>
      <c r="L66" s="2">
        <f t="shared" si="36"/>
        <v>13.523519163763066</v>
      </c>
      <c r="M66">
        <v>1.1000000000000001</v>
      </c>
      <c r="N66">
        <v>70</v>
      </c>
      <c r="O66">
        <v>6</v>
      </c>
      <c r="P66" s="2">
        <f t="shared" si="13"/>
        <v>258.745</v>
      </c>
      <c r="Q66" s="2">
        <f t="shared" si="37"/>
        <v>341.745</v>
      </c>
      <c r="R66">
        <v>91</v>
      </c>
      <c r="S66" s="2">
        <v>111</v>
      </c>
      <c r="T66" s="1">
        <v>-0.02</v>
      </c>
      <c r="U66" s="2">
        <f t="shared" si="32"/>
        <v>113.22</v>
      </c>
      <c r="V66" s="2">
        <v>130</v>
      </c>
      <c r="W66" s="2">
        <v>0</v>
      </c>
      <c r="X66" s="3">
        <v>0</v>
      </c>
      <c r="Y66" s="1">
        <v>0.8</v>
      </c>
      <c r="Z66" s="3">
        <f t="shared" si="38"/>
        <v>0</v>
      </c>
      <c r="AA66" s="3">
        <v>0</v>
      </c>
      <c r="AB66" s="3">
        <v>0</v>
      </c>
      <c r="AC66" s="3">
        <f t="shared" si="39"/>
        <v>0</v>
      </c>
      <c r="AD66" s="3">
        <v>0</v>
      </c>
      <c r="AE66" s="3">
        <v>18</v>
      </c>
      <c r="AF66">
        <f>AE66*'fuels and tailpipe emissions'!$B$3</f>
        <v>13.5</v>
      </c>
      <c r="AG66" s="2">
        <f>AF66*'fuels and tailpipe emissions'!$C$3</f>
        <v>159</v>
      </c>
      <c r="AH66" s="3">
        <f t="shared" si="33"/>
        <v>2.0249999999999999</v>
      </c>
      <c r="AI66" s="3">
        <v>0</v>
      </c>
      <c r="AJ66" s="3">
        <v>0</v>
      </c>
      <c r="AK66">
        <f t="shared" si="30"/>
        <v>1.242</v>
      </c>
      <c r="AL66">
        <f t="shared" si="15"/>
        <v>1.83517065E-4</v>
      </c>
      <c r="AM66">
        <v>1.2899999999999999E-3</v>
      </c>
      <c r="AN66" s="2">
        <f t="shared" si="40"/>
        <v>113.22</v>
      </c>
      <c r="AO66" s="2">
        <f t="shared" si="41"/>
        <v>130</v>
      </c>
      <c r="AP66" s="2">
        <f t="shared" si="42"/>
        <v>0</v>
      </c>
      <c r="AQ66" s="6">
        <v>1.953899323152704</v>
      </c>
      <c r="AR66" s="6" t="str">
        <f>IF($H66="BEV",SUMPRODUCT(#REF!,#REF!),"")</f>
        <v/>
      </c>
      <c r="AS66" s="2">
        <f>SUM(Z66,AG66)/(SUM(AQ66:AR66)/3.6)</f>
        <v>292.95265790686028</v>
      </c>
      <c r="AT66" s="5">
        <f>IF($H66="ICEV-p",$AQ66/('fuels and tailpipe emissions'!$C$3*3.6)*'fuels and tailpipe emissions'!$D$3,"")</f>
        <v>0.14654244923645282</v>
      </c>
      <c r="AU66" s="7">
        <f>IF($H66="ICEV-p",$AQ66/('fuels and tailpipe emissions'!$C$3*3.6)*'fuels and tailpipe emissions'!$E$3,"")</f>
        <v>7.3732049930290719E-7</v>
      </c>
      <c r="AV66" s="7">
        <f>SUMIFS('fuels and tailpipe emissions'!$H$10:$H$126,'fuels and tailpipe emissions'!$A$10:$A$126,'vehicles specifications'!$F66,'fuels and tailpipe emissions'!$B$10:$B$126,'vehicles specifications'!AV$2)/1000*$AQ66</f>
        <v>2.5284474658107934E-6</v>
      </c>
      <c r="AW66" s="7">
        <f>SUMIFS('fuels and tailpipe emissions'!$H$10:$H$126,'fuels and tailpipe emissions'!$A$10:$A$126,'vehicles specifications'!$F66,'fuels and tailpipe emissions'!$B$10:$B$126,'vehicles specifications'!AW$2)/1000*$AQ66</f>
        <v>2.0986931709545604E-5</v>
      </c>
      <c r="AX66" s="7">
        <f>SUMIFS('fuels and tailpipe emissions'!$H$10:$H$126,'fuels and tailpipe emissions'!$A$10:$A$126,'vehicles specifications'!$F66,'fuels and tailpipe emissions'!$B$10:$B$126,'vehicles specifications'!AX$2)/1000*$AQ66</f>
        <v>1.8591280332931159E-4</v>
      </c>
      <c r="AY66" s="7">
        <f>SUMIFS('fuels and tailpipe emissions'!$H$10:$H$126,'fuels and tailpipe emissions'!$A$10:$A$126,'vehicles specifications'!$F66,'fuels and tailpipe emissions'!$B$10:$B$126,'vehicles specifications'!AY$2)/1000*$AQ66</f>
        <v>1.1045753531339791E-6</v>
      </c>
      <c r="AZ66" s="7">
        <f>SUMIFS('fuels and tailpipe emissions'!$H$10:$H$126,'fuels and tailpipe emissions'!$A$10:$A$126,'vehicles specifications'!$F66,'fuels and tailpipe emissions'!$B$10:$B$126,'vehicles specifications'!AZ$2)/1000*$AQ66</f>
        <v>1.1045753531339791E-6</v>
      </c>
      <c r="BA66" s="7">
        <f>SUMIFS('fuels and tailpipe emissions'!$H$10:$H$126,'fuels and tailpipe emissions'!$A$10:$A$126,'vehicles specifications'!$F66,'fuels and tailpipe emissions'!$B$10:$B$126,'vehicles specifications'!BA$2)/1000*$AQ66</f>
        <v>1.3774566377073175E-5</v>
      </c>
      <c r="BB66" s="7">
        <f>SUMIFS('fuels and tailpipe emissions'!$H$10:$H$126,'fuels and tailpipe emissions'!$A$10:$A$126,'vehicles specifications'!$F66,'fuels and tailpipe emissions'!$B$10:$B$126,'vehicles specifications'!BB$2)/1000*$AQ66</f>
        <v>2.7614383828349475E-6</v>
      </c>
      <c r="BC66" s="7">
        <f>SUMIFS('fuels and tailpipe emissions'!$H$10:$H$126,'fuels and tailpipe emissions'!$A$10:$A$126,'vehicles specifications'!$F66,'fuels and tailpipe emissions'!$B$10:$B$126,'vehicles specifications'!BC$2)/1000*$AQ66</f>
        <v>2.0389833039800411E-5</v>
      </c>
      <c r="BD66" s="7">
        <f>SUMIFS('fuels and tailpipe emissions'!$H$10:$H$126,'fuels and tailpipe emissions'!$A$10:$A$126,'vehicles specifications'!$F66,'fuels and tailpipe emissions'!$B$10:$B$126,'vehicles specifications'!BD$2)/1000*$AQ66</f>
        <v>1.4377446374218237E-6</v>
      </c>
      <c r="BE66" s="7">
        <f>SUMIFS('fuels and tailpipe emissions'!$H$10:$H$126,'fuels and tailpipe emissions'!$A$10:$A$126,'vehicles specifications'!$F66,'fuels and tailpipe emissions'!$B$10:$B$126,'vehicles specifications'!BE$2)/1000*$AQ66</f>
        <v>2.9295737126150013E-7</v>
      </c>
      <c r="BF66" s="7">
        <f>SUMIFS('fuels and tailpipe emissions'!$H$10:$H$126,'fuels and tailpipe emissions'!$A$10:$A$126,'vehicles specifications'!$F66,'fuels and tailpipe emissions'!$B$10:$B$126,'vehicles specifications'!BF$2)/1000*$AQ66</f>
        <v>2.3616871160157862E-6</v>
      </c>
      <c r="BG66" s="7">
        <f>SUMIFS('fuels and tailpipe emissions'!$H$10:$H$126,'fuels and tailpipe emissions'!$A$10:$A$126,'vehicles specifications'!$F66,'fuels and tailpipe emissions'!$B$10:$B$126,'vehicles specifications'!BG$2)/1000*$AQ66</f>
        <v>9.6901284340342343E-7</v>
      </c>
      <c r="BH66" s="7">
        <f>SUMIFS('fuels and tailpipe emissions'!$H$10:$H$126,'fuels and tailpipe emissions'!$A$10:$A$126,'vehicles specifications'!$F66,'fuels and tailpipe emissions'!$B$10:$B$126,'vehicles specifications'!BH$2)/1000*$AQ66</f>
        <v>7.2563287343233113E-7</v>
      </c>
      <c r="BI66" s="7">
        <f>SUMIFS('fuels and tailpipe emissions'!$H$10:$H$126,'fuels and tailpipe emissions'!$A$10:$A$126,'vehicles specifications'!$F66,'fuels and tailpipe emissions'!$B$10:$B$126,'vehicles specifications'!BI$2)/1000*$AQ66</f>
        <v>5.1380215882786179E-7</v>
      </c>
      <c r="BJ66" s="7">
        <f>SUMIFS('fuels and tailpipe emissions'!$H$10:$H$126,'fuels and tailpipe emissions'!$A$10:$A$126,'vehicles specifications'!$F66,'fuels and tailpipe emissions'!$B$10:$B$126,'vehicles specifications'!BJ$2)/1000*$AQ66</f>
        <v>3.335206995900156E-7</v>
      </c>
      <c r="BK66" s="7">
        <f>SUMIFS('fuels and tailpipe emissions'!$H$10:$H$126,'fuels and tailpipe emissions'!$A$10:$A$126,'vehicles specifications'!$F66,'fuels and tailpipe emissions'!$B$10:$B$126,'vehicles specifications'!BK$2)/1000*$AQ66</f>
        <v>3.2901366310906936E-6</v>
      </c>
      <c r="BL66" s="7">
        <f>SUMIFS('fuels and tailpipe emissions'!$H$10:$H$126,'fuels and tailpipe emissions'!$A$10:$A$126,'vehicles specifications'!$F66,'fuels and tailpipe emissions'!$B$10:$B$126,'vehicles specifications'!BL$2)/1000*$AQ66</f>
        <v>1.7216879357214317E-6</v>
      </c>
      <c r="BM66" s="7">
        <f>SUMIFS('fuels and tailpipe emissions'!$H$10:$H$126,'fuels and tailpipe emissions'!$A$10:$A$126,'vehicles specifications'!$F66,'fuels and tailpipe emissions'!$B$10:$B$126,'vehicles specifications'!BM$2)/1000*$AQ66</f>
        <v>4.9577401290407721E-8</v>
      </c>
      <c r="BN66" s="7">
        <f>SUMIFS('fuels and tailpipe emissions'!$H$10:$H$126,'fuels and tailpipe emissions'!$A$10:$A$126,'vehicles specifications'!$F66,'fuels and tailpipe emissions'!$B$10:$B$126,'vehicles specifications'!BN$2)/1000*$AQ66</f>
        <v>2.5284474658107934E-6</v>
      </c>
      <c r="BO66" s="7">
        <f>SUMIFS('fuels and tailpipe emissions'!$H$10:$H$126,'fuels and tailpipe emissions'!$A$10:$A$126,'vehicles specifications'!$F66,'fuels and tailpipe emissions'!$B$10:$B$126,'vehicles specifications'!BO$2)/1000*$AQ66</f>
        <v>4.9487260560788793E-6</v>
      </c>
      <c r="BP66" s="7">
        <f>SUMIFS('fuels and tailpipe emissions'!$H$10:$H$126,'fuels and tailpipe emissions'!$A$10:$A$126,'vehicles specifications'!$F66,'fuels and tailpipe emissions'!$B$10:$B$126,'vehicles specifications'!BP$2)/1000*$AQ66</f>
        <v>2.4473208091537626E-6</v>
      </c>
      <c r="BQ66" s="7">
        <f>SUMIFS('fuels and tailpipe emissions'!$H$10:$H$126,'fuels and tailpipe emissions'!$A$10:$A$126,'vehicles specifications'!$F66,'fuels and tailpipe emissions'!$B$10:$B$126,'vehicles specifications'!BQ$2)/1000*$AQ66</f>
        <v>1.0185902446938312E-6</v>
      </c>
      <c r="BR66" s="7">
        <f>SUMIFS('fuels and tailpipe emissions'!$H$10:$H$126,'fuels and tailpipe emissions'!$A$10:$A$126,'vehicles specifications'!$F66,'fuels and tailpipe emissions'!$B$10:$B$126,'vehicles specifications'!BR$2)/1000*$AQ66</f>
        <v>7.6619620176084655E-7</v>
      </c>
      <c r="BS66" s="7">
        <f>SUMIFS('fuels and tailpipe emissions'!$H$10:$H$126,'fuels and tailpipe emissions'!$A$10:$A$126,'vehicles specifications'!$F66,'fuels and tailpipe emissions'!$B$10:$B$126,'vehicles specifications'!BS$2)/1000*$AQ66</f>
        <v>3.3802773607096173E-7</v>
      </c>
      <c r="BT66" s="7">
        <f>SUMIFS('fuels and tailpipe emissions'!$H$10:$H$126,'fuels and tailpipe emissions'!$A$10:$A$126,'vehicles specifications'!$F66,'fuels and tailpipe emissions'!$B$10:$B$126,'vehicles specifications'!BT$2)/1000*$AQ66</f>
        <v>9.9154802580815442E-8</v>
      </c>
      <c r="BU66" s="7">
        <f>SUMIFS('fuels and tailpipe emissions'!$H$10:$H$126,'fuels and tailpipe emissions'!$A$10:$A$126,'vehicles specifications'!$F66,'fuels and tailpipe emissions'!$B$10:$B$126,'vehicles specifications'!BU$2)/1000*$AQ66</f>
        <v>2.7492922533771551E-7</v>
      </c>
      <c r="BV66" s="7">
        <f>SUMIFS('fuels and tailpipe emissions'!$H$10:$H$126,'fuels and tailpipe emissions'!$A$10:$A$126,'vehicles specifications'!$F66,'fuels and tailpipe emissions'!$B$10:$B$126,'vehicles specifications'!BV$2)/1000*$AQ66</f>
        <v>0</v>
      </c>
      <c r="BW66" s="7">
        <f>SUMIFS('fuels and tailpipe emissions'!$H$10:$H$126,'fuels and tailpipe emissions'!$A$10:$A$126,'vehicles specifications'!$F66,'fuels and tailpipe emissions'!$B$10:$B$126,'vehicles specifications'!BW$2)/1000*$AQ66</f>
        <v>8.5633693137976965E-8</v>
      </c>
      <c r="BX66" s="7">
        <f>SUMIFS('fuels and tailpipe emissions'!$H$10:$H$126,'fuels and tailpipe emissions'!$A$10:$A$126,'vehicles specifications'!$F66,'fuels and tailpipe emissions'!$B$10:$B$126,'vehicles specifications'!BX$2)/1000*$AQ66</f>
        <v>4.5521068457556175E-7</v>
      </c>
      <c r="BY66" s="7">
        <f>SUMIFS('fuels and tailpipe emissions'!$H$10:$H$126,'fuels and tailpipe emissions'!$A$10:$A$126,'vehicles specifications'!$F66,'fuels and tailpipe emissions'!$B$10:$B$126,'vehicles specifications'!BY$2)/1000*$AQ66</f>
        <v>6.7995696445714102E-8</v>
      </c>
      <c r="BZ66" s="7">
        <f>SUMIFS('fuels and tailpipe emissions'!$H$10:$H$126,'fuels and tailpipe emissions'!$A$10:$A$126,'vehicles specifications'!$F66,'fuels and tailpipe emissions'!$B$10:$B$126,'vehicles specifications'!BZ$2)/1000*$AQ66</f>
        <v>5.8616979694581115E-10</v>
      </c>
      <c r="CA66" s="7">
        <f>SUMIFS('fuels and tailpipe emissions'!$H$10:$H$126,'fuels and tailpipe emissions'!$A$10:$A$126,'vehicles specifications'!$F66,'fuels and tailpipe emissions'!$B$10:$B$126,'vehicles specifications'!CA$2)/1000*$AQ66</f>
        <v>3.907798646305408E-10</v>
      </c>
      <c r="CB66" s="7">
        <f>SUMIFS('fuels and tailpipe emissions'!$H$10:$H$126,'fuels and tailpipe emissions'!$A$10:$A$126,'vehicles specifications'!$F66,'fuels and tailpipe emissions'!$B$10:$B$126,'vehicles specifications'!CB$2)/1000*$AQ66</f>
        <v>4.2204225380098405E-6</v>
      </c>
      <c r="CC66" s="7">
        <f>SUMIFS('fuels and tailpipe emissions'!$H$10:$H$126,'fuels and tailpipe emissions'!$A$10:$A$126,'vehicles specifications'!$F66,'fuels and tailpipe emissions'!$B$10:$B$126,'vehicles specifications'!CC$2)/1000*$AQ66</f>
        <v>8.2063771572413566E-8</v>
      </c>
      <c r="CD66" s="7">
        <f>SUMIFS('fuels and tailpipe emissions'!$H$10:$H$126,'fuels and tailpipe emissions'!$A$10:$A$126,'vehicles specifications'!$F66,'fuels and tailpipe emissions'!$B$10:$B$126,'vehicles specifications'!CD$2)/1000*$AQ66</f>
        <v>2.5400691200985153E-8</v>
      </c>
      <c r="CE66" s="7">
        <f>SUMIFS('fuels and tailpipe emissions'!$H$10:$H$126,'fuels and tailpipe emissions'!$A$10:$A$126,'vehicles specifications'!$F66,'fuels and tailpipe emissions'!$B$10:$B$126,'vehicles specifications'!CE$2)/1000*$AQ66</f>
        <v>3.1262389170443272E-8</v>
      </c>
      <c r="CF66" s="7">
        <f>SUMIFS('fuels and tailpipe emissions'!$H$10:$H$126,'fuels and tailpipe emissions'!$A$10:$A$126,'vehicles specifications'!$F66,'fuels and tailpipe emissions'!$B$10:$B$126,'vehicles specifications'!CF$2)/1000*$AQ66</f>
        <v>6.252477834088652E-11</v>
      </c>
      <c r="CG66" s="7">
        <f>SUMIFS('fuels and tailpipe emissions'!$H$10:$H$126,'fuels and tailpipe emissions'!$A$10:$A$126,'vehicles specifications'!$F66,'fuels and tailpipe emissions'!$B$10:$B$126,'vehicles specifications'!CG$2)/1000*$AQ66</f>
        <v>1.6998924111428525E-8</v>
      </c>
      <c r="CH66" s="7">
        <f>SUMIFS('fuels and tailpipe emissions'!$H$10:$H$126,'fuels and tailpipe emissions'!$A$10:$A$126,'vehicles specifications'!$F66,'fuels and tailpipe emissions'!$B$10:$B$126,'vehicles specifications'!CH$2)/1000*$AQ66</f>
        <v>2.1102112690049203E-8</v>
      </c>
      <c r="CI66" s="7">
        <f>VLOOKUP(B66,'abrasion emissions'!$A$4:$D$32,4,FALSE)</f>
        <v>6.0000000000000002E-6</v>
      </c>
      <c r="CJ66" s="7">
        <f>VLOOKUP(B66,'abrasion emissions'!$A$4:$D$32,2,FALSE)</f>
        <v>7.3669999999999991E-6</v>
      </c>
      <c r="CK66" s="7">
        <f>VLOOKUP(B66,'abrasion emissions'!$A$4:$D$32,3,FALSE)</f>
        <v>8.3499999999999997E-6</v>
      </c>
    </row>
    <row r="67" spans="1:89" x14ac:dyDescent="0.3">
      <c r="A67" t="str">
        <f t="shared" si="35"/>
        <v>Motorbike, gasoline, &gt;35kW, EURO-5 - 2020 - CH</v>
      </c>
      <c r="B67" t="s">
        <v>705</v>
      </c>
      <c r="D67">
        <v>2020</v>
      </c>
      <c r="E67" t="s">
        <v>37</v>
      </c>
      <c r="F67" t="s">
        <v>149</v>
      </c>
      <c r="G67" t="s">
        <v>39</v>
      </c>
      <c r="H67" t="s">
        <v>35</v>
      </c>
      <c r="J67" s="21">
        <v>62100</v>
      </c>
      <c r="K67" s="21">
        <v>4592</v>
      </c>
      <c r="L67" s="2">
        <f t="shared" si="36"/>
        <v>13.523519163763066</v>
      </c>
      <c r="M67">
        <v>1.1000000000000001</v>
      </c>
      <c r="N67">
        <v>70</v>
      </c>
      <c r="O67">
        <v>6</v>
      </c>
      <c r="P67" s="2">
        <f t="shared" si="13"/>
        <v>256.52499999999998</v>
      </c>
      <c r="Q67" s="2">
        <f t="shared" si="37"/>
        <v>339.52499999999998</v>
      </c>
      <c r="R67">
        <v>91</v>
      </c>
      <c r="S67" s="2">
        <v>111</v>
      </c>
      <c r="T67" s="1">
        <v>0</v>
      </c>
      <c r="U67" s="2">
        <f t="shared" si="32"/>
        <v>111</v>
      </c>
      <c r="V67" s="2">
        <v>130</v>
      </c>
      <c r="W67" s="2">
        <v>0</v>
      </c>
      <c r="X67" s="3">
        <v>0</v>
      </c>
      <c r="Y67" s="1">
        <v>0.8</v>
      </c>
      <c r="Z67" s="3">
        <f t="shared" si="38"/>
        <v>0</v>
      </c>
      <c r="AA67" s="3">
        <v>0</v>
      </c>
      <c r="AB67" s="3">
        <v>0</v>
      </c>
      <c r="AC67" s="3">
        <f t="shared" si="39"/>
        <v>0</v>
      </c>
      <c r="AD67" s="3">
        <v>0</v>
      </c>
      <c r="AE67" s="3">
        <v>18</v>
      </c>
      <c r="AF67">
        <f>AE67*'fuels and tailpipe emissions'!$B$3</f>
        <v>13.5</v>
      </c>
      <c r="AG67" s="2">
        <f>AF67*'fuels and tailpipe emissions'!$C$3</f>
        <v>159</v>
      </c>
      <c r="AH67" s="3">
        <f t="shared" si="33"/>
        <v>2.0249999999999999</v>
      </c>
      <c r="AI67" s="3">
        <v>0</v>
      </c>
      <c r="AJ67" s="3">
        <v>0</v>
      </c>
      <c r="AK67">
        <f t="shared" si="30"/>
        <v>1.242</v>
      </c>
      <c r="AL67">
        <f t="shared" si="15"/>
        <v>1.82324925E-4</v>
      </c>
      <c r="AM67">
        <v>1.2899999999999999E-3</v>
      </c>
      <c r="AN67" s="2">
        <f t="shared" si="40"/>
        <v>111</v>
      </c>
      <c r="AO67" s="2">
        <f t="shared" si="41"/>
        <v>130</v>
      </c>
      <c r="AP67" s="2">
        <f t="shared" si="42"/>
        <v>0</v>
      </c>
      <c r="AQ67" s="6">
        <v>1.9343603299211769</v>
      </c>
      <c r="AR67" s="6" t="str">
        <f>IF($H67="BEV",SUMPRODUCT(#REF!,#REF!),"")</f>
        <v/>
      </c>
      <c r="AS67" s="2">
        <f>SUM(Z67,AG67)/(SUM(AQ67:AR67)/3.6)</f>
        <v>295.91177566349529</v>
      </c>
      <c r="AT67" s="5">
        <f>IF($H67="ICEV-p",$AQ67/('fuels and tailpipe emissions'!$C$3*3.6)*'fuels and tailpipe emissions'!$D$3,"")</f>
        <v>0.14507702474408829</v>
      </c>
      <c r="AU67" s="7">
        <f>IF($H67="ICEV-p",$AQ67/('fuels and tailpipe emissions'!$C$3*3.6)*'fuels and tailpipe emissions'!$E$3,"")</f>
        <v>7.2994729430987814E-7</v>
      </c>
      <c r="AV67" s="7">
        <f>SUMIFS('fuels and tailpipe emissions'!$H$10:$H$126,'fuels and tailpipe emissions'!$A$10:$A$126,'vehicles specifications'!$F67,'fuels and tailpipe emissions'!$B$10:$B$126,'vehicles specifications'!AV$2)/1000*$AQ67</f>
        <v>1.4740138315818797E-6</v>
      </c>
      <c r="AW67" s="7">
        <f>SUMIFS('fuels and tailpipe emissions'!$H$10:$H$126,'fuels and tailpipe emissions'!$A$10:$A$126,'vehicles specifications'!$F67,'fuels and tailpipe emissions'!$B$10:$B$126,'vehicles specifications'!AW$2)/1000*$AQ67</f>
        <v>2.0777062392450149E-5</v>
      </c>
      <c r="AX67" s="7">
        <f>SUMIFS('fuels and tailpipe emissions'!$H$10:$H$126,'fuels and tailpipe emissions'!$A$10:$A$126,'vehicles specifications'!$F67,'fuels and tailpipe emissions'!$B$10:$B$126,'vehicles specifications'!AX$2)/1000*$AQ67</f>
        <v>1.6143029994865083E-4</v>
      </c>
      <c r="AY67" s="7">
        <f>SUMIFS('fuels and tailpipe emissions'!$H$10:$H$126,'fuels and tailpipe emissions'!$A$10:$A$126,'vehicles specifications'!$F67,'fuels and tailpipe emissions'!$B$10:$B$126,'vehicles specifications'!AY$2)/1000*$AQ67</f>
        <v>1.0935295996026393E-6</v>
      </c>
      <c r="AZ67" s="7">
        <f>SUMIFS('fuels and tailpipe emissions'!$H$10:$H$126,'fuels and tailpipe emissions'!$A$10:$A$126,'vehicles specifications'!$F67,'fuels and tailpipe emissions'!$B$10:$B$126,'vehicles specifications'!AZ$2)/1000*$AQ67</f>
        <v>1.0935295996026393E-6</v>
      </c>
      <c r="BA67" s="7">
        <f>SUMIFS('fuels and tailpipe emissions'!$H$10:$H$126,'fuels and tailpipe emissions'!$A$10:$A$126,'vehicles specifications'!$F67,'fuels and tailpipe emissions'!$B$10:$B$126,'vehicles specifications'!BA$2)/1000*$AQ67</f>
        <v>9.2040080028458703E-6</v>
      </c>
      <c r="BB67" s="7">
        <f>SUMIFS('fuels and tailpipe emissions'!$H$10:$H$126,'fuels and tailpipe emissions'!$A$10:$A$126,'vehicles specifications'!$F67,'fuels and tailpipe emissions'!$B$10:$B$126,'vehicles specifications'!BB$2)/1000*$AQ67</f>
        <v>2.7338239990065983E-6</v>
      </c>
      <c r="BC67" s="7">
        <f>SUMIFS('fuels and tailpipe emissions'!$H$10:$H$126,'fuels and tailpipe emissions'!$A$10:$A$126,'vehicles specifications'!$F67,'fuels and tailpipe emissions'!$B$10:$B$126,'vehicles specifications'!BC$2)/1000*$AQ67</f>
        <v>1.18866997755373E-5</v>
      </c>
      <c r="BD67" s="7">
        <f>SUMIFS('fuels and tailpipe emissions'!$H$10:$H$126,'fuels and tailpipe emissions'!$A$10:$A$126,'vehicles specifications'!$F67,'fuels and tailpipe emissions'!$B$10:$B$126,'vehicles specifications'!BD$2)/1000*$AQ67</f>
        <v>8.381647277622453E-7</v>
      </c>
      <c r="BE67" s="7">
        <f>SUMIFS('fuels and tailpipe emissions'!$H$10:$H$126,'fuels and tailpipe emissions'!$A$10:$A$126,'vehicles specifications'!$F67,'fuels and tailpipe emissions'!$B$10:$B$126,'vehicles specifications'!BE$2)/1000*$AQ67</f>
        <v>1.7078591631519106E-7</v>
      </c>
      <c r="BF67" s="7">
        <f>SUMIFS('fuels and tailpipe emissions'!$H$10:$H$126,'fuels and tailpipe emissions'!$A$10:$A$126,'vehicles specifications'!$F67,'fuels and tailpipe emissions'!$B$10:$B$126,'vehicles specifications'!BF$2)/1000*$AQ67</f>
        <v>1.3767972330640017E-6</v>
      </c>
      <c r="BG67" s="7">
        <f>SUMIFS('fuels and tailpipe emissions'!$H$10:$H$126,'fuels and tailpipe emissions'!$A$10:$A$126,'vehicles specifications'!$F67,'fuels and tailpipe emissions'!$B$10:$B$126,'vehicles specifications'!BG$2)/1000*$AQ67</f>
        <v>5.6490726165793968E-7</v>
      </c>
      <c r="BH67" s="7">
        <f>SUMIFS('fuels and tailpipe emissions'!$H$10:$H$126,'fuels and tailpipe emissions'!$A$10:$A$126,'vehicles specifications'!$F67,'fuels and tailpipe emissions'!$B$10:$B$126,'vehicles specifications'!BH$2)/1000*$AQ67</f>
        <v>4.2302357733455016E-7</v>
      </c>
      <c r="BI67" s="7">
        <f>SUMIFS('fuels and tailpipe emissions'!$H$10:$H$126,'fuels and tailpipe emissions'!$A$10:$A$126,'vehicles specifications'!$F67,'fuels and tailpipe emissions'!$B$10:$B$126,'vehicles specifications'!BI$2)/1000*$AQ67</f>
        <v>2.9953222246048898E-7</v>
      </c>
      <c r="BJ67" s="7">
        <f>SUMIFS('fuels and tailpipe emissions'!$H$10:$H$126,'fuels and tailpipe emissions'!$A$10:$A$126,'vehicles specifications'!$F67,'fuels and tailpipe emissions'!$B$10:$B$126,'vehicles specifications'!BJ$2)/1000*$AQ67</f>
        <v>1.9443319703575599E-7</v>
      </c>
      <c r="BK67" s="7">
        <f>SUMIFS('fuels and tailpipe emissions'!$H$10:$H$126,'fuels and tailpipe emissions'!$A$10:$A$126,'vehicles specifications'!$F67,'fuels and tailpipe emissions'!$B$10:$B$126,'vehicles specifications'!BK$2)/1000*$AQ67</f>
        <v>1.9180572140013763E-6</v>
      </c>
      <c r="BL67" s="7">
        <f>SUMIFS('fuels and tailpipe emissions'!$H$10:$H$126,'fuels and tailpipe emissions'!$A$10:$A$126,'vehicles specifications'!$F67,'fuels and tailpipe emissions'!$B$10:$B$126,'vehicles specifications'!BL$2)/1000*$AQ67</f>
        <v>1.0036956928061999E-6</v>
      </c>
      <c r="BM67" s="7">
        <f>SUMIFS('fuels and tailpipe emissions'!$H$10:$H$126,'fuels and tailpipe emissions'!$A$10:$A$126,'vehicles specifications'!$F67,'fuels and tailpipe emissions'!$B$10:$B$126,'vehicles specifications'!BM$2)/1000*$AQ67</f>
        <v>2.8902231991801569E-8</v>
      </c>
      <c r="BN67" s="7">
        <f>SUMIFS('fuels and tailpipe emissions'!$H$10:$H$126,'fuels and tailpipe emissions'!$A$10:$A$126,'vehicles specifications'!$F67,'fuels and tailpipe emissions'!$B$10:$B$126,'vehicles specifications'!BN$2)/1000*$AQ67</f>
        <v>1.4740138315818797E-6</v>
      </c>
      <c r="BO67" s="7">
        <f>SUMIFS('fuels and tailpipe emissions'!$H$10:$H$126,'fuels and tailpipe emissions'!$A$10:$A$126,'vehicles specifications'!$F67,'fuels and tailpipe emissions'!$B$10:$B$126,'vehicles specifications'!BO$2)/1000*$AQ67</f>
        <v>2.8849682479089193E-6</v>
      </c>
      <c r="BP67" s="7">
        <f>SUMIFS('fuels and tailpipe emissions'!$H$10:$H$126,'fuels and tailpipe emissions'!$A$10:$A$126,'vehicles specifications'!$F67,'fuels and tailpipe emissions'!$B$10:$B$126,'vehicles specifications'!BP$2)/1000*$AQ67</f>
        <v>1.42671927014075E-6</v>
      </c>
      <c r="BQ67" s="7">
        <f>SUMIFS('fuels and tailpipe emissions'!$H$10:$H$126,'fuels and tailpipe emissions'!$A$10:$A$126,'vehicles specifications'!$F67,'fuels and tailpipe emissions'!$B$10:$B$126,'vehicles specifications'!BQ$2)/1000*$AQ67</f>
        <v>5.9380949364974125E-7</v>
      </c>
      <c r="BR67" s="7">
        <f>SUMIFS('fuels and tailpipe emissions'!$H$10:$H$126,'fuels and tailpipe emissions'!$A$10:$A$126,'vehicles specifications'!$F67,'fuels and tailpipe emissions'!$B$10:$B$126,'vehicles specifications'!BR$2)/1000*$AQ67</f>
        <v>4.4667085805511511E-7</v>
      </c>
      <c r="BS67" s="7">
        <f>SUMIFS('fuels and tailpipe emissions'!$H$10:$H$126,'fuels and tailpipe emissions'!$A$10:$A$126,'vehicles specifications'!$F67,'fuels and tailpipe emissions'!$B$10:$B$126,'vehicles specifications'!BS$2)/1000*$AQ67</f>
        <v>1.970606726713743E-7</v>
      </c>
      <c r="BT67" s="7">
        <f>SUMIFS('fuels and tailpipe emissions'!$H$10:$H$126,'fuels and tailpipe emissions'!$A$10:$A$126,'vehicles specifications'!$F67,'fuels and tailpipe emissions'!$B$10:$B$126,'vehicles specifications'!BT$2)/1000*$AQ67</f>
        <v>5.7804463983603138E-8</v>
      </c>
      <c r="BU67" s="7">
        <f>SUMIFS('fuels and tailpipe emissions'!$H$10:$H$126,'fuels and tailpipe emissions'!$A$10:$A$126,'vehicles specifications'!$F67,'fuels and tailpipe emissions'!$B$10:$B$126,'vehicles specifications'!BU$2)/1000*$AQ67</f>
        <v>1.6027601377271776E-7</v>
      </c>
      <c r="BV67" s="7">
        <f>SUMIFS('fuels and tailpipe emissions'!$H$10:$H$126,'fuels and tailpipe emissions'!$A$10:$A$126,'vehicles specifications'!$F67,'fuels and tailpipe emissions'!$B$10:$B$126,'vehicles specifications'!BV$2)/1000*$AQ67</f>
        <v>0</v>
      </c>
      <c r="BW67" s="7">
        <f>SUMIFS('fuels and tailpipe emissions'!$H$10:$H$126,'fuels and tailpipe emissions'!$A$10:$A$126,'vehicles specifications'!$F67,'fuels and tailpipe emissions'!$B$10:$B$126,'vehicles specifications'!BW$2)/1000*$AQ67</f>
        <v>4.992203707674815E-8</v>
      </c>
      <c r="BX67" s="7">
        <f>SUMIFS('fuels and tailpipe emissions'!$H$10:$H$126,'fuels and tailpipe emissions'!$A$10:$A$126,'vehicles specifications'!$F67,'fuels and tailpipe emissions'!$B$10:$B$126,'vehicles specifications'!BX$2)/1000*$AQ67</f>
        <v>2.6537503919745075E-7</v>
      </c>
      <c r="BY67" s="7">
        <f>SUMIFS('fuels and tailpipe emissions'!$H$10:$H$126,'fuels and tailpipe emissions'!$A$10:$A$126,'vehicles specifications'!$F67,'fuels and tailpipe emissions'!$B$10:$B$126,'vehicles specifications'!BY$2)/1000*$AQ67</f>
        <v>6.7315739481256961E-8</v>
      </c>
      <c r="BZ67" s="7">
        <f>SUMIFS('fuels and tailpipe emissions'!$H$10:$H$126,'fuels and tailpipe emissions'!$A$10:$A$126,'vehicles specifications'!$F67,'fuels and tailpipe emissions'!$B$10:$B$126,'vehicles specifications'!BZ$2)/1000*$AQ67</f>
        <v>5.8030809897635308E-10</v>
      </c>
      <c r="CA67" s="7">
        <f>SUMIFS('fuels and tailpipe emissions'!$H$10:$H$126,'fuels and tailpipe emissions'!$A$10:$A$126,'vehicles specifications'!$F67,'fuels and tailpipe emissions'!$B$10:$B$126,'vehicles specifications'!CA$2)/1000*$AQ67</f>
        <v>3.8687206598423541E-10</v>
      </c>
      <c r="CB67" s="7">
        <f>SUMIFS('fuels and tailpipe emissions'!$H$10:$H$126,'fuels and tailpipe emissions'!$A$10:$A$126,'vehicles specifications'!$F67,'fuels and tailpipe emissions'!$B$10:$B$126,'vehicles specifications'!CB$2)/1000*$AQ67</f>
        <v>4.1782183126297423E-6</v>
      </c>
      <c r="CC67" s="7">
        <f>SUMIFS('fuels and tailpipe emissions'!$H$10:$H$126,'fuels and tailpipe emissions'!$A$10:$A$126,'vehicles specifications'!$F67,'fuels and tailpipe emissions'!$B$10:$B$126,'vehicles specifications'!CC$2)/1000*$AQ67</f>
        <v>8.1243133856689428E-8</v>
      </c>
      <c r="CD67" s="7">
        <f>SUMIFS('fuels and tailpipe emissions'!$H$10:$H$126,'fuels and tailpipe emissions'!$A$10:$A$126,'vehicles specifications'!$F67,'fuels and tailpipe emissions'!$B$10:$B$126,'vehicles specifications'!CD$2)/1000*$AQ67</f>
        <v>2.5146684288975301E-8</v>
      </c>
      <c r="CE67" s="7">
        <f>SUMIFS('fuels and tailpipe emissions'!$H$10:$H$126,'fuels and tailpipe emissions'!$A$10:$A$126,'vehicles specifications'!$F67,'fuels and tailpipe emissions'!$B$10:$B$126,'vehicles specifications'!CE$2)/1000*$AQ67</f>
        <v>3.094976527873884E-8</v>
      </c>
      <c r="CF67" s="7">
        <f>SUMIFS('fuels and tailpipe emissions'!$H$10:$H$126,'fuels and tailpipe emissions'!$A$10:$A$126,'vehicles specifications'!$F67,'fuels and tailpipe emissions'!$B$10:$B$126,'vehicles specifications'!CF$2)/1000*$AQ67</f>
        <v>6.1899530557477664E-11</v>
      </c>
      <c r="CG67" s="7">
        <f>SUMIFS('fuels and tailpipe emissions'!$H$10:$H$126,'fuels and tailpipe emissions'!$A$10:$A$126,'vehicles specifications'!$F67,'fuels and tailpipe emissions'!$B$10:$B$126,'vehicles specifications'!CG$2)/1000*$AQ67</f>
        <v>1.682893487031424E-8</v>
      </c>
      <c r="CH67" s="7">
        <f>SUMIFS('fuels and tailpipe emissions'!$H$10:$H$126,'fuels and tailpipe emissions'!$A$10:$A$126,'vehicles specifications'!$F67,'fuels and tailpipe emissions'!$B$10:$B$126,'vehicles specifications'!CH$2)/1000*$AQ67</f>
        <v>2.0891091563148711E-8</v>
      </c>
      <c r="CI67" s="7">
        <f>VLOOKUP(B67,'abrasion emissions'!$A$4:$D$32,4,FALSE)</f>
        <v>6.0000000000000002E-6</v>
      </c>
      <c r="CJ67" s="7">
        <f>VLOOKUP(B67,'abrasion emissions'!$A$4:$D$32,2,FALSE)</f>
        <v>7.3669999999999991E-6</v>
      </c>
      <c r="CK67" s="7">
        <f>VLOOKUP(B67,'abrasion emissions'!$A$4:$D$32,3,FALSE)</f>
        <v>8.3499999999999997E-6</v>
      </c>
    </row>
    <row r="68" spans="1:89" x14ac:dyDescent="0.3">
      <c r="A68" t="str">
        <f t="shared" si="35"/>
        <v>Motorbike, gasoline, &gt;35kW, EURO-5 - 2030 - CH</v>
      </c>
      <c r="B68" t="s">
        <v>705</v>
      </c>
      <c r="D68">
        <v>2030</v>
      </c>
      <c r="E68" t="s">
        <v>37</v>
      </c>
      <c r="F68" t="s">
        <v>149</v>
      </c>
      <c r="G68" t="s">
        <v>39</v>
      </c>
      <c r="H68" t="s">
        <v>35</v>
      </c>
      <c r="J68" s="21">
        <v>62100</v>
      </c>
      <c r="K68" s="21">
        <v>4592</v>
      </c>
      <c r="L68" s="2">
        <f t="shared" si="36"/>
        <v>13.523519163763066</v>
      </c>
      <c r="M68">
        <v>1.1000000000000001</v>
      </c>
      <c r="N68">
        <v>70</v>
      </c>
      <c r="O68">
        <v>6</v>
      </c>
      <c r="P68" s="2">
        <f t="shared" si="13"/>
        <v>253.19500000000002</v>
      </c>
      <c r="Q68" s="2">
        <f t="shared" si="37"/>
        <v>336.19500000000005</v>
      </c>
      <c r="R68">
        <v>91</v>
      </c>
      <c r="S68" s="2">
        <v>111</v>
      </c>
      <c r="T68" s="1">
        <v>0.03</v>
      </c>
      <c r="U68" s="2">
        <f t="shared" si="32"/>
        <v>107.67</v>
      </c>
      <c r="V68" s="2">
        <v>130</v>
      </c>
      <c r="W68" s="2">
        <v>0</v>
      </c>
      <c r="X68" s="3">
        <v>0</v>
      </c>
      <c r="Y68" s="1">
        <v>0.8</v>
      </c>
      <c r="Z68" s="3">
        <f t="shared" si="38"/>
        <v>0</v>
      </c>
      <c r="AA68" s="3">
        <v>0</v>
      </c>
      <c r="AB68" s="3">
        <v>0</v>
      </c>
      <c r="AC68" s="3">
        <f t="shared" si="39"/>
        <v>0</v>
      </c>
      <c r="AD68" s="3">
        <v>0</v>
      </c>
      <c r="AE68" s="3">
        <v>18</v>
      </c>
      <c r="AF68">
        <f>AE68*'fuels and tailpipe emissions'!$B$3</f>
        <v>13.5</v>
      </c>
      <c r="AG68" s="2">
        <f>AF68*'fuels and tailpipe emissions'!$C$3</f>
        <v>159</v>
      </c>
      <c r="AH68" s="3">
        <f t="shared" si="33"/>
        <v>2.0249999999999999</v>
      </c>
      <c r="AI68" s="3">
        <v>0</v>
      </c>
      <c r="AJ68" s="3">
        <v>0</v>
      </c>
      <c r="AK68">
        <f t="shared" si="30"/>
        <v>1.242</v>
      </c>
      <c r="AL68">
        <f t="shared" si="15"/>
        <v>1.8053671500000004E-4</v>
      </c>
      <c r="AM68">
        <v>1.2899999999999999E-3</v>
      </c>
      <c r="AN68" s="2">
        <f t="shared" si="40"/>
        <v>107.67</v>
      </c>
      <c r="AO68" s="2">
        <f t="shared" si="41"/>
        <v>130</v>
      </c>
      <c r="AP68" s="2">
        <f t="shared" si="42"/>
        <v>0</v>
      </c>
      <c r="AQ68" s="6">
        <v>1.9150167266219651</v>
      </c>
      <c r="AR68" s="6" t="str">
        <f>IF($H68="BEV",SUMPRODUCT(#REF!,#REF!),"")</f>
        <v/>
      </c>
      <c r="AS68" s="2">
        <f>SUM(Z68,AG68)/(SUM(AQ68:AR68)/3.6)</f>
        <v>298.90078349848005</v>
      </c>
      <c r="AT68" s="5">
        <f>IF($H68="ICEV-p",$AQ68/('fuels and tailpipe emissions'!$C$3*3.6)*'fuels and tailpipe emissions'!$D$3,"")</f>
        <v>0.1436262544966474</v>
      </c>
      <c r="AU68" s="7">
        <f>IF($H68="ICEV-p",$AQ68/('fuels and tailpipe emissions'!$C$3*3.6)*'fuels and tailpipe emissions'!$E$3,"")</f>
        <v>7.2264782136677925E-7</v>
      </c>
      <c r="AV68" s="7">
        <f>SUMIFS('fuels and tailpipe emissions'!$H$10:$H$126,'fuels and tailpipe emissions'!$A$10:$A$126,'vehicles specifications'!$F68,'fuels and tailpipe emissions'!$B$10:$B$126,'vehicles specifications'!AV$2)/1000*$AQ68</f>
        <v>1.459273693266061E-6</v>
      </c>
      <c r="AW68" s="7">
        <f>SUMIFS('fuels and tailpipe emissions'!$H$10:$H$126,'fuels and tailpipe emissions'!$A$10:$A$126,'vehicles specifications'!$F68,'fuels and tailpipe emissions'!$B$10:$B$126,'vehicles specifications'!AW$2)/1000*$AQ68</f>
        <v>2.0569291768525646E-5</v>
      </c>
      <c r="AX68" s="7">
        <f>SUMIFS('fuels and tailpipe emissions'!$H$10:$H$126,'fuels and tailpipe emissions'!$A$10:$A$126,'vehicles specifications'!$F68,'fuels and tailpipe emissions'!$B$10:$B$126,'vehicles specifications'!AX$2)/1000*$AQ68</f>
        <v>1.5981599694916431E-4</v>
      </c>
      <c r="AY68" s="7">
        <f>SUMIFS('fuels and tailpipe emissions'!$H$10:$H$126,'fuels and tailpipe emissions'!$A$10:$A$126,'vehicles specifications'!$F68,'fuels and tailpipe emissions'!$B$10:$B$126,'vehicles specifications'!AY$2)/1000*$AQ68</f>
        <v>1.0825943036066128E-6</v>
      </c>
      <c r="AZ68" s="7">
        <f>SUMIFS('fuels and tailpipe emissions'!$H$10:$H$126,'fuels and tailpipe emissions'!$A$10:$A$126,'vehicles specifications'!$F68,'fuels and tailpipe emissions'!$B$10:$B$126,'vehicles specifications'!AZ$2)/1000*$AQ68</f>
        <v>1.0825943036066128E-6</v>
      </c>
      <c r="BA68" s="7">
        <f>SUMIFS('fuels and tailpipe emissions'!$H$10:$H$126,'fuels and tailpipe emissions'!$A$10:$A$126,'vehicles specifications'!$F68,'fuels and tailpipe emissions'!$B$10:$B$126,'vehicles specifications'!BA$2)/1000*$AQ68</f>
        <v>9.1119679228174102E-6</v>
      </c>
      <c r="BB68" s="7">
        <f>SUMIFS('fuels and tailpipe emissions'!$H$10:$H$126,'fuels and tailpipe emissions'!$A$10:$A$126,'vehicles specifications'!$F68,'fuels and tailpipe emissions'!$B$10:$B$126,'vehicles specifications'!BB$2)/1000*$AQ68</f>
        <v>2.7064857590165319E-6</v>
      </c>
      <c r="BC68" s="7">
        <f>SUMIFS('fuels and tailpipe emissions'!$H$10:$H$126,'fuels and tailpipe emissions'!$A$10:$A$126,'vehicles specifications'!$F68,'fuels and tailpipe emissions'!$B$10:$B$126,'vehicles specifications'!BC$2)/1000*$AQ68</f>
        <v>1.1767832777781926E-5</v>
      </c>
      <c r="BD68" s="7">
        <f>SUMIFS('fuels and tailpipe emissions'!$H$10:$H$126,'fuels and tailpipe emissions'!$A$10:$A$126,'vehicles specifications'!$F68,'fuels and tailpipe emissions'!$B$10:$B$126,'vehicles specifications'!BD$2)/1000*$AQ68</f>
        <v>8.2978308048462282E-7</v>
      </c>
      <c r="BE68" s="7">
        <f>SUMIFS('fuels and tailpipe emissions'!$H$10:$H$126,'fuels and tailpipe emissions'!$A$10:$A$126,'vehicles specifications'!$F68,'fuels and tailpipe emissions'!$B$10:$B$126,'vehicles specifications'!BE$2)/1000*$AQ68</f>
        <v>1.6907805715203913E-7</v>
      </c>
      <c r="BF68" s="7">
        <f>SUMIFS('fuels and tailpipe emissions'!$H$10:$H$126,'fuels and tailpipe emissions'!$A$10:$A$126,'vehicles specifications'!$F68,'fuels and tailpipe emissions'!$B$10:$B$126,'vehicles specifications'!BF$2)/1000*$AQ68</f>
        <v>1.3630292607333617E-6</v>
      </c>
      <c r="BG68" s="7">
        <f>SUMIFS('fuels and tailpipe emissions'!$H$10:$H$126,'fuels and tailpipe emissions'!$A$10:$A$126,'vehicles specifications'!$F68,'fuels and tailpipe emissions'!$B$10:$B$126,'vehicles specifications'!BG$2)/1000*$AQ68</f>
        <v>5.5925818904136034E-7</v>
      </c>
      <c r="BH68" s="7">
        <f>SUMIFS('fuels and tailpipe emissions'!$H$10:$H$126,'fuels and tailpipe emissions'!$A$10:$A$126,'vehicles specifications'!$F68,'fuels and tailpipe emissions'!$B$10:$B$126,'vehicles specifications'!BH$2)/1000*$AQ68</f>
        <v>4.1879334156120465E-7</v>
      </c>
      <c r="BI68" s="7">
        <f>SUMIFS('fuels and tailpipe emissions'!$H$10:$H$126,'fuels and tailpipe emissions'!$A$10:$A$126,'vehicles specifications'!$F68,'fuels and tailpipe emissions'!$B$10:$B$126,'vehicles specifications'!BI$2)/1000*$AQ68</f>
        <v>2.9653690023588408E-7</v>
      </c>
      <c r="BJ68" s="7">
        <f>SUMIFS('fuels and tailpipe emissions'!$H$10:$H$126,'fuels and tailpipe emissions'!$A$10:$A$126,'vehicles specifications'!$F68,'fuels and tailpipe emissions'!$B$10:$B$126,'vehicles specifications'!BJ$2)/1000*$AQ68</f>
        <v>1.9248886506539842E-7</v>
      </c>
      <c r="BK68" s="7">
        <f>SUMIFS('fuels and tailpipe emissions'!$H$10:$H$126,'fuels and tailpipe emissions'!$A$10:$A$126,'vehicles specifications'!$F68,'fuels and tailpipe emissions'!$B$10:$B$126,'vehicles specifications'!BK$2)/1000*$AQ68</f>
        <v>1.8988766418613624E-6</v>
      </c>
      <c r="BL68" s="7">
        <f>SUMIFS('fuels and tailpipe emissions'!$H$10:$H$126,'fuels and tailpipe emissions'!$A$10:$A$126,'vehicles specifications'!$F68,'fuels and tailpipe emissions'!$B$10:$B$126,'vehicles specifications'!BL$2)/1000*$AQ68</f>
        <v>9.9365873587813773E-7</v>
      </c>
      <c r="BM68" s="7">
        <f>SUMIFS('fuels and tailpipe emissions'!$H$10:$H$126,'fuels and tailpipe emissions'!$A$10:$A$126,'vehicles specifications'!$F68,'fuels and tailpipe emissions'!$B$10:$B$126,'vehicles specifications'!BM$2)/1000*$AQ68</f>
        <v>2.8613209671883554E-8</v>
      </c>
      <c r="BN68" s="7">
        <f>SUMIFS('fuels and tailpipe emissions'!$H$10:$H$126,'fuels and tailpipe emissions'!$A$10:$A$126,'vehicles specifications'!$F68,'fuels and tailpipe emissions'!$B$10:$B$126,'vehicles specifications'!BN$2)/1000*$AQ68</f>
        <v>1.459273693266061E-6</v>
      </c>
      <c r="BO68" s="7">
        <f>SUMIFS('fuels and tailpipe emissions'!$H$10:$H$126,'fuels and tailpipe emissions'!$A$10:$A$126,'vehicles specifications'!$F68,'fuels and tailpipe emissions'!$B$10:$B$126,'vehicles specifications'!BO$2)/1000*$AQ68</f>
        <v>2.8561185654298302E-6</v>
      </c>
      <c r="BP68" s="7">
        <f>SUMIFS('fuels and tailpipe emissions'!$H$10:$H$126,'fuels and tailpipe emissions'!$A$10:$A$126,'vehicles specifications'!$F68,'fuels and tailpipe emissions'!$B$10:$B$126,'vehicles specifications'!BP$2)/1000*$AQ68</f>
        <v>1.4124520774393426E-6</v>
      </c>
      <c r="BQ68" s="7">
        <f>SUMIFS('fuels and tailpipe emissions'!$H$10:$H$126,'fuels and tailpipe emissions'!$A$10:$A$126,'vehicles specifications'!$F68,'fuels and tailpipe emissions'!$B$10:$B$126,'vehicles specifications'!BQ$2)/1000*$AQ68</f>
        <v>5.878713987132438E-7</v>
      </c>
      <c r="BR68" s="7">
        <f>SUMIFS('fuels and tailpipe emissions'!$H$10:$H$126,'fuels and tailpipe emissions'!$A$10:$A$126,'vehicles specifications'!$F68,'fuels and tailpipe emissions'!$B$10:$B$126,'vehicles specifications'!BR$2)/1000*$AQ68</f>
        <v>4.4220414947456396E-7</v>
      </c>
      <c r="BS68" s="7">
        <f>SUMIFS('fuels and tailpipe emissions'!$H$10:$H$126,'fuels and tailpipe emissions'!$A$10:$A$126,'vehicles specifications'!$F68,'fuels and tailpipe emissions'!$B$10:$B$126,'vehicles specifications'!BS$2)/1000*$AQ68</f>
        <v>1.9509006594466054E-7</v>
      </c>
      <c r="BT68" s="7">
        <f>SUMIFS('fuels and tailpipe emissions'!$H$10:$H$126,'fuels and tailpipe emissions'!$A$10:$A$126,'vehicles specifications'!$F68,'fuels and tailpipe emissions'!$B$10:$B$126,'vehicles specifications'!BT$2)/1000*$AQ68</f>
        <v>5.7226419343767108E-8</v>
      </c>
      <c r="BU68" s="7">
        <f>SUMIFS('fuels and tailpipe emissions'!$H$10:$H$126,'fuels and tailpipe emissions'!$A$10:$A$126,'vehicles specifications'!$F68,'fuels and tailpipe emissions'!$B$10:$B$126,'vehicles specifications'!BU$2)/1000*$AQ68</f>
        <v>1.5867325363499058E-7</v>
      </c>
      <c r="BV68" s="7">
        <f>SUMIFS('fuels and tailpipe emissions'!$H$10:$H$126,'fuels and tailpipe emissions'!$A$10:$A$126,'vehicles specifications'!$F68,'fuels and tailpipe emissions'!$B$10:$B$126,'vehicles specifications'!BV$2)/1000*$AQ68</f>
        <v>0</v>
      </c>
      <c r="BW68" s="7">
        <f>SUMIFS('fuels and tailpipe emissions'!$H$10:$H$126,'fuels and tailpipe emissions'!$A$10:$A$126,'vehicles specifications'!$F68,'fuels and tailpipe emissions'!$B$10:$B$126,'vehicles specifications'!BW$2)/1000*$AQ68</f>
        <v>4.9422816705980673E-8</v>
      </c>
      <c r="BX68" s="7">
        <f>SUMIFS('fuels and tailpipe emissions'!$H$10:$H$126,'fuels and tailpipe emissions'!$A$10:$A$126,'vehicles specifications'!$F68,'fuels and tailpipe emissions'!$B$10:$B$126,'vehicles specifications'!BX$2)/1000*$AQ68</f>
        <v>2.6272128880547621E-7</v>
      </c>
      <c r="BY68" s="7">
        <f>SUMIFS('fuels and tailpipe emissions'!$H$10:$H$126,'fuels and tailpipe emissions'!$A$10:$A$126,'vehicles specifications'!$F68,'fuels and tailpipe emissions'!$B$10:$B$126,'vehicles specifications'!BY$2)/1000*$AQ68</f>
        <v>6.6642582086444387E-8</v>
      </c>
      <c r="BZ68" s="7">
        <f>SUMIFS('fuels and tailpipe emissions'!$H$10:$H$126,'fuels and tailpipe emissions'!$A$10:$A$126,'vehicles specifications'!$F68,'fuels and tailpipe emissions'!$B$10:$B$126,'vehicles specifications'!BZ$2)/1000*$AQ68</f>
        <v>5.7450501798658951E-10</v>
      </c>
      <c r="CA68" s="7">
        <f>SUMIFS('fuels and tailpipe emissions'!$H$10:$H$126,'fuels and tailpipe emissions'!$A$10:$A$126,'vehicles specifications'!$F68,'fuels and tailpipe emissions'!$B$10:$B$126,'vehicles specifications'!CA$2)/1000*$AQ68</f>
        <v>3.8300334532439302E-10</v>
      </c>
      <c r="CB68" s="7">
        <f>SUMIFS('fuels and tailpipe emissions'!$H$10:$H$126,'fuels and tailpipe emissions'!$A$10:$A$126,'vehicles specifications'!$F68,'fuels and tailpipe emissions'!$B$10:$B$126,'vehicles specifications'!CB$2)/1000*$AQ68</f>
        <v>4.136436129503445E-6</v>
      </c>
      <c r="CC68" s="7">
        <f>SUMIFS('fuels and tailpipe emissions'!$H$10:$H$126,'fuels and tailpipe emissions'!$A$10:$A$126,'vehicles specifications'!$F68,'fuels and tailpipe emissions'!$B$10:$B$126,'vehicles specifications'!CC$2)/1000*$AQ68</f>
        <v>8.0430702518122528E-8</v>
      </c>
      <c r="CD68" s="7">
        <f>SUMIFS('fuels and tailpipe emissions'!$H$10:$H$126,'fuels and tailpipe emissions'!$A$10:$A$126,'vehicles specifications'!$F68,'fuels and tailpipe emissions'!$B$10:$B$126,'vehicles specifications'!CD$2)/1000*$AQ68</f>
        <v>2.4895217446085546E-8</v>
      </c>
      <c r="CE68" s="7">
        <f>SUMIFS('fuels and tailpipe emissions'!$H$10:$H$126,'fuels and tailpipe emissions'!$A$10:$A$126,'vehicles specifications'!$F68,'fuels and tailpipe emissions'!$B$10:$B$126,'vehicles specifications'!CE$2)/1000*$AQ68</f>
        <v>3.0640267625951449E-8</v>
      </c>
      <c r="CF68" s="7">
        <f>SUMIFS('fuels and tailpipe emissions'!$H$10:$H$126,'fuels and tailpipe emissions'!$A$10:$A$126,'vehicles specifications'!$F68,'fuels and tailpipe emissions'!$B$10:$B$126,'vehicles specifications'!CF$2)/1000*$AQ68</f>
        <v>6.1280535251902888E-11</v>
      </c>
      <c r="CG68" s="7">
        <f>SUMIFS('fuels and tailpipe emissions'!$H$10:$H$126,'fuels and tailpipe emissions'!$A$10:$A$126,'vehicles specifications'!$F68,'fuels and tailpipe emissions'!$B$10:$B$126,'vehicles specifications'!CG$2)/1000*$AQ68</f>
        <v>1.6660645521611097E-8</v>
      </c>
      <c r="CH68" s="7">
        <f>SUMIFS('fuels and tailpipe emissions'!$H$10:$H$126,'fuels and tailpipe emissions'!$A$10:$A$126,'vehicles specifications'!$F68,'fuels and tailpipe emissions'!$B$10:$B$126,'vehicles specifications'!CH$2)/1000*$AQ68</f>
        <v>2.0682180647517226E-8</v>
      </c>
      <c r="CI68" s="7">
        <f>VLOOKUP(B68,'abrasion emissions'!$A$4:$D$32,4,FALSE)</f>
        <v>6.0000000000000002E-6</v>
      </c>
      <c r="CJ68" s="7">
        <f>VLOOKUP(B68,'abrasion emissions'!$A$4:$D$32,2,FALSE)</f>
        <v>7.3669999999999991E-6</v>
      </c>
      <c r="CK68" s="7">
        <f>VLOOKUP(B68,'abrasion emissions'!$A$4:$D$32,3,FALSE)</f>
        <v>8.3499999999999997E-6</v>
      </c>
    </row>
    <row r="69" spans="1:89" x14ac:dyDescent="0.3">
      <c r="A69" t="str">
        <f t="shared" si="35"/>
        <v>Motorbike, gasoline, &gt;35kW, EURO-5 - 2040 - CH</v>
      </c>
      <c r="B69" t="s">
        <v>705</v>
      </c>
      <c r="D69">
        <v>2040</v>
      </c>
      <c r="E69" t="s">
        <v>37</v>
      </c>
      <c r="F69" t="s">
        <v>149</v>
      </c>
      <c r="G69" t="s">
        <v>39</v>
      </c>
      <c r="H69" t="s">
        <v>35</v>
      </c>
      <c r="J69" s="21">
        <v>62100</v>
      </c>
      <c r="K69" s="21">
        <v>4592</v>
      </c>
      <c r="L69" s="2">
        <f t="shared" si="36"/>
        <v>13.523519163763066</v>
      </c>
      <c r="M69">
        <v>1.1000000000000001</v>
      </c>
      <c r="N69">
        <v>70</v>
      </c>
      <c r="O69">
        <v>6</v>
      </c>
      <c r="P69" s="2">
        <f t="shared" si="13"/>
        <v>250.97499999999999</v>
      </c>
      <c r="Q69" s="2">
        <f t="shared" si="37"/>
        <v>333.97500000000002</v>
      </c>
      <c r="R69">
        <v>91</v>
      </c>
      <c r="S69" s="2">
        <v>111</v>
      </c>
      <c r="T69" s="1">
        <v>0.05</v>
      </c>
      <c r="U69" s="2">
        <f t="shared" si="32"/>
        <v>105.44999999999999</v>
      </c>
      <c r="V69" s="2">
        <v>130</v>
      </c>
      <c r="W69" s="2">
        <v>0</v>
      </c>
      <c r="X69" s="3">
        <v>0</v>
      </c>
      <c r="Y69" s="1">
        <v>0.8</v>
      </c>
      <c r="Z69" s="3">
        <f t="shared" si="38"/>
        <v>0</v>
      </c>
      <c r="AA69" s="3">
        <v>0</v>
      </c>
      <c r="AB69" s="3">
        <v>0</v>
      </c>
      <c r="AC69" s="3">
        <f t="shared" si="39"/>
        <v>0</v>
      </c>
      <c r="AD69" s="3">
        <v>0</v>
      </c>
      <c r="AE69" s="3">
        <v>18</v>
      </c>
      <c r="AF69">
        <f>AE69*'fuels and tailpipe emissions'!$B$3</f>
        <v>13.5</v>
      </c>
      <c r="AG69" s="2">
        <f>AF69*'fuels and tailpipe emissions'!$C$3</f>
        <v>159</v>
      </c>
      <c r="AH69" s="3">
        <f t="shared" si="33"/>
        <v>2.0249999999999999</v>
      </c>
      <c r="AI69" s="3">
        <v>0</v>
      </c>
      <c r="AJ69" s="3">
        <v>0</v>
      </c>
      <c r="AK69">
        <f t="shared" si="30"/>
        <v>1.242</v>
      </c>
      <c r="AL69">
        <f t="shared" si="15"/>
        <v>1.7934457500000002E-4</v>
      </c>
      <c r="AM69">
        <v>1.2899999999999999E-3</v>
      </c>
      <c r="AN69" s="2">
        <f t="shared" si="40"/>
        <v>105.44999999999999</v>
      </c>
      <c r="AO69" s="2">
        <f t="shared" si="41"/>
        <v>130</v>
      </c>
      <c r="AP69" s="2">
        <f t="shared" si="42"/>
        <v>0</v>
      </c>
      <c r="AQ69" s="6">
        <v>1.8958665593557453</v>
      </c>
      <c r="AR69" s="6" t="str">
        <f>IF($H69="BEV",SUMPRODUCT(#REF!,#REF!),"")</f>
        <v/>
      </c>
      <c r="AS69" s="2">
        <f>SUM(Z69,AG69)/(SUM(AQ69:AR69)/3.6)</f>
        <v>301.91998333179805</v>
      </c>
      <c r="AT69" s="5">
        <f>IF($H69="ICEV-p",$AQ69/('fuels and tailpipe emissions'!$C$3*3.6)*'fuels and tailpipe emissions'!$D$3,"")</f>
        <v>0.14218999195168092</v>
      </c>
      <c r="AU69" s="7">
        <f>IF($H69="ICEV-p",$AQ69/('fuels and tailpipe emissions'!$C$3*3.6)*'fuels and tailpipe emissions'!$E$3,"")</f>
        <v>7.1542134315311146E-7</v>
      </c>
      <c r="AV69" s="7">
        <f>SUMIFS('fuels and tailpipe emissions'!$H$10:$H$126,'fuels and tailpipe emissions'!$A$10:$A$126,'vehicles specifications'!$F69,'fuels and tailpipe emissions'!$B$10:$B$126,'vehicles specifications'!AV$2)/1000*$AQ69</f>
        <v>1.4446809563334003E-6</v>
      </c>
      <c r="AW69" s="7">
        <f>SUMIFS('fuels and tailpipe emissions'!$H$10:$H$126,'fuels and tailpipe emissions'!$A$10:$A$126,'vehicles specifications'!$F69,'fuels and tailpipe emissions'!$B$10:$B$126,'vehicles specifications'!AW$2)/1000*$AQ69</f>
        <v>2.0363598850840388E-5</v>
      </c>
      <c r="AX69" s="7">
        <f>SUMIFS('fuels and tailpipe emissions'!$H$10:$H$126,'fuels and tailpipe emissions'!$A$10:$A$126,'vehicles specifications'!$F69,'fuels and tailpipe emissions'!$B$10:$B$126,'vehicles specifications'!AX$2)/1000*$AQ69</f>
        <v>1.5821783697967266E-4</v>
      </c>
      <c r="AY69" s="7">
        <f>SUMIFS('fuels and tailpipe emissions'!$H$10:$H$126,'fuels and tailpipe emissions'!$A$10:$A$126,'vehicles specifications'!$F69,'fuels and tailpipe emissions'!$B$10:$B$126,'vehicles specifications'!AY$2)/1000*$AQ69</f>
        <v>1.0717683605705466E-6</v>
      </c>
      <c r="AZ69" s="7">
        <f>SUMIFS('fuels and tailpipe emissions'!$H$10:$H$126,'fuels and tailpipe emissions'!$A$10:$A$126,'vehicles specifications'!$F69,'fuels and tailpipe emissions'!$B$10:$B$126,'vehicles specifications'!AZ$2)/1000*$AQ69</f>
        <v>1.0717683605705466E-6</v>
      </c>
      <c r="BA69" s="7">
        <f>SUMIFS('fuels and tailpipe emissions'!$H$10:$H$126,'fuels and tailpipe emissions'!$A$10:$A$126,'vehicles specifications'!$F69,'fuels and tailpipe emissions'!$B$10:$B$126,'vehicles specifications'!BA$2)/1000*$AQ69</f>
        <v>9.0208482435892366E-6</v>
      </c>
      <c r="BB69" s="7">
        <f>SUMIFS('fuels and tailpipe emissions'!$H$10:$H$126,'fuels and tailpipe emissions'!$A$10:$A$126,'vehicles specifications'!$F69,'fuels and tailpipe emissions'!$B$10:$B$126,'vehicles specifications'!BB$2)/1000*$AQ69</f>
        <v>2.6794209014263668E-6</v>
      </c>
      <c r="BC69" s="7">
        <f>SUMIFS('fuels and tailpipe emissions'!$H$10:$H$126,'fuels and tailpipe emissions'!$A$10:$A$126,'vehicles specifications'!$F69,'fuels and tailpipe emissions'!$B$10:$B$126,'vehicles specifications'!BC$2)/1000*$AQ69</f>
        <v>1.1650154450004105E-5</v>
      </c>
      <c r="BD69" s="7">
        <f>SUMIFS('fuels and tailpipe emissions'!$H$10:$H$126,'fuels and tailpipe emissions'!$A$10:$A$126,'vehicles specifications'!$F69,'fuels and tailpipe emissions'!$B$10:$B$126,'vehicles specifications'!BD$2)/1000*$AQ69</f>
        <v>8.2148524967977661E-7</v>
      </c>
      <c r="BE69" s="7">
        <f>SUMIFS('fuels and tailpipe emissions'!$H$10:$H$126,'fuels and tailpipe emissions'!$A$10:$A$126,'vehicles specifications'!$F69,'fuels and tailpipe emissions'!$B$10:$B$126,'vehicles specifications'!BE$2)/1000*$AQ69</f>
        <v>1.6738727658051873E-7</v>
      </c>
      <c r="BF69" s="7">
        <f>SUMIFS('fuels and tailpipe emissions'!$H$10:$H$126,'fuels and tailpipe emissions'!$A$10:$A$126,'vehicles specifications'!$F69,'fuels and tailpipe emissions'!$B$10:$B$126,'vehicles specifications'!BF$2)/1000*$AQ69</f>
        <v>1.3493989681260279E-6</v>
      </c>
      <c r="BG69" s="7">
        <f>SUMIFS('fuels and tailpipe emissions'!$H$10:$H$126,'fuels and tailpipe emissions'!$A$10:$A$126,'vehicles specifications'!$F69,'fuels and tailpipe emissions'!$B$10:$B$126,'vehicles specifications'!BG$2)/1000*$AQ69</f>
        <v>5.5366560715094662E-7</v>
      </c>
      <c r="BH69" s="7">
        <f>SUMIFS('fuels and tailpipe emissions'!$H$10:$H$126,'fuels and tailpipe emissions'!$A$10:$A$126,'vehicles specifications'!$F69,'fuels and tailpipe emissions'!$B$10:$B$126,'vehicles specifications'!BH$2)/1000*$AQ69</f>
        <v>4.1460540814559257E-7</v>
      </c>
      <c r="BI69" s="7">
        <f>SUMIFS('fuels and tailpipe emissions'!$H$10:$H$126,'fuels and tailpipe emissions'!$A$10:$A$126,'vehicles specifications'!$F69,'fuels and tailpipe emissions'!$B$10:$B$126,'vehicles specifications'!BI$2)/1000*$AQ69</f>
        <v>2.9357153123352523E-7</v>
      </c>
      <c r="BJ69" s="7">
        <f>SUMIFS('fuels and tailpipe emissions'!$H$10:$H$126,'fuels and tailpipe emissions'!$A$10:$A$126,'vehicles specifications'!$F69,'fuels and tailpipe emissions'!$B$10:$B$126,'vehicles specifications'!BJ$2)/1000*$AQ69</f>
        <v>1.9056397641474442E-7</v>
      </c>
      <c r="BK69" s="7">
        <f>SUMIFS('fuels and tailpipe emissions'!$H$10:$H$126,'fuels and tailpipe emissions'!$A$10:$A$126,'vehicles specifications'!$F69,'fuels and tailpipe emissions'!$B$10:$B$126,'vehicles specifications'!BK$2)/1000*$AQ69</f>
        <v>1.8798878754427487E-6</v>
      </c>
      <c r="BL69" s="7">
        <f>SUMIFS('fuels and tailpipe emissions'!$H$10:$H$126,'fuels and tailpipe emissions'!$A$10:$A$126,'vehicles specifications'!$F69,'fuels and tailpipe emissions'!$B$10:$B$126,'vehicles specifications'!BL$2)/1000*$AQ69</f>
        <v>9.8372214851935643E-7</v>
      </c>
      <c r="BM69" s="7">
        <f>SUMIFS('fuels and tailpipe emissions'!$H$10:$H$126,'fuels and tailpipe emissions'!$A$10:$A$126,'vehicles specifications'!$F69,'fuels and tailpipe emissions'!$B$10:$B$126,'vehicles specifications'!BM$2)/1000*$AQ69</f>
        <v>2.8327077575164717E-8</v>
      </c>
      <c r="BN69" s="7">
        <f>SUMIFS('fuels and tailpipe emissions'!$H$10:$H$126,'fuels and tailpipe emissions'!$A$10:$A$126,'vehicles specifications'!$F69,'fuels and tailpipe emissions'!$B$10:$B$126,'vehicles specifications'!BN$2)/1000*$AQ69</f>
        <v>1.4446809563334003E-6</v>
      </c>
      <c r="BO69" s="7">
        <f>SUMIFS('fuels and tailpipe emissions'!$H$10:$H$126,'fuels and tailpipe emissions'!$A$10:$A$126,'vehicles specifications'!$F69,'fuels and tailpipe emissions'!$B$10:$B$126,'vehicles specifications'!BO$2)/1000*$AQ69</f>
        <v>2.8275573797755318E-6</v>
      </c>
      <c r="BP69" s="7">
        <f>SUMIFS('fuels and tailpipe emissions'!$H$10:$H$126,'fuels and tailpipe emissions'!$A$10:$A$126,'vehicles specifications'!$F69,'fuels and tailpipe emissions'!$B$10:$B$126,'vehicles specifications'!BP$2)/1000*$AQ69</f>
        <v>1.3983275566649491E-6</v>
      </c>
      <c r="BQ69" s="7">
        <f>SUMIFS('fuels and tailpipe emissions'!$H$10:$H$126,'fuels and tailpipe emissions'!$A$10:$A$126,'vehicles specifications'!$F69,'fuels and tailpipe emissions'!$B$10:$B$126,'vehicles specifications'!BQ$2)/1000*$AQ69</f>
        <v>5.819926847261114E-7</v>
      </c>
      <c r="BR69" s="7">
        <f>SUMIFS('fuels and tailpipe emissions'!$H$10:$H$126,'fuels and tailpipe emissions'!$A$10:$A$126,'vehicles specifications'!$F69,'fuels and tailpipe emissions'!$B$10:$B$126,'vehicles specifications'!BR$2)/1000*$AQ69</f>
        <v>4.3778210797981829E-7</v>
      </c>
      <c r="BS69" s="7">
        <f>SUMIFS('fuels and tailpipe emissions'!$H$10:$H$126,'fuels and tailpipe emissions'!$A$10:$A$126,'vehicles specifications'!$F69,'fuels and tailpipe emissions'!$B$10:$B$126,'vehicles specifications'!BS$2)/1000*$AQ69</f>
        <v>1.9313916528521392E-7</v>
      </c>
      <c r="BT69" s="7">
        <f>SUMIFS('fuels and tailpipe emissions'!$H$10:$H$126,'fuels and tailpipe emissions'!$A$10:$A$126,'vehicles specifications'!$F69,'fuels and tailpipe emissions'!$B$10:$B$126,'vehicles specifications'!BT$2)/1000*$AQ69</f>
        <v>5.6654155150329434E-8</v>
      </c>
      <c r="BU69" s="7">
        <f>SUMIFS('fuels and tailpipe emissions'!$H$10:$H$126,'fuels and tailpipe emissions'!$A$10:$A$126,'vehicles specifications'!$F69,'fuels and tailpipe emissions'!$B$10:$B$126,'vehicles specifications'!BU$2)/1000*$AQ69</f>
        <v>1.5708652109864066E-7</v>
      </c>
      <c r="BV69" s="7">
        <f>SUMIFS('fuels and tailpipe emissions'!$H$10:$H$126,'fuels and tailpipe emissions'!$A$10:$A$126,'vehicles specifications'!$F69,'fuels and tailpipe emissions'!$B$10:$B$126,'vehicles specifications'!BV$2)/1000*$AQ69</f>
        <v>0</v>
      </c>
      <c r="BW69" s="7">
        <f>SUMIFS('fuels and tailpipe emissions'!$H$10:$H$126,'fuels and tailpipe emissions'!$A$10:$A$126,'vehicles specifications'!$F69,'fuels and tailpipe emissions'!$B$10:$B$126,'vehicles specifications'!BW$2)/1000*$AQ69</f>
        <v>4.8928588538920863E-8</v>
      </c>
      <c r="BX69" s="7">
        <f>SUMIFS('fuels and tailpipe emissions'!$H$10:$H$126,'fuels and tailpipe emissions'!$A$10:$A$126,'vehicles specifications'!$F69,'fuels and tailpipe emissions'!$B$10:$B$126,'vehicles specifications'!BX$2)/1000*$AQ69</f>
        <v>2.6009407591742145E-7</v>
      </c>
      <c r="BY69" s="7">
        <f>SUMIFS('fuels and tailpipe emissions'!$H$10:$H$126,'fuels and tailpipe emissions'!$A$10:$A$126,'vehicles specifications'!$F69,'fuels and tailpipe emissions'!$B$10:$B$126,'vehicles specifications'!BY$2)/1000*$AQ69</f>
        <v>6.5976156265579933E-8</v>
      </c>
      <c r="BZ69" s="7">
        <f>SUMIFS('fuels and tailpipe emissions'!$H$10:$H$126,'fuels and tailpipe emissions'!$A$10:$A$126,'vehicles specifications'!$F69,'fuels and tailpipe emissions'!$B$10:$B$126,'vehicles specifications'!BZ$2)/1000*$AQ69</f>
        <v>5.6875996780672355E-10</v>
      </c>
      <c r="CA69" s="7">
        <f>SUMIFS('fuels and tailpipe emissions'!$H$10:$H$126,'fuels and tailpipe emissions'!$A$10:$A$126,'vehicles specifications'!$F69,'fuels and tailpipe emissions'!$B$10:$B$126,'vehicles specifications'!CA$2)/1000*$AQ69</f>
        <v>3.7917331187114909E-10</v>
      </c>
      <c r="CB69" s="7">
        <f>SUMIFS('fuels and tailpipe emissions'!$H$10:$H$126,'fuels and tailpipe emissions'!$A$10:$A$126,'vehicles specifications'!$F69,'fuels and tailpipe emissions'!$B$10:$B$126,'vehicles specifications'!CB$2)/1000*$AQ69</f>
        <v>4.09507176820841E-6</v>
      </c>
      <c r="CC69" s="7">
        <f>SUMIFS('fuels and tailpipe emissions'!$H$10:$H$126,'fuels and tailpipe emissions'!$A$10:$A$126,'vehicles specifications'!$F69,'fuels and tailpipe emissions'!$B$10:$B$126,'vehicles specifications'!CC$2)/1000*$AQ69</f>
        <v>7.9626395492941297E-8</v>
      </c>
      <c r="CD69" s="7">
        <f>SUMIFS('fuels and tailpipe emissions'!$H$10:$H$126,'fuels and tailpipe emissions'!$A$10:$A$126,'vehicles specifications'!$F69,'fuels and tailpipe emissions'!$B$10:$B$126,'vehicles specifications'!CD$2)/1000*$AQ69</f>
        <v>2.4646265271624692E-8</v>
      </c>
      <c r="CE69" s="7">
        <f>SUMIFS('fuels and tailpipe emissions'!$H$10:$H$126,'fuels and tailpipe emissions'!$A$10:$A$126,'vehicles specifications'!$F69,'fuels and tailpipe emissions'!$B$10:$B$126,'vehicles specifications'!CE$2)/1000*$AQ69</f>
        <v>3.0333864949691933E-8</v>
      </c>
      <c r="CF69" s="7">
        <f>SUMIFS('fuels and tailpipe emissions'!$H$10:$H$126,'fuels and tailpipe emissions'!$A$10:$A$126,'vehicles specifications'!$F69,'fuels and tailpipe emissions'!$B$10:$B$126,'vehicles specifications'!CF$2)/1000*$AQ69</f>
        <v>6.0667729899383848E-11</v>
      </c>
      <c r="CG69" s="7">
        <f>SUMIFS('fuels and tailpipe emissions'!$H$10:$H$126,'fuels and tailpipe emissions'!$A$10:$A$126,'vehicles specifications'!$F69,'fuels and tailpipe emissions'!$B$10:$B$126,'vehicles specifications'!CG$2)/1000*$AQ69</f>
        <v>1.6494039066394983E-8</v>
      </c>
      <c r="CH69" s="7">
        <f>SUMIFS('fuels and tailpipe emissions'!$H$10:$H$126,'fuels and tailpipe emissions'!$A$10:$A$126,'vehicles specifications'!$F69,'fuels and tailpipe emissions'!$B$10:$B$126,'vehicles specifications'!CH$2)/1000*$AQ69</f>
        <v>2.047535884104205E-8</v>
      </c>
      <c r="CI69" s="7">
        <f>VLOOKUP(B69,'abrasion emissions'!$A$4:$D$32,4,FALSE)</f>
        <v>6.0000000000000002E-6</v>
      </c>
      <c r="CJ69" s="7">
        <f>VLOOKUP(B69,'abrasion emissions'!$A$4:$D$32,2,FALSE)</f>
        <v>7.3669999999999991E-6</v>
      </c>
      <c r="CK69" s="7">
        <f>VLOOKUP(B69,'abrasion emissions'!$A$4:$D$32,3,FALSE)</f>
        <v>8.3499999999999997E-6</v>
      </c>
    </row>
    <row r="70" spans="1:89" x14ac:dyDescent="0.3">
      <c r="A70" t="str">
        <f t="shared" si="35"/>
        <v>Motorbike, gasoline, &gt;35kW, EURO-5 - 2050 - CH</v>
      </c>
      <c r="B70" t="s">
        <v>705</v>
      </c>
      <c r="D70">
        <v>2050</v>
      </c>
      <c r="E70" t="s">
        <v>37</v>
      </c>
      <c r="F70" t="s">
        <v>149</v>
      </c>
      <c r="G70" t="s">
        <v>39</v>
      </c>
      <c r="H70" t="s">
        <v>35</v>
      </c>
      <c r="J70" s="21">
        <v>62100</v>
      </c>
      <c r="K70" s="21">
        <v>4592</v>
      </c>
      <c r="L70" s="2">
        <f t="shared" si="36"/>
        <v>13.523519163763066</v>
      </c>
      <c r="M70">
        <v>1.1000000000000001</v>
      </c>
      <c r="N70">
        <v>70</v>
      </c>
      <c r="O70">
        <v>6</v>
      </c>
      <c r="P70" s="2">
        <f t="shared" si="13"/>
        <v>248.755</v>
      </c>
      <c r="Q70" s="2">
        <f t="shared" si="37"/>
        <v>331.755</v>
      </c>
      <c r="R70">
        <v>91</v>
      </c>
      <c r="S70" s="2">
        <v>111</v>
      </c>
      <c r="T70" s="1">
        <v>7.0000000000000007E-2</v>
      </c>
      <c r="U70" s="2">
        <f t="shared" si="32"/>
        <v>103.22999999999999</v>
      </c>
      <c r="V70" s="2">
        <v>130</v>
      </c>
      <c r="W70" s="2">
        <v>0</v>
      </c>
      <c r="X70" s="3">
        <v>0</v>
      </c>
      <c r="Y70" s="1">
        <v>0.8</v>
      </c>
      <c r="Z70" s="3">
        <f t="shared" si="38"/>
        <v>0</v>
      </c>
      <c r="AA70" s="3">
        <v>0</v>
      </c>
      <c r="AB70" s="3">
        <v>0</v>
      </c>
      <c r="AC70" s="3">
        <f t="shared" si="39"/>
        <v>0</v>
      </c>
      <c r="AD70" s="3">
        <v>0</v>
      </c>
      <c r="AE70" s="3">
        <v>18</v>
      </c>
      <c r="AF70">
        <f>AE70*'fuels and tailpipe emissions'!$B$3</f>
        <v>13.5</v>
      </c>
      <c r="AG70" s="2">
        <f>AF70*'fuels and tailpipe emissions'!$C$3</f>
        <v>159</v>
      </c>
      <c r="AH70" s="3">
        <f t="shared" si="33"/>
        <v>2.0249999999999999</v>
      </c>
      <c r="AI70" s="3">
        <v>0</v>
      </c>
      <c r="AJ70" s="3">
        <v>0</v>
      </c>
      <c r="AK70">
        <f t="shared" si="30"/>
        <v>1.242</v>
      </c>
      <c r="AL70">
        <f t="shared" si="15"/>
        <v>1.7815243499999999E-4</v>
      </c>
      <c r="AM70">
        <v>1.2899999999999999E-3</v>
      </c>
      <c r="AN70" s="2">
        <f t="shared" si="40"/>
        <v>103.22999999999999</v>
      </c>
      <c r="AO70" s="2">
        <f t="shared" si="41"/>
        <v>130</v>
      </c>
      <c r="AP70" s="2">
        <f t="shared" si="42"/>
        <v>0</v>
      </c>
      <c r="AQ70" s="6">
        <v>1.8769078937621879</v>
      </c>
      <c r="AR70" s="6" t="str">
        <f>IF($H70="BEV",SUMPRODUCT(#REF!,#REF!),"")</f>
        <v/>
      </c>
      <c r="AS70" s="2">
        <f>SUM(Z70,AG70)/(SUM(AQ70:AR70)/3.6)</f>
        <v>304.96968013312937</v>
      </c>
      <c r="AT70" s="5">
        <f>IF($H70="ICEV-p",$AQ70/('fuels and tailpipe emissions'!$C$3*3.6)*'fuels and tailpipe emissions'!$D$3,"")</f>
        <v>0.14076809203216409</v>
      </c>
      <c r="AU70" s="7">
        <f>IF($H70="ICEV-p",$AQ70/('fuels and tailpipe emissions'!$C$3*3.6)*'fuels and tailpipe emissions'!$E$3,"")</f>
        <v>7.0826712972158032E-7</v>
      </c>
      <c r="AV70" s="7">
        <f>SUMIFS('fuels and tailpipe emissions'!$H$10:$H$126,'fuels and tailpipe emissions'!$A$10:$A$126,'vehicles specifications'!$F70,'fuels and tailpipe emissions'!$B$10:$B$126,'vehicles specifications'!AV$2)/1000*$AQ70</f>
        <v>1.4302341467700663E-6</v>
      </c>
      <c r="AW70" s="7">
        <f>SUMIFS('fuels and tailpipe emissions'!$H$10:$H$126,'fuels and tailpipe emissions'!$A$10:$A$126,'vehicles specifications'!$F70,'fuels and tailpipe emissions'!$B$10:$B$126,'vehicles specifications'!AW$2)/1000*$AQ70</f>
        <v>2.0159962862331985E-5</v>
      </c>
      <c r="AX70" s="7">
        <f>SUMIFS('fuels and tailpipe emissions'!$H$10:$H$126,'fuels and tailpipe emissions'!$A$10:$A$126,'vehicles specifications'!$F70,'fuels and tailpipe emissions'!$B$10:$B$126,'vehicles specifications'!AX$2)/1000*$AQ70</f>
        <v>1.5663565860987594E-4</v>
      </c>
      <c r="AY70" s="7">
        <f>SUMIFS('fuels and tailpipe emissions'!$H$10:$H$126,'fuels and tailpipe emissions'!$A$10:$A$126,'vehicles specifications'!$F70,'fuels and tailpipe emissions'!$B$10:$B$126,'vehicles specifications'!AY$2)/1000*$AQ70</f>
        <v>1.0610506769648412E-6</v>
      </c>
      <c r="AZ70" s="7">
        <f>SUMIFS('fuels and tailpipe emissions'!$H$10:$H$126,'fuels and tailpipe emissions'!$A$10:$A$126,'vehicles specifications'!$F70,'fuels and tailpipe emissions'!$B$10:$B$126,'vehicles specifications'!AZ$2)/1000*$AQ70</f>
        <v>1.0610506769648412E-6</v>
      </c>
      <c r="BA70" s="7">
        <f>SUMIFS('fuels and tailpipe emissions'!$H$10:$H$126,'fuels and tailpipe emissions'!$A$10:$A$126,'vehicles specifications'!$F70,'fuels and tailpipe emissions'!$B$10:$B$126,'vehicles specifications'!BA$2)/1000*$AQ70</f>
        <v>8.9306397611533445E-6</v>
      </c>
      <c r="BB70" s="7">
        <f>SUMIFS('fuels and tailpipe emissions'!$H$10:$H$126,'fuels and tailpipe emissions'!$A$10:$A$126,'vehicles specifications'!$F70,'fuels and tailpipe emissions'!$B$10:$B$126,'vehicles specifications'!BB$2)/1000*$AQ70</f>
        <v>2.6526266924121032E-6</v>
      </c>
      <c r="BC70" s="7">
        <f>SUMIFS('fuels and tailpipe emissions'!$H$10:$H$126,'fuels and tailpipe emissions'!$A$10:$A$126,'vehicles specifications'!$F70,'fuels and tailpipe emissions'!$B$10:$B$126,'vehicles specifications'!BC$2)/1000*$AQ70</f>
        <v>1.1533652905504065E-5</v>
      </c>
      <c r="BD70" s="7">
        <f>SUMIFS('fuels and tailpipe emissions'!$H$10:$H$126,'fuels and tailpipe emissions'!$A$10:$A$126,'vehicles specifications'!$F70,'fuels and tailpipe emissions'!$B$10:$B$126,'vehicles specifications'!BD$2)/1000*$AQ70</f>
        <v>8.132703971829788E-7</v>
      </c>
      <c r="BE70" s="7">
        <f>SUMIFS('fuels and tailpipe emissions'!$H$10:$H$126,'fuels and tailpipe emissions'!$A$10:$A$126,'vehicles specifications'!$F70,'fuels and tailpipe emissions'!$B$10:$B$126,'vehicles specifications'!BE$2)/1000*$AQ70</f>
        <v>1.6571340381471356E-7</v>
      </c>
      <c r="BF70" s="7">
        <f>SUMIFS('fuels and tailpipe emissions'!$H$10:$H$126,'fuels and tailpipe emissions'!$A$10:$A$126,'vehicles specifications'!$F70,'fuels and tailpipe emissions'!$B$10:$B$126,'vehicles specifications'!BF$2)/1000*$AQ70</f>
        <v>1.3359049784447677E-6</v>
      </c>
      <c r="BG70" s="7">
        <f>SUMIFS('fuels and tailpipe emissions'!$H$10:$H$126,'fuels and tailpipe emissions'!$A$10:$A$126,'vehicles specifications'!$F70,'fuels and tailpipe emissions'!$B$10:$B$126,'vehicles specifications'!BG$2)/1000*$AQ70</f>
        <v>5.4812895107943716E-7</v>
      </c>
      <c r="BH70" s="7">
        <f>SUMIFS('fuels and tailpipe emissions'!$H$10:$H$126,'fuels and tailpipe emissions'!$A$10:$A$126,'vehicles specifications'!$F70,'fuels and tailpipe emissions'!$B$10:$B$126,'vehicles specifications'!BH$2)/1000*$AQ70</f>
        <v>4.1045935406413667E-7</v>
      </c>
      <c r="BI70" s="7">
        <f>SUMIFS('fuels and tailpipe emissions'!$H$10:$H$126,'fuels and tailpipe emissions'!$A$10:$A$126,'vehicles specifications'!$F70,'fuels and tailpipe emissions'!$B$10:$B$126,'vehicles specifications'!BI$2)/1000*$AQ70</f>
        <v>2.9063581592118997E-7</v>
      </c>
      <c r="BJ70" s="7">
        <f>SUMIFS('fuels and tailpipe emissions'!$H$10:$H$126,'fuels and tailpipe emissions'!$A$10:$A$126,'vehicles specifications'!$F70,'fuels and tailpipe emissions'!$B$10:$B$126,'vehicles specifications'!BJ$2)/1000*$AQ70</f>
        <v>1.8865833665059698E-7</v>
      </c>
      <c r="BK70" s="7">
        <f>SUMIFS('fuels and tailpipe emissions'!$H$10:$H$126,'fuels and tailpipe emissions'!$A$10:$A$126,'vehicles specifications'!$F70,'fuels and tailpipe emissions'!$B$10:$B$126,'vehicles specifications'!BK$2)/1000*$AQ70</f>
        <v>1.8610889966883214E-6</v>
      </c>
      <c r="BL70" s="7">
        <f>SUMIFS('fuels and tailpipe emissions'!$H$10:$H$126,'fuels and tailpipe emissions'!$A$10:$A$126,'vehicles specifications'!$F70,'fuels and tailpipe emissions'!$B$10:$B$126,'vehicles specifications'!BL$2)/1000*$AQ70</f>
        <v>9.7388492703416292E-7</v>
      </c>
      <c r="BM70" s="7">
        <f>SUMIFS('fuels and tailpipe emissions'!$H$10:$H$126,'fuels and tailpipe emissions'!$A$10:$A$126,'vehicles specifications'!$F70,'fuels and tailpipe emissions'!$B$10:$B$126,'vehicles specifications'!BM$2)/1000*$AQ70</f>
        <v>2.804380679941307E-8</v>
      </c>
      <c r="BN70" s="7">
        <f>SUMIFS('fuels and tailpipe emissions'!$H$10:$H$126,'fuels and tailpipe emissions'!$A$10:$A$126,'vehicles specifications'!$F70,'fuels and tailpipe emissions'!$B$10:$B$126,'vehicles specifications'!BN$2)/1000*$AQ70</f>
        <v>1.4302341467700663E-6</v>
      </c>
      <c r="BO70" s="7">
        <f>SUMIFS('fuels and tailpipe emissions'!$H$10:$H$126,'fuels and tailpipe emissions'!$A$10:$A$126,'vehicles specifications'!$F70,'fuels and tailpipe emissions'!$B$10:$B$126,'vehicles specifications'!BO$2)/1000*$AQ70</f>
        <v>2.7992818059777767E-6</v>
      </c>
      <c r="BP70" s="7">
        <f>SUMIFS('fuels and tailpipe emissions'!$H$10:$H$126,'fuels and tailpipe emissions'!$A$10:$A$126,'vehicles specifications'!$F70,'fuels and tailpipe emissions'!$B$10:$B$126,'vehicles specifications'!BP$2)/1000*$AQ70</f>
        <v>1.3843442810982995E-6</v>
      </c>
      <c r="BQ70" s="7">
        <f>SUMIFS('fuels and tailpipe emissions'!$H$10:$H$126,'fuels and tailpipe emissions'!$A$10:$A$126,'vehicles specifications'!$F70,'fuels and tailpipe emissions'!$B$10:$B$126,'vehicles specifications'!BQ$2)/1000*$AQ70</f>
        <v>5.761727578788502E-7</v>
      </c>
      <c r="BR70" s="7">
        <f>SUMIFS('fuels and tailpipe emissions'!$H$10:$H$126,'fuels and tailpipe emissions'!$A$10:$A$126,'vehicles specifications'!$F70,'fuels and tailpipe emissions'!$B$10:$B$126,'vehicles specifications'!BR$2)/1000*$AQ70</f>
        <v>4.3340428690002014E-7</v>
      </c>
      <c r="BS70" s="7">
        <f>SUMIFS('fuels and tailpipe emissions'!$H$10:$H$126,'fuels and tailpipe emissions'!$A$10:$A$126,'vehicles specifications'!$F70,'fuels and tailpipe emissions'!$B$10:$B$126,'vehicles specifications'!BS$2)/1000*$AQ70</f>
        <v>1.9120777363236179E-7</v>
      </c>
      <c r="BT70" s="7">
        <f>SUMIFS('fuels and tailpipe emissions'!$H$10:$H$126,'fuels and tailpipe emissions'!$A$10:$A$126,'vehicles specifications'!$F70,'fuels and tailpipe emissions'!$B$10:$B$126,'vehicles specifications'!BT$2)/1000*$AQ70</f>
        <v>5.608761359882614E-8</v>
      </c>
      <c r="BU70" s="7">
        <f>SUMIFS('fuels and tailpipe emissions'!$H$10:$H$126,'fuels and tailpipe emissions'!$A$10:$A$126,'vehicles specifications'!$F70,'fuels and tailpipe emissions'!$B$10:$B$126,'vehicles specifications'!BU$2)/1000*$AQ70</f>
        <v>1.5551565588765426E-7</v>
      </c>
      <c r="BV70" s="7">
        <f>SUMIFS('fuels and tailpipe emissions'!$H$10:$H$126,'fuels and tailpipe emissions'!$A$10:$A$126,'vehicles specifications'!$F70,'fuels and tailpipe emissions'!$B$10:$B$126,'vehicles specifications'!BV$2)/1000*$AQ70</f>
        <v>0</v>
      </c>
      <c r="BW70" s="7">
        <f>SUMIFS('fuels and tailpipe emissions'!$H$10:$H$126,'fuels and tailpipe emissions'!$A$10:$A$126,'vehicles specifications'!$F70,'fuels and tailpipe emissions'!$B$10:$B$126,'vehicles specifications'!BW$2)/1000*$AQ70</f>
        <v>4.843930265353165E-8</v>
      </c>
      <c r="BX70" s="7">
        <f>SUMIFS('fuels and tailpipe emissions'!$H$10:$H$126,'fuels and tailpipe emissions'!$A$10:$A$126,'vehicles specifications'!$F70,'fuels and tailpipe emissions'!$B$10:$B$126,'vehicles specifications'!BX$2)/1000*$AQ70</f>
        <v>2.5749313515824725E-7</v>
      </c>
      <c r="BY70" s="7">
        <f>SUMIFS('fuels and tailpipe emissions'!$H$10:$H$126,'fuels and tailpipe emissions'!$A$10:$A$126,'vehicles specifications'!$F70,'fuels and tailpipe emissions'!$B$10:$B$126,'vehicles specifications'!BY$2)/1000*$AQ70</f>
        <v>6.5316394702924136E-8</v>
      </c>
      <c r="BZ70" s="7">
        <f>SUMIFS('fuels and tailpipe emissions'!$H$10:$H$126,'fuels and tailpipe emissions'!$A$10:$A$126,'vehicles specifications'!$F70,'fuels and tailpipe emissions'!$B$10:$B$126,'vehicles specifications'!BZ$2)/1000*$AQ70</f>
        <v>5.6307236812865639E-10</v>
      </c>
      <c r="CA70" s="7">
        <f>SUMIFS('fuels and tailpipe emissions'!$H$10:$H$126,'fuels and tailpipe emissions'!$A$10:$A$126,'vehicles specifications'!$F70,'fuels and tailpipe emissions'!$B$10:$B$126,'vehicles specifications'!CA$2)/1000*$AQ70</f>
        <v>3.7538157875243757E-10</v>
      </c>
      <c r="CB70" s="7">
        <f>SUMIFS('fuels and tailpipe emissions'!$H$10:$H$126,'fuels and tailpipe emissions'!$A$10:$A$126,'vehicles specifications'!$F70,'fuels and tailpipe emissions'!$B$10:$B$126,'vehicles specifications'!CB$2)/1000*$AQ70</f>
        <v>4.0541210505263257E-6</v>
      </c>
      <c r="CC70" s="7">
        <f>SUMIFS('fuels and tailpipe emissions'!$H$10:$H$126,'fuels and tailpipe emissions'!$A$10:$A$126,'vehicles specifications'!$F70,'fuels and tailpipe emissions'!$B$10:$B$126,'vehicles specifications'!CC$2)/1000*$AQ70</f>
        <v>7.8830131538011886E-8</v>
      </c>
      <c r="CD70" s="7">
        <f>SUMIFS('fuels and tailpipe emissions'!$H$10:$H$126,'fuels and tailpipe emissions'!$A$10:$A$126,'vehicles specifications'!$F70,'fuels and tailpipe emissions'!$B$10:$B$126,'vehicles specifications'!CD$2)/1000*$AQ70</f>
        <v>2.4399802618908446E-8</v>
      </c>
      <c r="CE70" s="7">
        <f>SUMIFS('fuels and tailpipe emissions'!$H$10:$H$126,'fuels and tailpipe emissions'!$A$10:$A$126,'vehicles specifications'!$F70,'fuels and tailpipe emissions'!$B$10:$B$126,'vehicles specifications'!CE$2)/1000*$AQ70</f>
        <v>3.0030526300195015E-8</v>
      </c>
      <c r="CF70" s="7">
        <f>SUMIFS('fuels and tailpipe emissions'!$H$10:$H$126,'fuels and tailpipe emissions'!$A$10:$A$126,'vehicles specifications'!$F70,'fuels and tailpipe emissions'!$B$10:$B$126,'vehicles specifications'!CF$2)/1000*$AQ70</f>
        <v>6.0061052600390007E-11</v>
      </c>
      <c r="CG70" s="7">
        <f>SUMIFS('fuels and tailpipe emissions'!$H$10:$H$126,'fuels and tailpipe emissions'!$A$10:$A$126,'vehicles specifications'!$F70,'fuels and tailpipe emissions'!$B$10:$B$126,'vehicles specifications'!CG$2)/1000*$AQ70</f>
        <v>1.6329098675731034E-8</v>
      </c>
      <c r="CH70" s="7">
        <f>SUMIFS('fuels and tailpipe emissions'!$H$10:$H$126,'fuels and tailpipe emissions'!$A$10:$A$126,'vehicles specifications'!$F70,'fuels and tailpipe emissions'!$B$10:$B$126,'vehicles specifications'!CH$2)/1000*$AQ70</f>
        <v>2.027060525263163E-8</v>
      </c>
      <c r="CI70" s="7">
        <f>VLOOKUP(B70,'abrasion emissions'!$A$4:$D$32,4,FALSE)</f>
        <v>6.0000000000000002E-6</v>
      </c>
      <c r="CJ70" s="7">
        <f>VLOOKUP(B70,'abrasion emissions'!$A$4:$D$32,2,FALSE)</f>
        <v>7.3669999999999991E-6</v>
      </c>
      <c r="CK70" s="7">
        <f>VLOOKUP(B70,'abrasion emissions'!$A$4:$D$32,3,FALSE)</f>
        <v>8.3499999999999997E-6</v>
      </c>
    </row>
    <row r="71" spans="1:89" x14ac:dyDescent="0.3">
      <c r="A71" t="str">
        <f t="shared" si="35"/>
        <v>Motorbike, electric, &lt;4kW - 2020 - CH</v>
      </c>
      <c r="B71" t="s">
        <v>520</v>
      </c>
      <c r="D71">
        <v>2020</v>
      </c>
      <c r="E71" t="s">
        <v>37</v>
      </c>
      <c r="F71" t="s">
        <v>146</v>
      </c>
      <c r="G71" t="s">
        <v>39</v>
      </c>
      <c r="H71" t="s">
        <v>32</v>
      </c>
      <c r="I71" t="s">
        <v>43</v>
      </c>
      <c r="J71">
        <v>33400</v>
      </c>
      <c r="K71">
        <v>2553</v>
      </c>
      <c r="L71" s="2">
        <f t="shared" si="36"/>
        <v>13.082647865256561</v>
      </c>
      <c r="M71">
        <v>1.1000000000000001</v>
      </c>
      <c r="N71">
        <v>70</v>
      </c>
      <c r="O71">
        <v>6</v>
      </c>
      <c r="P71" s="2">
        <f t="shared" si="13"/>
        <v>75.8</v>
      </c>
      <c r="Q71" s="2">
        <f t="shared" si="37"/>
        <v>158.80000000000001</v>
      </c>
      <c r="R71">
        <v>2.5</v>
      </c>
      <c r="S71" s="2">
        <v>53</v>
      </c>
      <c r="T71" s="1">
        <v>0</v>
      </c>
      <c r="U71" s="2">
        <f t="shared" ref="U71:U86" si="43">S71*(1-T71)</f>
        <v>53</v>
      </c>
      <c r="V71" s="2">
        <v>4.5</v>
      </c>
      <c r="W71" s="2">
        <v>7.5</v>
      </c>
      <c r="X71" s="3">
        <v>1.8</v>
      </c>
      <c r="Y71" s="1">
        <v>0.8</v>
      </c>
      <c r="Z71" s="3">
        <f t="shared" si="38"/>
        <v>1.4400000000000002</v>
      </c>
      <c r="AA71" s="3">
        <f>X71/'energy battery'!B$3</f>
        <v>9</v>
      </c>
      <c r="AB71" s="3">
        <f>0.2*AA71</f>
        <v>1.8</v>
      </c>
      <c r="AC71" s="3">
        <f t="shared" si="39"/>
        <v>10.8</v>
      </c>
      <c r="AD71" s="3">
        <v>1</v>
      </c>
      <c r="AE71" s="3">
        <v>0</v>
      </c>
      <c r="AF71">
        <f>AE71*'fuels and tailpipe emissions'!$B$3</f>
        <v>0</v>
      </c>
      <c r="AG71">
        <v>0</v>
      </c>
      <c r="AH71" s="3">
        <v>0</v>
      </c>
      <c r="AI71" s="3">
        <v>3</v>
      </c>
      <c r="AJ71" s="3">
        <v>1</v>
      </c>
      <c r="AK71" s="3">
        <f>J71/50000</f>
        <v>0.66800000000000004</v>
      </c>
      <c r="AL71">
        <f t="shared" si="15"/>
        <v>8.5275600000000001E-5</v>
      </c>
      <c r="AM71">
        <v>1.2899999999999999E-3</v>
      </c>
      <c r="AN71" s="2">
        <f t="shared" si="40"/>
        <v>53</v>
      </c>
      <c r="AO71" s="2">
        <f t="shared" si="41"/>
        <v>12</v>
      </c>
      <c r="AP71" s="2">
        <f t="shared" si="42"/>
        <v>10.8</v>
      </c>
      <c r="AQ71" s="6" t="s">
        <v>86</v>
      </c>
      <c r="AR71" s="6">
        <v>0.121</v>
      </c>
      <c r="AS71" s="2">
        <f>SUM(Z71,AG71)/(SUM(AQ71:AR71)/3.6)</f>
        <v>42.842975206611577</v>
      </c>
      <c r="AT71" s="5">
        <v>0</v>
      </c>
      <c r="AU71" s="7">
        <v>0</v>
      </c>
      <c r="AV71" s="7">
        <v>0</v>
      </c>
      <c r="AW71" s="7">
        <v>0</v>
      </c>
      <c r="AX71" s="7">
        <v>0</v>
      </c>
      <c r="AY71" s="7">
        <v>0</v>
      </c>
      <c r="AZ71" s="7">
        <v>0</v>
      </c>
      <c r="BA71" s="7">
        <v>0</v>
      </c>
      <c r="BB71" s="7">
        <v>0</v>
      </c>
      <c r="BC71" s="7">
        <v>0</v>
      </c>
      <c r="BD71" s="7">
        <v>0</v>
      </c>
      <c r="BE71" s="7">
        <v>0</v>
      </c>
      <c r="BF71" s="7">
        <v>0</v>
      </c>
      <c r="BG71" s="7">
        <v>0</v>
      </c>
      <c r="BH71" s="7">
        <v>0</v>
      </c>
      <c r="BI71" s="7">
        <v>0</v>
      </c>
      <c r="BJ71" s="7">
        <v>0</v>
      </c>
      <c r="BK71" s="7">
        <v>0</v>
      </c>
      <c r="BL71" s="7">
        <v>0</v>
      </c>
      <c r="BM71" s="7">
        <v>0</v>
      </c>
      <c r="BN71" s="7">
        <v>0</v>
      </c>
      <c r="BO71" s="7">
        <v>0</v>
      </c>
      <c r="BP71" s="7">
        <v>0</v>
      </c>
      <c r="BQ71" s="7">
        <v>0</v>
      </c>
      <c r="BR71" s="7">
        <v>0</v>
      </c>
      <c r="BS71" s="7">
        <v>0</v>
      </c>
      <c r="BT71" s="7">
        <v>0</v>
      </c>
      <c r="BU71" s="7">
        <v>0</v>
      </c>
      <c r="BV71" s="7">
        <v>0</v>
      </c>
      <c r="BW71" s="7">
        <v>0</v>
      </c>
      <c r="BX71" s="7">
        <v>0</v>
      </c>
      <c r="BY71" s="7">
        <v>0</v>
      </c>
      <c r="BZ71" s="7">
        <v>0</v>
      </c>
      <c r="CA71" s="7">
        <v>0</v>
      </c>
      <c r="CB71" s="7">
        <v>0</v>
      </c>
      <c r="CC71" s="7">
        <v>0</v>
      </c>
      <c r="CD71" s="7">
        <v>0</v>
      </c>
      <c r="CE71" s="7">
        <v>0</v>
      </c>
      <c r="CF71" s="7">
        <v>0</v>
      </c>
      <c r="CG71" s="7">
        <v>0</v>
      </c>
      <c r="CH71" s="7">
        <v>0</v>
      </c>
      <c r="CI71" s="7">
        <f>VLOOKUP(B71,'abrasion emissions'!$A$4:$D$32,4,FALSE)</f>
        <v>6.0000000000000002E-6</v>
      </c>
      <c r="CJ71" s="7">
        <f>VLOOKUP(B71,'abrasion emissions'!$A$4:$D$32,2,FALSE)</f>
        <v>7.3669999999999991E-6</v>
      </c>
      <c r="CK71" s="7">
        <f>VLOOKUP(B71,'abrasion emissions'!$A$4:$D$32,3,FALSE)</f>
        <v>4.1749999999999998E-6</v>
      </c>
    </row>
    <row r="72" spans="1:89" x14ac:dyDescent="0.3">
      <c r="A72" t="str">
        <f t="shared" si="35"/>
        <v>Motorbike, electric, &lt;4kW - 2030 - CH</v>
      </c>
      <c r="B72" t="s">
        <v>520</v>
      </c>
      <c r="D72">
        <v>2030</v>
      </c>
      <c r="E72" t="s">
        <v>37</v>
      </c>
      <c r="F72" t="s">
        <v>146</v>
      </c>
      <c r="G72" t="s">
        <v>39</v>
      </c>
      <c r="H72" t="s">
        <v>32</v>
      </c>
      <c r="I72" t="s">
        <v>43</v>
      </c>
      <c r="J72" s="21">
        <v>33400</v>
      </c>
      <c r="K72" s="21">
        <v>2553</v>
      </c>
      <c r="L72" s="2">
        <f t="shared" si="36"/>
        <v>13.082647865256561</v>
      </c>
      <c r="M72">
        <v>1.1000000000000001</v>
      </c>
      <c r="N72">
        <v>70</v>
      </c>
      <c r="O72">
        <v>6</v>
      </c>
      <c r="P72" s="2">
        <f t="shared" si="13"/>
        <v>76.209999999999994</v>
      </c>
      <c r="Q72" s="2">
        <f t="shared" si="37"/>
        <v>159.20999999999998</v>
      </c>
      <c r="R72">
        <v>2.5</v>
      </c>
      <c r="S72" s="2">
        <v>53</v>
      </c>
      <c r="T72" s="1">
        <v>0.03</v>
      </c>
      <c r="U72" s="2">
        <f t="shared" si="43"/>
        <v>51.41</v>
      </c>
      <c r="V72" s="2">
        <v>4.5</v>
      </c>
      <c r="W72" s="2">
        <v>7.5</v>
      </c>
      <c r="X72" s="3">
        <v>3.2</v>
      </c>
      <c r="Y72" s="1">
        <v>0.8</v>
      </c>
      <c r="Z72" s="3">
        <f t="shared" si="38"/>
        <v>2.5600000000000005</v>
      </c>
      <c r="AA72" s="3">
        <f>X72/'energy battery'!B$4</f>
        <v>10.666666666666668</v>
      </c>
      <c r="AB72" s="3">
        <f t="shared" ref="AB72:AB86" si="44">0.2*AA72</f>
        <v>2.1333333333333337</v>
      </c>
      <c r="AC72" s="3">
        <f t="shared" si="39"/>
        <v>12.8</v>
      </c>
      <c r="AD72" s="3">
        <v>0.5</v>
      </c>
      <c r="AE72" s="3">
        <v>0</v>
      </c>
      <c r="AF72">
        <f>AE72*'fuels and tailpipe emissions'!$B$3</f>
        <v>0</v>
      </c>
      <c r="AG72">
        <v>0</v>
      </c>
      <c r="AH72" s="3">
        <v>0</v>
      </c>
      <c r="AI72" s="3">
        <v>3</v>
      </c>
      <c r="AJ72" s="3">
        <v>1</v>
      </c>
      <c r="AK72" s="3">
        <f t="shared" ref="AK72:AK86" si="45">J72/50000</f>
        <v>0.66800000000000004</v>
      </c>
      <c r="AL72">
        <f t="shared" si="15"/>
        <v>8.5495769999999993E-5</v>
      </c>
      <c r="AM72">
        <v>1.2899999999999999E-3</v>
      </c>
      <c r="AN72" s="2">
        <f t="shared" si="40"/>
        <v>51.41</v>
      </c>
      <c r="AO72" s="2">
        <f t="shared" si="41"/>
        <v>12</v>
      </c>
      <c r="AP72" s="2">
        <f t="shared" si="42"/>
        <v>12.8</v>
      </c>
      <c r="AQ72" s="6" t="s">
        <v>86</v>
      </c>
      <c r="AR72" s="6">
        <v>0.121</v>
      </c>
      <c r="AS72" s="2">
        <f>SUM(Z72,AG72)/(SUM(AQ72:AR72)/3.6)</f>
        <v>76.165289256198363</v>
      </c>
      <c r="AT72" s="5">
        <v>0</v>
      </c>
      <c r="AU72" s="7">
        <v>0</v>
      </c>
      <c r="AV72" s="7">
        <v>0</v>
      </c>
      <c r="AW72" s="7">
        <v>0</v>
      </c>
      <c r="AX72" s="7">
        <v>0</v>
      </c>
      <c r="AY72" s="7">
        <v>0</v>
      </c>
      <c r="AZ72" s="7">
        <v>0</v>
      </c>
      <c r="BA72" s="7">
        <v>0</v>
      </c>
      <c r="BB72" s="7">
        <v>0</v>
      </c>
      <c r="BC72" s="7">
        <v>0</v>
      </c>
      <c r="BD72" s="7">
        <v>0</v>
      </c>
      <c r="BE72" s="7">
        <v>0</v>
      </c>
      <c r="BF72" s="7">
        <v>0</v>
      </c>
      <c r="BG72" s="7">
        <v>0</v>
      </c>
      <c r="BH72" s="7">
        <v>0</v>
      </c>
      <c r="BI72" s="7">
        <v>0</v>
      </c>
      <c r="BJ72" s="7">
        <v>0</v>
      </c>
      <c r="BK72" s="7">
        <v>0</v>
      </c>
      <c r="BL72" s="7">
        <v>0</v>
      </c>
      <c r="BM72" s="7">
        <v>0</v>
      </c>
      <c r="BN72" s="7">
        <v>0</v>
      </c>
      <c r="BO72" s="7">
        <v>0</v>
      </c>
      <c r="BP72" s="7">
        <v>0</v>
      </c>
      <c r="BQ72" s="7">
        <v>0</v>
      </c>
      <c r="BR72" s="7">
        <v>0</v>
      </c>
      <c r="BS72" s="7">
        <v>0</v>
      </c>
      <c r="BT72" s="7">
        <v>0</v>
      </c>
      <c r="BU72" s="7">
        <v>0</v>
      </c>
      <c r="BV72" s="7">
        <v>0</v>
      </c>
      <c r="BW72" s="7">
        <v>0</v>
      </c>
      <c r="BX72" s="7">
        <v>0</v>
      </c>
      <c r="BY72" s="7">
        <v>0</v>
      </c>
      <c r="BZ72" s="7">
        <v>0</v>
      </c>
      <c r="CA72" s="7">
        <v>0</v>
      </c>
      <c r="CB72" s="7">
        <v>0</v>
      </c>
      <c r="CC72" s="7">
        <v>0</v>
      </c>
      <c r="CD72" s="7">
        <v>0</v>
      </c>
      <c r="CE72" s="7">
        <v>0</v>
      </c>
      <c r="CF72" s="7">
        <v>0</v>
      </c>
      <c r="CG72" s="7">
        <v>0</v>
      </c>
      <c r="CH72" s="7">
        <v>0</v>
      </c>
      <c r="CI72" s="7">
        <f>VLOOKUP(B72,'abrasion emissions'!$A$4:$D$32,4,FALSE)</f>
        <v>6.0000000000000002E-6</v>
      </c>
      <c r="CJ72" s="7">
        <f>VLOOKUP(B72,'abrasion emissions'!$A$4:$D$32,2,FALSE)</f>
        <v>7.3669999999999991E-6</v>
      </c>
      <c r="CK72" s="7">
        <f>VLOOKUP(B72,'abrasion emissions'!$A$4:$D$32,3,FALSE)</f>
        <v>4.1749999999999998E-6</v>
      </c>
    </row>
    <row r="73" spans="1:89" x14ac:dyDescent="0.3">
      <c r="A73" t="str">
        <f t="shared" si="35"/>
        <v>Motorbike, electric, &lt;4kW - 2040 - CH</v>
      </c>
      <c r="B73" t="s">
        <v>520</v>
      </c>
      <c r="D73">
        <v>2040</v>
      </c>
      <c r="E73" t="s">
        <v>37</v>
      </c>
      <c r="F73" t="s">
        <v>146</v>
      </c>
      <c r="G73" t="s">
        <v>39</v>
      </c>
      <c r="H73" t="s">
        <v>32</v>
      </c>
      <c r="I73" t="s">
        <v>43</v>
      </c>
      <c r="J73" s="21">
        <v>33400</v>
      </c>
      <c r="K73" s="21">
        <v>2553</v>
      </c>
      <c r="L73" s="2">
        <f t="shared" si="36"/>
        <v>13.082647865256561</v>
      </c>
      <c r="M73">
        <v>1.1000000000000001</v>
      </c>
      <c r="N73">
        <v>70</v>
      </c>
      <c r="O73">
        <v>6</v>
      </c>
      <c r="P73" s="2">
        <f t="shared" si="13"/>
        <v>75.849999999999994</v>
      </c>
      <c r="Q73" s="2">
        <f t="shared" si="37"/>
        <v>158.85</v>
      </c>
      <c r="R73">
        <v>2.5</v>
      </c>
      <c r="S73" s="2">
        <v>53</v>
      </c>
      <c r="T73" s="1">
        <v>0.05</v>
      </c>
      <c r="U73" s="2">
        <f t="shared" si="43"/>
        <v>50.349999999999994</v>
      </c>
      <c r="V73" s="2">
        <v>4.5</v>
      </c>
      <c r="W73" s="2">
        <v>7.5</v>
      </c>
      <c r="X73" s="3">
        <v>4.5</v>
      </c>
      <c r="Y73" s="1">
        <v>0.8</v>
      </c>
      <c r="Z73" s="3">
        <f t="shared" si="38"/>
        <v>3.6</v>
      </c>
      <c r="AA73" s="3">
        <f>X73/'energy battery'!B$5</f>
        <v>11.25</v>
      </c>
      <c r="AB73" s="3">
        <f t="shared" si="44"/>
        <v>2.25</v>
      </c>
      <c r="AC73" s="3">
        <f t="shared" si="39"/>
        <v>13.5</v>
      </c>
      <c r="AD73" s="3">
        <v>0.25</v>
      </c>
      <c r="AE73" s="3">
        <v>0</v>
      </c>
      <c r="AF73">
        <f>AE73*'fuels and tailpipe emissions'!$B$3</f>
        <v>0</v>
      </c>
      <c r="AG73">
        <v>0</v>
      </c>
      <c r="AH73" s="3">
        <v>0</v>
      </c>
      <c r="AI73" s="3">
        <v>3</v>
      </c>
      <c r="AJ73" s="3">
        <v>1</v>
      </c>
      <c r="AK73" s="3">
        <f t="shared" si="45"/>
        <v>0.66800000000000004</v>
      </c>
      <c r="AL73">
        <f t="shared" si="15"/>
        <v>8.5302449999999995E-5</v>
      </c>
      <c r="AM73">
        <v>1.2899999999999999E-3</v>
      </c>
      <c r="AN73" s="2">
        <f t="shared" si="40"/>
        <v>50.349999999999994</v>
      </c>
      <c r="AO73" s="2">
        <f t="shared" si="41"/>
        <v>12</v>
      </c>
      <c r="AP73" s="2">
        <f t="shared" si="42"/>
        <v>13.5</v>
      </c>
      <c r="AQ73" s="6" t="s">
        <v>86</v>
      </c>
      <c r="AR73" s="6">
        <v>0.121</v>
      </c>
      <c r="AS73" s="2">
        <f>SUM(Z73,AG73)/(SUM(AQ73:AR73)/3.6)</f>
        <v>107.10743801652892</v>
      </c>
      <c r="AT73" s="5">
        <v>0</v>
      </c>
      <c r="AU73" s="7">
        <v>0</v>
      </c>
      <c r="AV73" s="7">
        <v>0</v>
      </c>
      <c r="AW73" s="7">
        <v>0</v>
      </c>
      <c r="AX73" s="7">
        <v>0</v>
      </c>
      <c r="AY73" s="7">
        <v>0</v>
      </c>
      <c r="AZ73" s="7">
        <v>0</v>
      </c>
      <c r="BA73" s="7">
        <v>0</v>
      </c>
      <c r="BB73" s="7">
        <v>0</v>
      </c>
      <c r="BC73" s="7">
        <v>0</v>
      </c>
      <c r="BD73" s="7">
        <v>0</v>
      </c>
      <c r="BE73" s="7">
        <v>0</v>
      </c>
      <c r="BF73" s="7">
        <v>0</v>
      </c>
      <c r="BG73" s="7">
        <v>0</v>
      </c>
      <c r="BH73" s="7">
        <v>0</v>
      </c>
      <c r="BI73" s="7">
        <v>0</v>
      </c>
      <c r="BJ73" s="7">
        <v>0</v>
      </c>
      <c r="BK73" s="7">
        <v>0</v>
      </c>
      <c r="BL73" s="7">
        <v>0</v>
      </c>
      <c r="BM73" s="7">
        <v>0</v>
      </c>
      <c r="BN73" s="7">
        <v>0</v>
      </c>
      <c r="BO73" s="7">
        <v>0</v>
      </c>
      <c r="BP73" s="7">
        <v>0</v>
      </c>
      <c r="BQ73" s="7">
        <v>0</v>
      </c>
      <c r="BR73" s="7">
        <v>0</v>
      </c>
      <c r="BS73" s="7">
        <v>0</v>
      </c>
      <c r="BT73" s="7">
        <v>0</v>
      </c>
      <c r="BU73" s="7">
        <v>0</v>
      </c>
      <c r="BV73" s="7">
        <v>0</v>
      </c>
      <c r="BW73" s="7">
        <v>0</v>
      </c>
      <c r="BX73" s="7">
        <v>0</v>
      </c>
      <c r="BY73" s="7">
        <v>0</v>
      </c>
      <c r="BZ73" s="7">
        <v>0</v>
      </c>
      <c r="CA73" s="7">
        <v>0</v>
      </c>
      <c r="CB73" s="7">
        <v>0</v>
      </c>
      <c r="CC73" s="7">
        <v>0</v>
      </c>
      <c r="CD73" s="7">
        <v>0</v>
      </c>
      <c r="CE73" s="7">
        <v>0</v>
      </c>
      <c r="CF73" s="7">
        <v>0</v>
      </c>
      <c r="CG73" s="7">
        <v>0</v>
      </c>
      <c r="CH73" s="7">
        <v>0</v>
      </c>
      <c r="CI73" s="7">
        <f>VLOOKUP(B73,'abrasion emissions'!$A$4:$D$32,4,FALSE)</f>
        <v>6.0000000000000002E-6</v>
      </c>
      <c r="CJ73" s="7">
        <f>VLOOKUP(B73,'abrasion emissions'!$A$4:$D$32,2,FALSE)</f>
        <v>7.3669999999999991E-6</v>
      </c>
      <c r="CK73" s="7">
        <f>VLOOKUP(B73,'abrasion emissions'!$A$4:$D$32,3,FALSE)</f>
        <v>4.1749999999999998E-6</v>
      </c>
    </row>
    <row r="74" spans="1:89" x14ac:dyDescent="0.3">
      <c r="A74" t="str">
        <f t="shared" si="35"/>
        <v>Motorbike, electric, &lt;4kW - 2050 - CH</v>
      </c>
      <c r="B74" t="s">
        <v>520</v>
      </c>
      <c r="D74">
        <v>2050</v>
      </c>
      <c r="E74" t="s">
        <v>37</v>
      </c>
      <c r="F74" t="s">
        <v>146</v>
      </c>
      <c r="G74" t="s">
        <v>39</v>
      </c>
      <c r="H74" t="s">
        <v>32</v>
      </c>
      <c r="I74" t="s">
        <v>43</v>
      </c>
      <c r="J74" s="21">
        <v>33400</v>
      </c>
      <c r="K74" s="21">
        <v>2553</v>
      </c>
      <c r="L74" s="2">
        <f t="shared" si="36"/>
        <v>13.082647865256561</v>
      </c>
      <c r="M74">
        <v>1.1000000000000001</v>
      </c>
      <c r="N74">
        <v>70</v>
      </c>
      <c r="O74">
        <v>6</v>
      </c>
      <c r="P74" s="2">
        <f t="shared" si="13"/>
        <v>75.69</v>
      </c>
      <c r="Q74" s="2">
        <f t="shared" si="37"/>
        <v>158.69</v>
      </c>
      <c r="R74">
        <v>2.5</v>
      </c>
      <c r="S74" s="2">
        <v>53</v>
      </c>
      <c r="T74" s="1">
        <v>7.0000000000000007E-2</v>
      </c>
      <c r="U74" s="2">
        <f t="shared" si="43"/>
        <v>49.29</v>
      </c>
      <c r="V74" s="2">
        <v>4.5</v>
      </c>
      <c r="W74" s="2">
        <v>7.5</v>
      </c>
      <c r="X74" s="3">
        <v>6</v>
      </c>
      <c r="Y74" s="1">
        <v>0.8</v>
      </c>
      <c r="Z74" s="3">
        <f t="shared" si="38"/>
        <v>4.8000000000000007</v>
      </c>
      <c r="AA74" s="3">
        <f>X74/'energy battery'!B$6</f>
        <v>12</v>
      </c>
      <c r="AB74" s="3">
        <f t="shared" si="44"/>
        <v>2.4000000000000004</v>
      </c>
      <c r="AC74" s="3">
        <f t="shared" si="39"/>
        <v>14.4</v>
      </c>
      <c r="AD74" s="3">
        <v>0</v>
      </c>
      <c r="AE74" s="3">
        <v>0</v>
      </c>
      <c r="AF74">
        <f>AE74*'fuels and tailpipe emissions'!$B$3</f>
        <v>0</v>
      </c>
      <c r="AG74">
        <v>0</v>
      </c>
      <c r="AH74" s="3">
        <v>0</v>
      </c>
      <c r="AI74" s="3">
        <v>3</v>
      </c>
      <c r="AJ74" s="3">
        <v>1</v>
      </c>
      <c r="AK74" s="3">
        <f t="shared" si="45"/>
        <v>0.66800000000000004</v>
      </c>
      <c r="AL74">
        <f t="shared" si="15"/>
        <v>8.5216530000000002E-5</v>
      </c>
      <c r="AM74">
        <v>1.2899999999999999E-3</v>
      </c>
      <c r="AN74" s="2">
        <f t="shared" si="40"/>
        <v>49.29</v>
      </c>
      <c r="AO74" s="2">
        <f t="shared" si="41"/>
        <v>12</v>
      </c>
      <c r="AP74" s="2">
        <f t="shared" si="42"/>
        <v>14.4</v>
      </c>
      <c r="AQ74" s="6" t="s">
        <v>86</v>
      </c>
      <c r="AR74" s="6">
        <v>0.121</v>
      </c>
      <c r="AS74" s="2">
        <f>SUM(Z74,AG74)/(SUM(AQ74:AR74)/3.6)</f>
        <v>142.80991735537191</v>
      </c>
      <c r="AT74" s="5">
        <v>0</v>
      </c>
      <c r="AU74" s="7">
        <v>0</v>
      </c>
      <c r="AV74" s="7">
        <v>0</v>
      </c>
      <c r="AW74" s="7">
        <v>0</v>
      </c>
      <c r="AX74" s="7">
        <v>0</v>
      </c>
      <c r="AY74" s="7">
        <v>0</v>
      </c>
      <c r="AZ74" s="7">
        <v>0</v>
      </c>
      <c r="BA74" s="7">
        <v>0</v>
      </c>
      <c r="BB74" s="7">
        <v>0</v>
      </c>
      <c r="BC74" s="7">
        <v>0</v>
      </c>
      <c r="BD74" s="7">
        <v>0</v>
      </c>
      <c r="BE74" s="7">
        <v>0</v>
      </c>
      <c r="BF74" s="7">
        <v>0</v>
      </c>
      <c r="BG74" s="7">
        <v>0</v>
      </c>
      <c r="BH74" s="7">
        <v>0</v>
      </c>
      <c r="BI74" s="7">
        <v>0</v>
      </c>
      <c r="BJ74" s="7">
        <v>0</v>
      </c>
      <c r="BK74" s="7">
        <v>0</v>
      </c>
      <c r="BL74" s="7">
        <v>0</v>
      </c>
      <c r="BM74" s="7">
        <v>0</v>
      </c>
      <c r="BN74" s="7">
        <v>0</v>
      </c>
      <c r="BO74" s="7">
        <v>0</v>
      </c>
      <c r="BP74" s="7">
        <v>0</v>
      </c>
      <c r="BQ74" s="7">
        <v>0</v>
      </c>
      <c r="BR74" s="7">
        <v>0</v>
      </c>
      <c r="BS74" s="7">
        <v>0</v>
      </c>
      <c r="BT74" s="7">
        <v>0</v>
      </c>
      <c r="BU74" s="7">
        <v>0</v>
      </c>
      <c r="BV74" s="7">
        <v>0</v>
      </c>
      <c r="BW74" s="7">
        <v>0</v>
      </c>
      <c r="BX74" s="7">
        <v>0</v>
      </c>
      <c r="BY74" s="7">
        <v>0</v>
      </c>
      <c r="BZ74" s="7">
        <v>0</v>
      </c>
      <c r="CA74" s="7">
        <v>0</v>
      </c>
      <c r="CB74" s="7">
        <v>0</v>
      </c>
      <c r="CC74" s="7">
        <v>0</v>
      </c>
      <c r="CD74" s="7">
        <v>0</v>
      </c>
      <c r="CE74" s="7">
        <v>0</v>
      </c>
      <c r="CF74" s="7">
        <v>0</v>
      </c>
      <c r="CG74" s="7">
        <v>0</v>
      </c>
      <c r="CH74" s="7">
        <v>0</v>
      </c>
      <c r="CI74" s="7">
        <f>VLOOKUP(B74,'abrasion emissions'!$A$4:$D$32,4,FALSE)</f>
        <v>6.0000000000000002E-6</v>
      </c>
      <c r="CJ74" s="7">
        <f>VLOOKUP(B74,'abrasion emissions'!$A$4:$D$32,2,FALSE)</f>
        <v>7.3669999999999991E-6</v>
      </c>
      <c r="CK74" s="7">
        <f>VLOOKUP(B74,'abrasion emissions'!$A$4:$D$32,3,FALSE)</f>
        <v>4.1749999999999998E-6</v>
      </c>
    </row>
    <row r="75" spans="1:89" x14ac:dyDescent="0.3">
      <c r="A75" t="str">
        <f t="shared" si="35"/>
        <v>Motorbike, electric, 4-11kW - 2020 - CH</v>
      </c>
      <c r="B75" t="s">
        <v>521</v>
      </c>
      <c r="D75">
        <v>2020</v>
      </c>
      <c r="E75" t="s">
        <v>37</v>
      </c>
      <c r="F75" t="s">
        <v>146</v>
      </c>
      <c r="G75" t="s">
        <v>39</v>
      </c>
      <c r="H75" t="s">
        <v>32</v>
      </c>
      <c r="I75" t="s">
        <v>43</v>
      </c>
      <c r="J75">
        <v>39800</v>
      </c>
      <c r="K75" s="21">
        <v>2731</v>
      </c>
      <c r="L75" s="2">
        <f t="shared" si="36"/>
        <v>14.573416331014281</v>
      </c>
      <c r="M75">
        <v>1.1000000000000001</v>
      </c>
      <c r="N75">
        <v>70</v>
      </c>
      <c r="O75">
        <v>6</v>
      </c>
      <c r="P75" s="2">
        <f t="shared" si="13"/>
        <v>103.63382696032849</v>
      </c>
      <c r="Q75" s="2">
        <f t="shared" si="37"/>
        <v>186.63382696032849</v>
      </c>
      <c r="R75">
        <v>4.7</v>
      </c>
      <c r="S75" s="2">
        <v>65.433826960328489</v>
      </c>
      <c r="T75" s="1">
        <v>0</v>
      </c>
      <c r="U75" s="2">
        <f t="shared" si="43"/>
        <v>65.433826960328489</v>
      </c>
      <c r="V75" s="2">
        <v>7.8</v>
      </c>
      <c r="W75" s="2">
        <v>13</v>
      </c>
      <c r="X75" s="3">
        <v>2.9</v>
      </c>
      <c r="Y75" s="1">
        <v>0.8</v>
      </c>
      <c r="Z75" s="3">
        <f t="shared" si="38"/>
        <v>2.3199999999999998</v>
      </c>
      <c r="AA75" s="3">
        <f>X75/'energy battery'!B$3</f>
        <v>14.499999999999998</v>
      </c>
      <c r="AB75" s="3">
        <f t="shared" si="44"/>
        <v>2.9</v>
      </c>
      <c r="AC75" s="3">
        <f t="shared" si="39"/>
        <v>17.399999999999999</v>
      </c>
      <c r="AD75" s="3">
        <v>1</v>
      </c>
      <c r="AE75" s="3">
        <v>0</v>
      </c>
      <c r="AF75">
        <f>AE75*'fuels and tailpipe emissions'!$B$3</f>
        <v>0</v>
      </c>
      <c r="AG75">
        <v>0</v>
      </c>
      <c r="AH75" s="3">
        <v>0</v>
      </c>
      <c r="AI75" s="3">
        <v>3</v>
      </c>
      <c r="AJ75" s="3">
        <v>1</v>
      </c>
      <c r="AK75" s="3">
        <f t="shared" si="45"/>
        <v>0.79600000000000004</v>
      </c>
      <c r="AL75">
        <f t="shared" si="15"/>
        <v>1.002223650776964E-4</v>
      </c>
      <c r="AM75">
        <v>1.2899999999999999E-3</v>
      </c>
      <c r="AN75" s="2">
        <f t="shared" si="40"/>
        <v>65.433826960328489</v>
      </c>
      <c r="AO75" s="2">
        <f t="shared" si="41"/>
        <v>20.8</v>
      </c>
      <c r="AP75" s="2">
        <f t="shared" si="42"/>
        <v>17.399999999999999</v>
      </c>
      <c r="AQ75" s="6" t="s">
        <v>86</v>
      </c>
      <c r="AR75" s="6">
        <v>0.182</v>
      </c>
      <c r="AS75" s="2">
        <f>SUM(Z75,AG75)/(SUM(AQ75:AR75)/3.6)</f>
        <v>45.890109890109891</v>
      </c>
      <c r="AT75" s="5">
        <v>0</v>
      </c>
      <c r="AU75" s="7">
        <v>0</v>
      </c>
      <c r="AV75" s="7">
        <v>0</v>
      </c>
      <c r="AW75" s="7">
        <v>0</v>
      </c>
      <c r="AX75" s="7">
        <v>0</v>
      </c>
      <c r="AY75" s="7">
        <v>0</v>
      </c>
      <c r="AZ75" s="7">
        <v>0</v>
      </c>
      <c r="BA75" s="7">
        <v>0</v>
      </c>
      <c r="BB75" s="7">
        <v>0</v>
      </c>
      <c r="BC75" s="7">
        <v>0</v>
      </c>
      <c r="BD75" s="7">
        <v>0</v>
      </c>
      <c r="BE75" s="7">
        <v>0</v>
      </c>
      <c r="BF75" s="7">
        <v>0</v>
      </c>
      <c r="BG75" s="7">
        <v>0</v>
      </c>
      <c r="BH75" s="7">
        <v>0</v>
      </c>
      <c r="BI75" s="7">
        <v>0</v>
      </c>
      <c r="BJ75" s="7">
        <v>0</v>
      </c>
      <c r="BK75" s="7">
        <v>0</v>
      </c>
      <c r="BL75" s="7">
        <v>0</v>
      </c>
      <c r="BM75" s="7">
        <v>0</v>
      </c>
      <c r="BN75" s="7">
        <v>0</v>
      </c>
      <c r="BO75" s="7">
        <v>0</v>
      </c>
      <c r="BP75" s="7">
        <v>0</v>
      </c>
      <c r="BQ75" s="7">
        <v>0</v>
      </c>
      <c r="BR75" s="7">
        <v>0</v>
      </c>
      <c r="BS75" s="7">
        <v>0</v>
      </c>
      <c r="BT75" s="7">
        <v>0</v>
      </c>
      <c r="BU75" s="7">
        <v>0</v>
      </c>
      <c r="BV75" s="7">
        <v>0</v>
      </c>
      <c r="BW75" s="7">
        <v>0</v>
      </c>
      <c r="BX75" s="7">
        <v>0</v>
      </c>
      <c r="BY75" s="7">
        <v>0</v>
      </c>
      <c r="BZ75" s="7">
        <v>0</v>
      </c>
      <c r="CA75" s="7">
        <v>0</v>
      </c>
      <c r="CB75" s="7">
        <v>0</v>
      </c>
      <c r="CC75" s="7">
        <v>0</v>
      </c>
      <c r="CD75" s="7">
        <v>0</v>
      </c>
      <c r="CE75" s="7">
        <v>0</v>
      </c>
      <c r="CF75" s="7">
        <v>0</v>
      </c>
      <c r="CG75" s="7">
        <v>0</v>
      </c>
      <c r="CH75" s="7">
        <v>0</v>
      </c>
      <c r="CI75" s="7">
        <f>VLOOKUP(B75,'abrasion emissions'!$A$4:$D$32,4,FALSE)</f>
        <v>6.0000000000000002E-6</v>
      </c>
      <c r="CJ75" s="7">
        <f>VLOOKUP(B75,'abrasion emissions'!$A$4:$D$32,2,FALSE)</f>
        <v>7.3669999999999991E-6</v>
      </c>
      <c r="CK75" s="7">
        <f>VLOOKUP(B75,'abrasion emissions'!$A$4:$D$32,3,FALSE)</f>
        <v>4.1749999999999998E-6</v>
      </c>
    </row>
    <row r="76" spans="1:89" x14ac:dyDescent="0.3">
      <c r="A76" t="str">
        <f t="shared" si="35"/>
        <v>Motorbike, electric, 4-11kW - 2030 - CH</v>
      </c>
      <c r="B76" t="s">
        <v>521</v>
      </c>
      <c r="D76">
        <v>2030</v>
      </c>
      <c r="E76" t="s">
        <v>37</v>
      </c>
      <c r="F76" t="s">
        <v>146</v>
      </c>
      <c r="G76" t="s">
        <v>39</v>
      </c>
      <c r="H76" t="s">
        <v>32</v>
      </c>
      <c r="I76" t="s">
        <v>43</v>
      </c>
      <c r="J76" s="21">
        <v>39800</v>
      </c>
      <c r="K76" s="21">
        <v>2731</v>
      </c>
      <c r="L76" s="2">
        <f t="shared" si="36"/>
        <v>14.573416331014281</v>
      </c>
      <c r="M76">
        <v>1.1000000000000001</v>
      </c>
      <c r="N76">
        <v>70</v>
      </c>
      <c r="O76">
        <v>6</v>
      </c>
      <c r="P76" s="2">
        <f t="shared" si="13"/>
        <v>104.27081215151863</v>
      </c>
      <c r="Q76" s="2">
        <f t="shared" si="37"/>
        <v>187.27081215151861</v>
      </c>
      <c r="R76">
        <v>4.7</v>
      </c>
      <c r="S76" s="2">
        <v>65.433826960328489</v>
      </c>
      <c r="T76" s="1">
        <v>0.03</v>
      </c>
      <c r="U76" s="2">
        <f t="shared" si="43"/>
        <v>63.470812151518629</v>
      </c>
      <c r="V76" s="2">
        <v>7.8</v>
      </c>
      <c r="W76" s="2">
        <v>13</v>
      </c>
      <c r="X76" s="3">
        <v>5</v>
      </c>
      <c r="Y76" s="1">
        <v>0.8</v>
      </c>
      <c r="Z76" s="3">
        <f t="shared" si="38"/>
        <v>4</v>
      </c>
      <c r="AA76" s="3">
        <f>X76/'energy battery'!B$4</f>
        <v>16.666666666666668</v>
      </c>
      <c r="AB76" s="3">
        <f t="shared" si="44"/>
        <v>3.3333333333333339</v>
      </c>
      <c r="AC76" s="3">
        <f t="shared" si="39"/>
        <v>20</v>
      </c>
      <c r="AD76" s="3">
        <v>0.5</v>
      </c>
      <c r="AE76" s="3">
        <v>0</v>
      </c>
      <c r="AF76">
        <f>AE76*'fuels and tailpipe emissions'!$B$3</f>
        <v>0</v>
      </c>
      <c r="AG76">
        <v>0</v>
      </c>
      <c r="AH76" s="3">
        <v>0</v>
      </c>
      <c r="AI76" s="3">
        <v>3</v>
      </c>
      <c r="AJ76" s="3">
        <v>1</v>
      </c>
      <c r="AK76" s="3">
        <f t="shared" si="45"/>
        <v>0.79600000000000004</v>
      </c>
      <c r="AL76">
        <f t="shared" si="15"/>
        <v>1.005644261253655E-4</v>
      </c>
      <c r="AM76">
        <v>1.2899999999999999E-3</v>
      </c>
      <c r="AN76" s="2">
        <f t="shared" si="40"/>
        <v>63.470812151518629</v>
      </c>
      <c r="AO76" s="2">
        <f t="shared" si="41"/>
        <v>20.8</v>
      </c>
      <c r="AP76" s="2">
        <f t="shared" si="42"/>
        <v>20</v>
      </c>
      <c r="AQ76" s="6" t="s">
        <v>86</v>
      </c>
      <c r="AR76" s="6">
        <v>0.182</v>
      </c>
      <c r="AS76" s="2">
        <f>SUM(Z76,AG76)/(SUM(AQ76:AR76)/3.6)</f>
        <v>79.120879120879124</v>
      </c>
      <c r="AT76" s="5">
        <v>0</v>
      </c>
      <c r="AU76" s="7">
        <v>0</v>
      </c>
      <c r="AV76" s="7">
        <v>0</v>
      </c>
      <c r="AW76" s="7">
        <v>0</v>
      </c>
      <c r="AX76" s="7">
        <v>0</v>
      </c>
      <c r="AY76" s="7">
        <v>0</v>
      </c>
      <c r="AZ76" s="7">
        <v>0</v>
      </c>
      <c r="BA76" s="7">
        <v>0</v>
      </c>
      <c r="BB76" s="7">
        <v>0</v>
      </c>
      <c r="BC76" s="7">
        <v>0</v>
      </c>
      <c r="BD76" s="7">
        <v>0</v>
      </c>
      <c r="BE76" s="7">
        <v>0</v>
      </c>
      <c r="BF76" s="7">
        <v>0</v>
      </c>
      <c r="BG76" s="7">
        <v>0</v>
      </c>
      <c r="BH76" s="7">
        <v>0</v>
      </c>
      <c r="BI76" s="7">
        <v>0</v>
      </c>
      <c r="BJ76" s="7">
        <v>0</v>
      </c>
      <c r="BK76" s="7">
        <v>0</v>
      </c>
      <c r="BL76" s="7">
        <v>0</v>
      </c>
      <c r="BM76" s="7">
        <v>0</v>
      </c>
      <c r="BN76" s="7">
        <v>0</v>
      </c>
      <c r="BO76" s="7">
        <v>0</v>
      </c>
      <c r="BP76" s="7">
        <v>0</v>
      </c>
      <c r="BQ76" s="7">
        <v>0</v>
      </c>
      <c r="BR76" s="7">
        <v>0</v>
      </c>
      <c r="BS76" s="7">
        <v>0</v>
      </c>
      <c r="BT76" s="7">
        <v>0</v>
      </c>
      <c r="BU76" s="7">
        <v>0</v>
      </c>
      <c r="BV76" s="7">
        <v>0</v>
      </c>
      <c r="BW76" s="7">
        <v>0</v>
      </c>
      <c r="BX76" s="7">
        <v>0</v>
      </c>
      <c r="BY76" s="7">
        <v>0</v>
      </c>
      <c r="BZ76" s="7">
        <v>0</v>
      </c>
      <c r="CA76" s="7">
        <v>0</v>
      </c>
      <c r="CB76" s="7">
        <v>0</v>
      </c>
      <c r="CC76" s="7">
        <v>0</v>
      </c>
      <c r="CD76" s="7">
        <v>0</v>
      </c>
      <c r="CE76" s="7">
        <v>0</v>
      </c>
      <c r="CF76" s="7">
        <v>0</v>
      </c>
      <c r="CG76" s="7">
        <v>0</v>
      </c>
      <c r="CH76" s="7">
        <v>0</v>
      </c>
      <c r="CI76" s="7">
        <f>VLOOKUP(B76,'abrasion emissions'!$A$4:$D$32,4,FALSE)</f>
        <v>6.0000000000000002E-6</v>
      </c>
      <c r="CJ76" s="7">
        <f>VLOOKUP(B76,'abrasion emissions'!$A$4:$D$32,2,FALSE)</f>
        <v>7.3669999999999991E-6</v>
      </c>
      <c r="CK76" s="7">
        <f>VLOOKUP(B76,'abrasion emissions'!$A$4:$D$32,3,FALSE)</f>
        <v>4.1749999999999998E-6</v>
      </c>
    </row>
    <row r="77" spans="1:89" x14ac:dyDescent="0.3">
      <c r="A77" t="str">
        <f t="shared" si="35"/>
        <v>Motorbike, electric, 4-11kW - 2040 - CH</v>
      </c>
      <c r="B77" t="s">
        <v>521</v>
      </c>
      <c r="D77">
        <v>2040</v>
      </c>
      <c r="E77" t="s">
        <v>37</v>
      </c>
      <c r="F77" t="s">
        <v>146</v>
      </c>
      <c r="G77" t="s">
        <v>39</v>
      </c>
      <c r="H77" t="s">
        <v>32</v>
      </c>
      <c r="I77" t="s">
        <v>43</v>
      </c>
      <c r="J77" s="21">
        <v>39800</v>
      </c>
      <c r="K77" s="21">
        <v>2731</v>
      </c>
      <c r="L77" s="2">
        <f t="shared" si="36"/>
        <v>14.573416331014281</v>
      </c>
      <c r="M77">
        <v>1.1000000000000001</v>
      </c>
      <c r="N77">
        <v>70</v>
      </c>
      <c r="O77">
        <v>6</v>
      </c>
      <c r="P77" s="2">
        <f t="shared" si="13"/>
        <v>103.96213561231207</v>
      </c>
      <c r="Q77" s="2">
        <f t="shared" si="37"/>
        <v>186.96213561231207</v>
      </c>
      <c r="R77">
        <v>4.7</v>
      </c>
      <c r="S77" s="2">
        <v>65.433826960328489</v>
      </c>
      <c r="T77" s="1">
        <v>0.05</v>
      </c>
      <c r="U77" s="2">
        <f t="shared" si="43"/>
        <v>62.162135612312063</v>
      </c>
      <c r="V77" s="2">
        <v>7.8</v>
      </c>
      <c r="W77" s="2">
        <v>13</v>
      </c>
      <c r="X77" s="3">
        <v>7</v>
      </c>
      <c r="Y77" s="1">
        <v>0.8</v>
      </c>
      <c r="Z77" s="3">
        <f t="shared" si="38"/>
        <v>5.6000000000000005</v>
      </c>
      <c r="AA77" s="3">
        <f>X77/'energy battery'!B$5</f>
        <v>17.5</v>
      </c>
      <c r="AB77" s="3">
        <f t="shared" si="44"/>
        <v>3.5</v>
      </c>
      <c r="AC77" s="3">
        <f t="shared" si="39"/>
        <v>21</v>
      </c>
      <c r="AD77" s="3">
        <v>0.25</v>
      </c>
      <c r="AE77" s="3">
        <v>0</v>
      </c>
      <c r="AF77">
        <f>AE77*'fuels and tailpipe emissions'!$B$3</f>
        <v>0</v>
      </c>
      <c r="AG77">
        <v>0</v>
      </c>
      <c r="AH77" s="3">
        <v>0</v>
      </c>
      <c r="AI77" s="3">
        <v>3</v>
      </c>
      <c r="AJ77" s="3">
        <v>1</v>
      </c>
      <c r="AK77" s="3">
        <f t="shared" si="45"/>
        <v>0.79600000000000004</v>
      </c>
      <c r="AL77">
        <f t="shared" si="15"/>
        <v>1.0039866682381158E-4</v>
      </c>
      <c r="AM77">
        <v>1.2899999999999999E-3</v>
      </c>
      <c r="AN77" s="2">
        <f t="shared" si="40"/>
        <v>62.162135612312063</v>
      </c>
      <c r="AO77" s="2">
        <f t="shared" si="41"/>
        <v>20.8</v>
      </c>
      <c r="AP77" s="2">
        <f t="shared" si="42"/>
        <v>21</v>
      </c>
      <c r="AQ77" s="6" t="s">
        <v>86</v>
      </c>
      <c r="AR77" s="6">
        <v>0.182</v>
      </c>
      <c r="AS77" s="2">
        <f>SUM(Z77,AG77)/(SUM(AQ77:AR77)/3.6)</f>
        <v>110.76923076923079</v>
      </c>
      <c r="AT77" s="5">
        <v>0</v>
      </c>
      <c r="AU77" s="7">
        <v>0</v>
      </c>
      <c r="AV77" s="7">
        <v>0</v>
      </c>
      <c r="AW77" s="7">
        <v>0</v>
      </c>
      <c r="AX77" s="7">
        <v>0</v>
      </c>
      <c r="AY77" s="7">
        <v>0</v>
      </c>
      <c r="AZ77" s="7">
        <v>0</v>
      </c>
      <c r="BA77" s="7">
        <v>0</v>
      </c>
      <c r="BB77" s="7">
        <v>0</v>
      </c>
      <c r="BC77" s="7">
        <v>0</v>
      </c>
      <c r="BD77" s="7">
        <v>0</v>
      </c>
      <c r="BE77" s="7">
        <v>0</v>
      </c>
      <c r="BF77" s="7">
        <v>0</v>
      </c>
      <c r="BG77" s="7">
        <v>0</v>
      </c>
      <c r="BH77" s="7">
        <v>0</v>
      </c>
      <c r="BI77" s="7">
        <v>0</v>
      </c>
      <c r="BJ77" s="7">
        <v>0</v>
      </c>
      <c r="BK77" s="7">
        <v>0</v>
      </c>
      <c r="BL77" s="7">
        <v>0</v>
      </c>
      <c r="BM77" s="7">
        <v>0</v>
      </c>
      <c r="BN77" s="7">
        <v>0</v>
      </c>
      <c r="BO77" s="7">
        <v>0</v>
      </c>
      <c r="BP77" s="7">
        <v>0</v>
      </c>
      <c r="BQ77" s="7">
        <v>0</v>
      </c>
      <c r="BR77" s="7">
        <v>0</v>
      </c>
      <c r="BS77" s="7">
        <v>0</v>
      </c>
      <c r="BT77" s="7">
        <v>0</v>
      </c>
      <c r="BU77" s="7">
        <v>0</v>
      </c>
      <c r="BV77" s="7">
        <v>0</v>
      </c>
      <c r="BW77" s="7">
        <v>0</v>
      </c>
      <c r="BX77" s="7">
        <v>0</v>
      </c>
      <c r="BY77" s="7">
        <v>0</v>
      </c>
      <c r="BZ77" s="7">
        <v>0</v>
      </c>
      <c r="CA77" s="7">
        <v>0</v>
      </c>
      <c r="CB77" s="7">
        <v>0</v>
      </c>
      <c r="CC77" s="7">
        <v>0</v>
      </c>
      <c r="CD77" s="7">
        <v>0</v>
      </c>
      <c r="CE77" s="7">
        <v>0</v>
      </c>
      <c r="CF77" s="7">
        <v>0</v>
      </c>
      <c r="CG77" s="7">
        <v>0</v>
      </c>
      <c r="CH77" s="7">
        <v>0</v>
      </c>
      <c r="CI77" s="7">
        <f>VLOOKUP(B77,'abrasion emissions'!$A$4:$D$32,4,FALSE)</f>
        <v>6.0000000000000002E-6</v>
      </c>
      <c r="CJ77" s="7">
        <f>VLOOKUP(B77,'abrasion emissions'!$A$4:$D$32,2,FALSE)</f>
        <v>7.3669999999999991E-6</v>
      </c>
      <c r="CK77" s="7">
        <f>VLOOKUP(B77,'abrasion emissions'!$A$4:$D$32,3,FALSE)</f>
        <v>4.1749999999999998E-6</v>
      </c>
    </row>
    <row r="78" spans="1:89" x14ac:dyDescent="0.3">
      <c r="A78" t="str">
        <f t="shared" si="35"/>
        <v>Motorbike, electric, 4-11kW - 2050 - CH</v>
      </c>
      <c r="B78" t="s">
        <v>521</v>
      </c>
      <c r="D78">
        <v>2050</v>
      </c>
      <c r="E78" t="s">
        <v>37</v>
      </c>
      <c r="F78" t="s">
        <v>146</v>
      </c>
      <c r="G78" t="s">
        <v>39</v>
      </c>
      <c r="H78" t="s">
        <v>32</v>
      </c>
      <c r="I78" t="s">
        <v>43</v>
      </c>
      <c r="J78" s="21">
        <v>39800</v>
      </c>
      <c r="K78" s="21">
        <v>2731</v>
      </c>
      <c r="L78" s="2">
        <f t="shared" si="36"/>
        <v>14.573416331014281</v>
      </c>
      <c r="M78">
        <v>1.1000000000000001</v>
      </c>
      <c r="N78">
        <v>70</v>
      </c>
      <c r="O78">
        <v>6</v>
      </c>
      <c r="P78" s="2">
        <f t="shared" si="13"/>
        <v>104.45345907310549</v>
      </c>
      <c r="Q78" s="2">
        <f t="shared" si="37"/>
        <v>187.45345907310548</v>
      </c>
      <c r="R78">
        <v>4.7</v>
      </c>
      <c r="S78" s="2">
        <v>65.433826960328489</v>
      </c>
      <c r="T78" s="1">
        <v>7.0000000000000007E-2</v>
      </c>
      <c r="U78" s="2">
        <f t="shared" si="43"/>
        <v>60.853459073105491</v>
      </c>
      <c r="V78" s="2">
        <v>7.8</v>
      </c>
      <c r="W78" s="2">
        <v>13</v>
      </c>
      <c r="X78" s="3">
        <v>9.5</v>
      </c>
      <c r="Y78" s="1">
        <v>0.8</v>
      </c>
      <c r="Z78" s="3">
        <f t="shared" si="38"/>
        <v>7.6000000000000005</v>
      </c>
      <c r="AA78" s="3">
        <f>X78/'energy battery'!B$6</f>
        <v>19</v>
      </c>
      <c r="AB78" s="3">
        <f t="shared" si="44"/>
        <v>3.8000000000000003</v>
      </c>
      <c r="AC78" s="3">
        <f t="shared" si="39"/>
        <v>22.8</v>
      </c>
      <c r="AD78" s="3">
        <v>0</v>
      </c>
      <c r="AE78" s="3">
        <v>0</v>
      </c>
      <c r="AF78">
        <f>AE78*'fuels and tailpipe emissions'!$B$3</f>
        <v>0</v>
      </c>
      <c r="AG78">
        <v>0</v>
      </c>
      <c r="AH78" s="3">
        <v>0</v>
      </c>
      <c r="AI78" s="3">
        <v>3</v>
      </c>
      <c r="AJ78" s="3">
        <v>1</v>
      </c>
      <c r="AK78" s="3">
        <f t="shared" si="45"/>
        <v>0.79600000000000004</v>
      </c>
      <c r="AL78">
        <f t="shared" si="15"/>
        <v>1.0066250752225764E-4</v>
      </c>
      <c r="AM78">
        <v>1.2899999999999999E-3</v>
      </c>
      <c r="AN78" s="2">
        <f t="shared" si="40"/>
        <v>60.853459073105491</v>
      </c>
      <c r="AO78" s="2">
        <f t="shared" si="41"/>
        <v>20.8</v>
      </c>
      <c r="AP78" s="2">
        <f t="shared" si="42"/>
        <v>22.8</v>
      </c>
      <c r="AQ78" s="6" t="s">
        <v>86</v>
      </c>
      <c r="AR78" s="6">
        <v>0.182</v>
      </c>
      <c r="AS78" s="2">
        <f>SUM(Z78,AG78)/(SUM(AQ78:AR78)/3.6)</f>
        <v>150.32967032967034</v>
      </c>
      <c r="AT78" s="5">
        <v>0</v>
      </c>
      <c r="AU78" s="7">
        <v>0</v>
      </c>
      <c r="AV78" s="7">
        <v>0</v>
      </c>
      <c r="AW78" s="7">
        <v>0</v>
      </c>
      <c r="AX78" s="7">
        <v>0</v>
      </c>
      <c r="AY78" s="7">
        <v>0</v>
      </c>
      <c r="AZ78" s="7">
        <v>0</v>
      </c>
      <c r="BA78" s="7">
        <v>0</v>
      </c>
      <c r="BB78" s="7">
        <v>0</v>
      </c>
      <c r="BC78" s="7">
        <v>0</v>
      </c>
      <c r="BD78" s="7">
        <v>0</v>
      </c>
      <c r="BE78" s="7">
        <v>0</v>
      </c>
      <c r="BF78" s="7">
        <v>0</v>
      </c>
      <c r="BG78" s="7">
        <v>0</v>
      </c>
      <c r="BH78" s="7">
        <v>0</v>
      </c>
      <c r="BI78" s="7">
        <v>0</v>
      </c>
      <c r="BJ78" s="7">
        <v>0</v>
      </c>
      <c r="BK78" s="7">
        <v>0</v>
      </c>
      <c r="BL78" s="7">
        <v>0</v>
      </c>
      <c r="BM78" s="7">
        <v>0</v>
      </c>
      <c r="BN78" s="7">
        <v>0</v>
      </c>
      <c r="BO78" s="7">
        <v>0</v>
      </c>
      <c r="BP78" s="7">
        <v>0</v>
      </c>
      <c r="BQ78" s="7">
        <v>0</v>
      </c>
      <c r="BR78" s="7">
        <v>0</v>
      </c>
      <c r="BS78" s="7">
        <v>0</v>
      </c>
      <c r="BT78" s="7">
        <v>0</v>
      </c>
      <c r="BU78" s="7">
        <v>0</v>
      </c>
      <c r="BV78" s="7">
        <v>0</v>
      </c>
      <c r="BW78" s="7">
        <v>0</v>
      </c>
      <c r="BX78" s="7">
        <v>0</v>
      </c>
      <c r="BY78" s="7">
        <v>0</v>
      </c>
      <c r="BZ78" s="7">
        <v>0</v>
      </c>
      <c r="CA78" s="7">
        <v>0</v>
      </c>
      <c r="CB78" s="7">
        <v>0</v>
      </c>
      <c r="CC78" s="7">
        <v>0</v>
      </c>
      <c r="CD78" s="7">
        <v>0</v>
      </c>
      <c r="CE78" s="7">
        <v>0</v>
      </c>
      <c r="CF78" s="7">
        <v>0</v>
      </c>
      <c r="CG78" s="7">
        <v>0</v>
      </c>
      <c r="CH78" s="7">
        <v>0</v>
      </c>
      <c r="CI78" s="7">
        <f>VLOOKUP(B78,'abrasion emissions'!$A$4:$D$32,4,FALSE)</f>
        <v>6.0000000000000002E-6</v>
      </c>
      <c r="CJ78" s="7">
        <f>VLOOKUP(B78,'abrasion emissions'!$A$4:$D$32,2,FALSE)</f>
        <v>7.3669999999999991E-6</v>
      </c>
      <c r="CK78" s="7">
        <f>VLOOKUP(B78,'abrasion emissions'!$A$4:$D$32,3,FALSE)</f>
        <v>4.1749999999999998E-6</v>
      </c>
    </row>
    <row r="79" spans="1:89" x14ac:dyDescent="0.3">
      <c r="A79" t="str">
        <f t="shared" si="35"/>
        <v>Motorbike, electric, 11-35kW - 2020 - CH</v>
      </c>
      <c r="B79" t="s">
        <v>522</v>
      </c>
      <c r="D79">
        <v>2020</v>
      </c>
      <c r="E79" t="s">
        <v>37</v>
      </c>
      <c r="F79" t="s">
        <v>146</v>
      </c>
      <c r="G79" t="s">
        <v>39</v>
      </c>
      <c r="H79" t="s">
        <v>32</v>
      </c>
      <c r="I79" t="s">
        <v>43</v>
      </c>
      <c r="J79">
        <v>62100</v>
      </c>
      <c r="K79" s="21">
        <v>4690</v>
      </c>
      <c r="L79" s="2">
        <f t="shared" si="36"/>
        <v>13.240938166311301</v>
      </c>
      <c r="M79">
        <v>1.1000000000000001</v>
      </c>
      <c r="N79">
        <v>70</v>
      </c>
      <c r="O79">
        <v>6</v>
      </c>
      <c r="P79" s="2">
        <f t="shared" si="13"/>
        <v>161.6</v>
      </c>
      <c r="Q79" s="2">
        <f t="shared" si="37"/>
        <v>244.6</v>
      </c>
      <c r="R79">
        <v>14</v>
      </c>
      <c r="S79" s="2">
        <v>81</v>
      </c>
      <c r="T79" s="1">
        <v>0</v>
      </c>
      <c r="U79" s="2">
        <f t="shared" si="43"/>
        <v>81</v>
      </c>
      <c r="V79" s="2">
        <v>13</v>
      </c>
      <c r="W79" s="2">
        <v>19</v>
      </c>
      <c r="X79" s="3">
        <v>8.1</v>
      </c>
      <c r="Y79" s="1">
        <v>0.8</v>
      </c>
      <c r="Z79" s="3">
        <f t="shared" si="38"/>
        <v>6.48</v>
      </c>
      <c r="AA79" s="3">
        <f>X79/'energy battery'!B$3</f>
        <v>40.499999999999993</v>
      </c>
      <c r="AB79" s="3">
        <f t="shared" si="44"/>
        <v>8.1</v>
      </c>
      <c r="AC79" s="3">
        <f t="shared" si="39"/>
        <v>48.599999999999994</v>
      </c>
      <c r="AD79" s="3">
        <v>1</v>
      </c>
      <c r="AE79" s="3">
        <v>0</v>
      </c>
      <c r="AF79">
        <f>AE79*'fuels and tailpipe emissions'!$B$3</f>
        <v>0</v>
      </c>
      <c r="AG79">
        <v>0</v>
      </c>
      <c r="AH79" s="3">
        <v>0</v>
      </c>
      <c r="AI79" s="3">
        <v>5</v>
      </c>
      <c r="AJ79" s="3">
        <v>1</v>
      </c>
      <c r="AK79" s="3">
        <f t="shared" si="45"/>
        <v>1.242</v>
      </c>
      <c r="AL79">
        <f t="shared" si="15"/>
        <v>1.3135020000000001E-4</v>
      </c>
      <c r="AM79">
        <v>1.2899999999999999E-3</v>
      </c>
      <c r="AN79" s="2">
        <f t="shared" si="40"/>
        <v>81</v>
      </c>
      <c r="AO79" s="2">
        <f t="shared" si="41"/>
        <v>32</v>
      </c>
      <c r="AP79" s="2">
        <f t="shared" si="42"/>
        <v>48.599999999999994</v>
      </c>
      <c r="AQ79" s="6" t="s">
        <v>86</v>
      </c>
      <c r="AR79" s="6">
        <v>0.24635579913730349</v>
      </c>
      <c r="AS79" s="2">
        <f>SUM(Z79,AG79)/(SUM(AQ79:AR79)/3.6)</f>
        <v>94.692311208791224</v>
      </c>
      <c r="AT79" s="5">
        <v>0</v>
      </c>
      <c r="AU79" s="7">
        <v>0</v>
      </c>
      <c r="AV79" s="7">
        <v>0</v>
      </c>
      <c r="AW79" s="7">
        <v>0</v>
      </c>
      <c r="AX79" s="7">
        <v>0</v>
      </c>
      <c r="AY79" s="7">
        <v>0</v>
      </c>
      <c r="AZ79" s="7">
        <v>0</v>
      </c>
      <c r="BA79" s="7">
        <v>0</v>
      </c>
      <c r="BB79" s="7">
        <v>0</v>
      </c>
      <c r="BC79" s="7">
        <v>0</v>
      </c>
      <c r="BD79" s="7">
        <v>0</v>
      </c>
      <c r="BE79" s="7">
        <v>0</v>
      </c>
      <c r="BF79" s="7">
        <v>0</v>
      </c>
      <c r="BG79" s="7">
        <v>0</v>
      </c>
      <c r="BH79" s="7">
        <v>0</v>
      </c>
      <c r="BI79" s="7">
        <v>0</v>
      </c>
      <c r="BJ79" s="7">
        <v>0</v>
      </c>
      <c r="BK79" s="7">
        <v>0</v>
      </c>
      <c r="BL79" s="7">
        <v>0</v>
      </c>
      <c r="BM79" s="7">
        <v>0</v>
      </c>
      <c r="BN79" s="7">
        <v>0</v>
      </c>
      <c r="BO79" s="7">
        <v>0</v>
      </c>
      <c r="BP79" s="7">
        <v>0</v>
      </c>
      <c r="BQ79" s="7">
        <v>0</v>
      </c>
      <c r="BR79" s="7">
        <v>0</v>
      </c>
      <c r="BS79" s="7">
        <v>0</v>
      </c>
      <c r="BT79" s="7">
        <v>0</v>
      </c>
      <c r="BU79" s="7">
        <v>0</v>
      </c>
      <c r="BV79" s="7">
        <v>0</v>
      </c>
      <c r="BW79" s="7">
        <v>0</v>
      </c>
      <c r="BX79" s="7">
        <v>0</v>
      </c>
      <c r="BY79" s="7">
        <v>0</v>
      </c>
      <c r="BZ79" s="7">
        <v>0</v>
      </c>
      <c r="CA79" s="7">
        <v>0</v>
      </c>
      <c r="CB79" s="7">
        <v>0</v>
      </c>
      <c r="CC79" s="7">
        <v>0</v>
      </c>
      <c r="CD79" s="7">
        <v>0</v>
      </c>
      <c r="CE79" s="7">
        <v>0</v>
      </c>
      <c r="CF79" s="7">
        <v>0</v>
      </c>
      <c r="CG79" s="7">
        <v>0</v>
      </c>
      <c r="CH79" s="7">
        <v>0</v>
      </c>
      <c r="CI79" s="7">
        <f>VLOOKUP(B79,'abrasion emissions'!$A$4:$D$32,4,FALSE)</f>
        <v>6.0000000000000002E-6</v>
      </c>
      <c r="CJ79" s="7">
        <f>VLOOKUP(B79,'abrasion emissions'!$A$4:$D$32,2,FALSE)</f>
        <v>7.3669999999999991E-6</v>
      </c>
      <c r="CK79" s="7">
        <f>VLOOKUP(B79,'abrasion emissions'!$A$4:$D$32,3,FALSE)</f>
        <v>4.1749999999999998E-6</v>
      </c>
    </row>
    <row r="80" spans="1:89" x14ac:dyDescent="0.3">
      <c r="A80" t="str">
        <f t="shared" si="35"/>
        <v>Motorbike, electric, 11-35kW - 2030 - CH</v>
      </c>
      <c r="B80" t="s">
        <v>522</v>
      </c>
      <c r="D80">
        <v>2030</v>
      </c>
      <c r="E80" t="s">
        <v>37</v>
      </c>
      <c r="F80" t="s">
        <v>146</v>
      </c>
      <c r="G80" t="s">
        <v>39</v>
      </c>
      <c r="H80" t="s">
        <v>32</v>
      </c>
      <c r="I80" t="s">
        <v>43</v>
      </c>
      <c r="J80" s="21">
        <v>62100</v>
      </c>
      <c r="K80" s="21">
        <v>4690</v>
      </c>
      <c r="L80" s="2">
        <f t="shared" si="36"/>
        <v>13.240938166311301</v>
      </c>
      <c r="M80">
        <v>1.1000000000000001</v>
      </c>
      <c r="N80">
        <v>70</v>
      </c>
      <c r="O80">
        <v>6</v>
      </c>
      <c r="P80" s="2">
        <f t="shared" si="13"/>
        <v>161.76999999999998</v>
      </c>
      <c r="Q80" s="2">
        <f t="shared" si="37"/>
        <v>244.76999999999998</v>
      </c>
      <c r="R80" s="21">
        <v>14</v>
      </c>
      <c r="S80" s="2">
        <v>81</v>
      </c>
      <c r="T80" s="1">
        <v>0.03</v>
      </c>
      <c r="U80" s="2">
        <f t="shared" si="43"/>
        <v>78.569999999999993</v>
      </c>
      <c r="V80" s="2">
        <v>13</v>
      </c>
      <c r="W80" s="2">
        <v>19</v>
      </c>
      <c r="X80" s="3">
        <v>12.8</v>
      </c>
      <c r="Y80" s="1">
        <v>0.8</v>
      </c>
      <c r="Z80" s="3">
        <f t="shared" si="38"/>
        <v>10.240000000000002</v>
      </c>
      <c r="AA80" s="3">
        <f>X80/'energy battery'!B$4</f>
        <v>42.666666666666671</v>
      </c>
      <c r="AB80" s="3">
        <f t="shared" si="44"/>
        <v>8.533333333333335</v>
      </c>
      <c r="AC80" s="3">
        <f t="shared" si="39"/>
        <v>51.2</v>
      </c>
      <c r="AD80" s="3">
        <v>0.5</v>
      </c>
      <c r="AE80" s="3">
        <v>0</v>
      </c>
      <c r="AF80">
        <f>AE80*'fuels and tailpipe emissions'!$B$3</f>
        <v>0</v>
      </c>
      <c r="AG80">
        <v>0</v>
      </c>
      <c r="AH80" s="3">
        <v>0</v>
      </c>
      <c r="AI80" s="3">
        <v>5</v>
      </c>
      <c r="AJ80" s="3">
        <v>1</v>
      </c>
      <c r="AK80" s="3">
        <f t="shared" si="45"/>
        <v>1.242</v>
      </c>
      <c r="AL80">
        <f t="shared" si="15"/>
        <v>1.3144148999999998E-4</v>
      </c>
      <c r="AM80">
        <v>1.2899999999999999E-3</v>
      </c>
      <c r="AN80" s="2">
        <f t="shared" si="40"/>
        <v>78.569999999999993</v>
      </c>
      <c r="AO80" s="2">
        <f t="shared" si="41"/>
        <v>32</v>
      </c>
      <c r="AP80" s="2">
        <f t="shared" si="42"/>
        <v>51.2</v>
      </c>
      <c r="AQ80" s="6" t="s">
        <v>86</v>
      </c>
      <c r="AR80" s="6">
        <v>0.24635579913730349</v>
      </c>
      <c r="AS80" s="2">
        <f>SUM(Z80,AG80)/(SUM(AQ80:AR80)/3.6)</f>
        <v>149.63723252747255</v>
      </c>
      <c r="AT80" s="5">
        <v>0</v>
      </c>
      <c r="AU80" s="7">
        <v>0</v>
      </c>
      <c r="AV80" s="7">
        <v>0</v>
      </c>
      <c r="AW80" s="7">
        <v>0</v>
      </c>
      <c r="AX80" s="7">
        <v>0</v>
      </c>
      <c r="AY80" s="7">
        <v>0</v>
      </c>
      <c r="AZ80" s="7">
        <v>0</v>
      </c>
      <c r="BA80" s="7">
        <v>0</v>
      </c>
      <c r="BB80" s="7">
        <v>0</v>
      </c>
      <c r="BC80" s="7">
        <v>0</v>
      </c>
      <c r="BD80" s="7">
        <v>0</v>
      </c>
      <c r="BE80" s="7">
        <v>0</v>
      </c>
      <c r="BF80" s="7">
        <v>0</v>
      </c>
      <c r="BG80" s="7">
        <v>0</v>
      </c>
      <c r="BH80" s="7">
        <v>0</v>
      </c>
      <c r="BI80" s="7">
        <v>0</v>
      </c>
      <c r="BJ80" s="7">
        <v>0</v>
      </c>
      <c r="BK80" s="7">
        <v>0</v>
      </c>
      <c r="BL80" s="7">
        <v>0</v>
      </c>
      <c r="BM80" s="7">
        <v>0</v>
      </c>
      <c r="BN80" s="7">
        <v>0</v>
      </c>
      <c r="BO80" s="7">
        <v>0</v>
      </c>
      <c r="BP80" s="7">
        <v>0</v>
      </c>
      <c r="BQ80" s="7">
        <v>0</v>
      </c>
      <c r="BR80" s="7">
        <v>0</v>
      </c>
      <c r="BS80" s="7">
        <v>0</v>
      </c>
      <c r="BT80" s="7">
        <v>0</v>
      </c>
      <c r="BU80" s="7">
        <v>0</v>
      </c>
      <c r="BV80" s="7">
        <v>0</v>
      </c>
      <c r="BW80" s="7">
        <v>0</v>
      </c>
      <c r="BX80" s="7">
        <v>0</v>
      </c>
      <c r="BY80" s="7">
        <v>0</v>
      </c>
      <c r="BZ80" s="7">
        <v>0</v>
      </c>
      <c r="CA80" s="7">
        <v>0</v>
      </c>
      <c r="CB80" s="7">
        <v>0</v>
      </c>
      <c r="CC80" s="7">
        <v>0</v>
      </c>
      <c r="CD80" s="7">
        <v>0</v>
      </c>
      <c r="CE80" s="7">
        <v>0</v>
      </c>
      <c r="CF80" s="7">
        <v>0</v>
      </c>
      <c r="CG80" s="7">
        <v>0</v>
      </c>
      <c r="CH80" s="7">
        <v>0</v>
      </c>
      <c r="CI80" s="7">
        <f>VLOOKUP(B80,'abrasion emissions'!$A$4:$D$32,4,FALSE)</f>
        <v>6.0000000000000002E-6</v>
      </c>
      <c r="CJ80" s="7">
        <f>VLOOKUP(B80,'abrasion emissions'!$A$4:$D$32,2,FALSE)</f>
        <v>7.3669999999999991E-6</v>
      </c>
      <c r="CK80" s="7">
        <f>VLOOKUP(B80,'abrasion emissions'!$A$4:$D$32,3,FALSE)</f>
        <v>4.1749999999999998E-6</v>
      </c>
    </row>
    <row r="81" spans="1:89" x14ac:dyDescent="0.3">
      <c r="A81" t="str">
        <f t="shared" si="35"/>
        <v>Motorbike, electric, 11-35kW - 2040 - CH</v>
      </c>
      <c r="B81" t="s">
        <v>522</v>
      </c>
      <c r="D81">
        <v>2040</v>
      </c>
      <c r="E81" t="s">
        <v>37</v>
      </c>
      <c r="F81" t="s">
        <v>146</v>
      </c>
      <c r="G81" t="s">
        <v>39</v>
      </c>
      <c r="H81" t="s">
        <v>32</v>
      </c>
      <c r="I81" t="s">
        <v>43</v>
      </c>
      <c r="J81" s="21">
        <v>62100</v>
      </c>
      <c r="K81" s="21">
        <v>4690</v>
      </c>
      <c r="L81" s="2">
        <f t="shared" si="36"/>
        <v>13.240938166311301</v>
      </c>
      <c r="M81">
        <v>1.1000000000000001</v>
      </c>
      <c r="N81">
        <v>70</v>
      </c>
      <c r="O81">
        <v>6</v>
      </c>
      <c r="P81" s="2">
        <f t="shared" si="13"/>
        <v>162.35</v>
      </c>
      <c r="Q81" s="2">
        <f t="shared" si="37"/>
        <v>245.35</v>
      </c>
      <c r="R81" s="21">
        <v>14</v>
      </c>
      <c r="S81" s="2">
        <v>81</v>
      </c>
      <c r="T81" s="1">
        <v>0.05</v>
      </c>
      <c r="U81" s="2">
        <f t="shared" si="43"/>
        <v>76.95</v>
      </c>
      <c r="V81" s="2">
        <v>13</v>
      </c>
      <c r="W81" s="2">
        <v>19</v>
      </c>
      <c r="X81" s="3">
        <v>17.8</v>
      </c>
      <c r="Y81" s="1">
        <v>0.8</v>
      </c>
      <c r="Z81" s="3">
        <f t="shared" si="38"/>
        <v>14.240000000000002</v>
      </c>
      <c r="AA81" s="3">
        <f>X81/'energy battery'!B$5</f>
        <v>44.5</v>
      </c>
      <c r="AB81" s="3">
        <f t="shared" si="44"/>
        <v>8.9</v>
      </c>
      <c r="AC81" s="3">
        <f t="shared" si="39"/>
        <v>53.4</v>
      </c>
      <c r="AD81" s="3">
        <v>0.25</v>
      </c>
      <c r="AE81" s="3">
        <v>0</v>
      </c>
      <c r="AF81">
        <f>AE81*'fuels and tailpipe emissions'!$B$3</f>
        <v>0</v>
      </c>
      <c r="AG81">
        <v>0</v>
      </c>
      <c r="AH81" s="3">
        <v>0</v>
      </c>
      <c r="AI81" s="3">
        <v>5</v>
      </c>
      <c r="AJ81" s="3">
        <v>1</v>
      </c>
      <c r="AK81" s="3">
        <f t="shared" si="45"/>
        <v>1.242</v>
      </c>
      <c r="AL81">
        <f t="shared" si="15"/>
        <v>1.3175295000000001E-4</v>
      </c>
      <c r="AM81">
        <v>1.2899999999999999E-3</v>
      </c>
      <c r="AN81" s="2">
        <f t="shared" si="40"/>
        <v>76.95</v>
      </c>
      <c r="AO81" s="2">
        <f t="shared" si="41"/>
        <v>32</v>
      </c>
      <c r="AP81" s="2">
        <f t="shared" si="42"/>
        <v>53.4</v>
      </c>
      <c r="AQ81" s="6" t="s">
        <v>86</v>
      </c>
      <c r="AR81" s="6">
        <v>0.24635579913730349</v>
      </c>
      <c r="AS81" s="2">
        <f>SUM(Z81,AG81)/(SUM(AQ81:AR81)/3.6)</f>
        <v>208.08927648351653</v>
      </c>
      <c r="AT81" s="5">
        <v>0</v>
      </c>
      <c r="AU81" s="7">
        <v>0</v>
      </c>
      <c r="AV81" s="7">
        <v>0</v>
      </c>
      <c r="AW81" s="7">
        <v>0</v>
      </c>
      <c r="AX81" s="7">
        <v>0</v>
      </c>
      <c r="AY81" s="7">
        <v>0</v>
      </c>
      <c r="AZ81" s="7">
        <v>0</v>
      </c>
      <c r="BA81" s="7">
        <v>0</v>
      </c>
      <c r="BB81" s="7">
        <v>0</v>
      </c>
      <c r="BC81" s="7">
        <v>0</v>
      </c>
      <c r="BD81" s="7">
        <v>0</v>
      </c>
      <c r="BE81" s="7">
        <v>0</v>
      </c>
      <c r="BF81" s="7">
        <v>0</v>
      </c>
      <c r="BG81" s="7">
        <v>0</v>
      </c>
      <c r="BH81" s="7">
        <v>0</v>
      </c>
      <c r="BI81" s="7">
        <v>0</v>
      </c>
      <c r="BJ81" s="7">
        <v>0</v>
      </c>
      <c r="BK81" s="7">
        <v>0</v>
      </c>
      <c r="BL81" s="7">
        <v>0</v>
      </c>
      <c r="BM81" s="7">
        <v>0</v>
      </c>
      <c r="BN81" s="7">
        <v>0</v>
      </c>
      <c r="BO81" s="7">
        <v>0</v>
      </c>
      <c r="BP81" s="7">
        <v>0</v>
      </c>
      <c r="BQ81" s="7">
        <v>0</v>
      </c>
      <c r="BR81" s="7">
        <v>0</v>
      </c>
      <c r="BS81" s="7">
        <v>0</v>
      </c>
      <c r="BT81" s="7">
        <v>0</v>
      </c>
      <c r="BU81" s="7">
        <v>0</v>
      </c>
      <c r="BV81" s="7">
        <v>0</v>
      </c>
      <c r="BW81" s="7">
        <v>0</v>
      </c>
      <c r="BX81" s="7">
        <v>0</v>
      </c>
      <c r="BY81" s="7">
        <v>0</v>
      </c>
      <c r="BZ81" s="7">
        <v>0</v>
      </c>
      <c r="CA81" s="7">
        <v>0</v>
      </c>
      <c r="CB81" s="7">
        <v>0</v>
      </c>
      <c r="CC81" s="7">
        <v>0</v>
      </c>
      <c r="CD81" s="7">
        <v>0</v>
      </c>
      <c r="CE81" s="7">
        <v>0</v>
      </c>
      <c r="CF81" s="7">
        <v>0</v>
      </c>
      <c r="CG81" s="7">
        <v>0</v>
      </c>
      <c r="CH81" s="7">
        <v>0</v>
      </c>
      <c r="CI81" s="7">
        <f>VLOOKUP(B81,'abrasion emissions'!$A$4:$D$32,4,FALSE)</f>
        <v>6.0000000000000002E-6</v>
      </c>
      <c r="CJ81" s="7">
        <f>VLOOKUP(B81,'abrasion emissions'!$A$4:$D$32,2,FALSE)</f>
        <v>7.3669999999999991E-6</v>
      </c>
      <c r="CK81" s="7">
        <f>VLOOKUP(B81,'abrasion emissions'!$A$4:$D$32,3,FALSE)</f>
        <v>4.1749999999999998E-6</v>
      </c>
    </row>
    <row r="82" spans="1:89" x14ac:dyDescent="0.3">
      <c r="A82" t="str">
        <f t="shared" si="35"/>
        <v>Motorbike, electric, 11-35kW - 2050 - CH</v>
      </c>
      <c r="B82" t="s">
        <v>522</v>
      </c>
      <c r="D82">
        <v>2050</v>
      </c>
      <c r="E82" t="s">
        <v>37</v>
      </c>
      <c r="F82" t="s">
        <v>146</v>
      </c>
      <c r="G82" t="s">
        <v>39</v>
      </c>
      <c r="H82" t="s">
        <v>32</v>
      </c>
      <c r="I82" t="s">
        <v>43</v>
      </c>
      <c r="J82" s="21">
        <v>62100</v>
      </c>
      <c r="K82" s="21">
        <v>4690</v>
      </c>
      <c r="L82" s="2">
        <f t="shared" si="36"/>
        <v>13.240938166311301</v>
      </c>
      <c r="M82">
        <v>1.1000000000000001</v>
      </c>
      <c r="N82">
        <v>70</v>
      </c>
      <c r="O82">
        <v>6</v>
      </c>
      <c r="P82" s="2">
        <f t="shared" si="13"/>
        <v>162.05000000000001</v>
      </c>
      <c r="Q82" s="2">
        <f t="shared" si="37"/>
        <v>245.05</v>
      </c>
      <c r="R82" s="21">
        <v>14</v>
      </c>
      <c r="S82" s="2">
        <v>81</v>
      </c>
      <c r="T82" s="1">
        <v>7.0000000000000007E-2</v>
      </c>
      <c r="U82" s="2">
        <f t="shared" si="43"/>
        <v>75.33</v>
      </c>
      <c r="V82" s="2">
        <v>13</v>
      </c>
      <c r="W82" s="2">
        <v>19</v>
      </c>
      <c r="X82" s="3">
        <v>22.8</v>
      </c>
      <c r="Y82" s="1">
        <v>0.8</v>
      </c>
      <c r="Z82" s="3">
        <f t="shared" si="38"/>
        <v>18.240000000000002</v>
      </c>
      <c r="AA82" s="3">
        <f>X82/'energy battery'!B$6</f>
        <v>45.6</v>
      </c>
      <c r="AB82" s="3">
        <f t="shared" si="44"/>
        <v>9.120000000000001</v>
      </c>
      <c r="AC82" s="3">
        <f t="shared" si="39"/>
        <v>54.72</v>
      </c>
      <c r="AD82" s="3">
        <v>0</v>
      </c>
      <c r="AE82" s="3">
        <v>0</v>
      </c>
      <c r="AF82">
        <f>AE82*'fuels and tailpipe emissions'!$B$3</f>
        <v>0</v>
      </c>
      <c r="AG82">
        <v>0</v>
      </c>
      <c r="AH82" s="3">
        <v>0</v>
      </c>
      <c r="AI82" s="3">
        <v>5</v>
      </c>
      <c r="AJ82" s="3">
        <v>1</v>
      </c>
      <c r="AK82" s="3">
        <f t="shared" si="45"/>
        <v>1.242</v>
      </c>
      <c r="AL82">
        <f t="shared" si="15"/>
        <v>1.3159185000000001E-4</v>
      </c>
      <c r="AM82">
        <v>1.2899999999999999E-3</v>
      </c>
      <c r="AN82" s="2">
        <f t="shared" si="40"/>
        <v>75.33</v>
      </c>
      <c r="AO82" s="2">
        <f t="shared" si="41"/>
        <v>32</v>
      </c>
      <c r="AP82" s="2">
        <f t="shared" si="42"/>
        <v>54.72</v>
      </c>
      <c r="AQ82" s="6" t="s">
        <v>86</v>
      </c>
      <c r="AR82" s="6">
        <v>0.24635579913730349</v>
      </c>
      <c r="AS82" s="2">
        <f>SUM(Z82,AG82)/(SUM(AQ82:AR82)/3.6)</f>
        <v>266.54132043956048</v>
      </c>
      <c r="AT82" s="5">
        <v>0</v>
      </c>
      <c r="AU82" s="7">
        <v>0</v>
      </c>
      <c r="AV82" s="7">
        <v>0</v>
      </c>
      <c r="AW82" s="7">
        <v>0</v>
      </c>
      <c r="AX82" s="7">
        <v>0</v>
      </c>
      <c r="AY82" s="7">
        <v>0</v>
      </c>
      <c r="AZ82" s="7">
        <v>0</v>
      </c>
      <c r="BA82" s="7">
        <v>0</v>
      </c>
      <c r="BB82" s="7">
        <v>0</v>
      </c>
      <c r="BC82" s="7">
        <v>0</v>
      </c>
      <c r="BD82" s="7">
        <v>0</v>
      </c>
      <c r="BE82" s="7">
        <v>0</v>
      </c>
      <c r="BF82" s="7">
        <v>0</v>
      </c>
      <c r="BG82" s="7">
        <v>0</v>
      </c>
      <c r="BH82" s="7">
        <v>0</v>
      </c>
      <c r="BI82" s="7">
        <v>0</v>
      </c>
      <c r="BJ82" s="7">
        <v>0</v>
      </c>
      <c r="BK82" s="7">
        <v>0</v>
      </c>
      <c r="BL82" s="7">
        <v>0</v>
      </c>
      <c r="BM82" s="7">
        <v>0</v>
      </c>
      <c r="BN82" s="7">
        <v>0</v>
      </c>
      <c r="BO82" s="7">
        <v>0</v>
      </c>
      <c r="BP82" s="7">
        <v>0</v>
      </c>
      <c r="BQ82" s="7">
        <v>0</v>
      </c>
      <c r="BR82" s="7">
        <v>0</v>
      </c>
      <c r="BS82" s="7">
        <v>0</v>
      </c>
      <c r="BT82" s="7">
        <v>0</v>
      </c>
      <c r="BU82" s="7">
        <v>0</v>
      </c>
      <c r="BV82" s="7">
        <v>0</v>
      </c>
      <c r="BW82" s="7">
        <v>0</v>
      </c>
      <c r="BX82" s="7">
        <v>0</v>
      </c>
      <c r="BY82" s="7">
        <v>0</v>
      </c>
      <c r="BZ82" s="7">
        <v>0</v>
      </c>
      <c r="CA82" s="7">
        <v>0</v>
      </c>
      <c r="CB82" s="7">
        <v>0</v>
      </c>
      <c r="CC82" s="7">
        <v>0</v>
      </c>
      <c r="CD82" s="7">
        <v>0</v>
      </c>
      <c r="CE82" s="7">
        <v>0</v>
      </c>
      <c r="CF82" s="7">
        <v>0</v>
      </c>
      <c r="CG82" s="7">
        <v>0</v>
      </c>
      <c r="CH82" s="7">
        <v>0</v>
      </c>
      <c r="CI82" s="7">
        <f>VLOOKUP(B82,'abrasion emissions'!$A$4:$D$32,4,FALSE)</f>
        <v>6.0000000000000002E-6</v>
      </c>
      <c r="CJ82" s="7">
        <f>VLOOKUP(B82,'abrasion emissions'!$A$4:$D$32,2,FALSE)</f>
        <v>7.3669999999999991E-6</v>
      </c>
      <c r="CK82" s="7">
        <f>VLOOKUP(B82,'abrasion emissions'!$A$4:$D$32,3,FALSE)</f>
        <v>4.1749999999999998E-6</v>
      </c>
    </row>
    <row r="83" spans="1:89" x14ac:dyDescent="0.3">
      <c r="A83" t="str">
        <f t="shared" si="35"/>
        <v>Motorbike, electric, &gt;35kW - 2020 - CH</v>
      </c>
      <c r="B83" t="s">
        <v>523</v>
      </c>
      <c r="D83">
        <v>2020</v>
      </c>
      <c r="E83" t="s">
        <v>37</v>
      </c>
      <c r="F83" t="s">
        <v>146</v>
      </c>
      <c r="G83" t="s">
        <v>39</v>
      </c>
      <c r="H83" t="s">
        <v>32</v>
      </c>
      <c r="I83" t="s">
        <v>43</v>
      </c>
      <c r="J83" s="21">
        <v>62100</v>
      </c>
      <c r="K83" s="21">
        <v>4690</v>
      </c>
      <c r="L83" s="2">
        <f t="shared" si="36"/>
        <v>13.240938166311301</v>
      </c>
      <c r="M83">
        <v>1.1000000000000001</v>
      </c>
      <c r="N83">
        <v>70</v>
      </c>
      <c r="O83">
        <v>6</v>
      </c>
      <c r="P83" s="2">
        <f t="shared" si="13"/>
        <v>246.64</v>
      </c>
      <c r="Q83" s="2">
        <f t="shared" si="37"/>
        <v>329.64</v>
      </c>
      <c r="R83">
        <v>49</v>
      </c>
      <c r="S83" s="2">
        <v>111</v>
      </c>
      <c r="T83" s="1">
        <v>0</v>
      </c>
      <c r="U83" s="2">
        <f t="shared" si="43"/>
        <v>111</v>
      </c>
      <c r="V83" s="2">
        <v>13.74</v>
      </c>
      <c r="W83" s="2">
        <v>22.900000000000002</v>
      </c>
      <c r="X83" s="3">
        <v>16.5</v>
      </c>
      <c r="Y83" s="1">
        <v>0.8</v>
      </c>
      <c r="Z83" s="3">
        <f t="shared" si="38"/>
        <v>13.200000000000001</v>
      </c>
      <c r="AA83" s="3">
        <f>X83/'energy battery'!B$3</f>
        <v>82.5</v>
      </c>
      <c r="AB83" s="3">
        <f t="shared" si="44"/>
        <v>16.5</v>
      </c>
      <c r="AC83" s="3">
        <f t="shared" si="39"/>
        <v>99</v>
      </c>
      <c r="AD83" s="3">
        <v>1</v>
      </c>
      <c r="AE83" s="3">
        <v>0</v>
      </c>
      <c r="AF83">
        <f>AE83*'fuels and tailpipe emissions'!$B$3</f>
        <v>0</v>
      </c>
      <c r="AG83">
        <v>0</v>
      </c>
      <c r="AH83" s="3">
        <v>0</v>
      </c>
      <c r="AI83" s="3">
        <v>5</v>
      </c>
      <c r="AJ83" s="3">
        <v>1</v>
      </c>
      <c r="AK83" s="3">
        <f t="shared" si="45"/>
        <v>1.242</v>
      </c>
      <c r="AL83">
        <f t="shared" si="15"/>
        <v>1.7701667999999999E-4</v>
      </c>
      <c r="AM83">
        <v>1.2899999999999999E-3</v>
      </c>
      <c r="AN83" s="2">
        <f t="shared" si="40"/>
        <v>111</v>
      </c>
      <c r="AO83" s="2">
        <f t="shared" si="41"/>
        <v>36.64</v>
      </c>
      <c r="AP83" s="2">
        <f t="shared" si="42"/>
        <v>99</v>
      </c>
      <c r="AQ83" s="6" t="s">
        <v>86</v>
      </c>
      <c r="AR83" s="6">
        <v>0.27473182101357863</v>
      </c>
      <c r="AS83" s="2">
        <f>SUM(Z83,AG83)/(SUM(AQ83:AR83)/3.6)</f>
        <v>172.96867841767528</v>
      </c>
      <c r="AT83" s="5">
        <v>0</v>
      </c>
      <c r="AU83" s="7">
        <v>0</v>
      </c>
      <c r="AV83" s="7">
        <v>0</v>
      </c>
      <c r="AW83" s="7">
        <v>0</v>
      </c>
      <c r="AX83" s="7">
        <v>0</v>
      </c>
      <c r="AY83" s="7">
        <v>0</v>
      </c>
      <c r="AZ83" s="7">
        <v>0</v>
      </c>
      <c r="BA83" s="7">
        <v>0</v>
      </c>
      <c r="BB83" s="7">
        <v>0</v>
      </c>
      <c r="BC83" s="7">
        <v>0</v>
      </c>
      <c r="BD83" s="7">
        <v>0</v>
      </c>
      <c r="BE83" s="7">
        <v>0</v>
      </c>
      <c r="BF83" s="7">
        <v>0</v>
      </c>
      <c r="BG83" s="7">
        <v>0</v>
      </c>
      <c r="BH83" s="7">
        <v>0</v>
      </c>
      <c r="BI83" s="7">
        <v>0</v>
      </c>
      <c r="BJ83" s="7">
        <v>0</v>
      </c>
      <c r="BK83" s="7">
        <v>0</v>
      </c>
      <c r="BL83" s="7">
        <v>0</v>
      </c>
      <c r="BM83" s="7">
        <v>0</v>
      </c>
      <c r="BN83" s="7">
        <v>0</v>
      </c>
      <c r="BO83" s="7">
        <v>0</v>
      </c>
      <c r="BP83" s="7">
        <v>0</v>
      </c>
      <c r="BQ83" s="7">
        <v>0</v>
      </c>
      <c r="BR83" s="7">
        <v>0</v>
      </c>
      <c r="BS83" s="7">
        <v>0</v>
      </c>
      <c r="BT83" s="7">
        <v>0</v>
      </c>
      <c r="BU83" s="7">
        <v>0</v>
      </c>
      <c r="BV83" s="7">
        <v>0</v>
      </c>
      <c r="BW83" s="7">
        <v>0</v>
      </c>
      <c r="BX83" s="7">
        <v>0</v>
      </c>
      <c r="BY83" s="7">
        <v>0</v>
      </c>
      <c r="BZ83" s="7">
        <v>0</v>
      </c>
      <c r="CA83" s="7">
        <v>0</v>
      </c>
      <c r="CB83" s="7">
        <v>0</v>
      </c>
      <c r="CC83" s="7">
        <v>0</v>
      </c>
      <c r="CD83" s="7">
        <v>0</v>
      </c>
      <c r="CE83" s="7">
        <v>0</v>
      </c>
      <c r="CF83" s="7">
        <v>0</v>
      </c>
      <c r="CG83" s="7">
        <v>0</v>
      </c>
      <c r="CH83" s="7">
        <v>0</v>
      </c>
      <c r="CI83" s="7">
        <f>VLOOKUP(B83,'abrasion emissions'!$A$4:$D$32,4,FALSE)</f>
        <v>6.0000000000000002E-6</v>
      </c>
      <c r="CJ83" s="7">
        <f>VLOOKUP(B83,'abrasion emissions'!$A$4:$D$32,2,FALSE)</f>
        <v>7.3669999999999991E-6</v>
      </c>
      <c r="CK83" s="7">
        <f>VLOOKUP(B83,'abrasion emissions'!$A$4:$D$32,3,FALSE)</f>
        <v>4.1749999999999998E-6</v>
      </c>
    </row>
    <row r="84" spans="1:89" x14ac:dyDescent="0.3">
      <c r="A84" t="str">
        <f t="shared" si="35"/>
        <v>Motorbike, electric, &gt;35kW - 2030 - CH</v>
      </c>
      <c r="B84" t="s">
        <v>523</v>
      </c>
      <c r="D84">
        <v>2030</v>
      </c>
      <c r="E84" t="s">
        <v>37</v>
      </c>
      <c r="F84" t="s">
        <v>146</v>
      </c>
      <c r="G84" t="s">
        <v>39</v>
      </c>
      <c r="H84" t="s">
        <v>32</v>
      </c>
      <c r="I84" t="s">
        <v>43</v>
      </c>
      <c r="J84" s="21">
        <v>62100</v>
      </c>
      <c r="K84" s="21">
        <v>4690</v>
      </c>
      <c r="L84" s="2">
        <f t="shared" si="36"/>
        <v>13.240938166311301</v>
      </c>
      <c r="M84">
        <v>1.1000000000000001</v>
      </c>
      <c r="N84">
        <v>70</v>
      </c>
      <c r="O84">
        <v>6</v>
      </c>
      <c r="P84" s="2">
        <f t="shared" si="13"/>
        <v>246.71</v>
      </c>
      <c r="Q84" s="2">
        <f t="shared" si="37"/>
        <v>329.71000000000004</v>
      </c>
      <c r="R84" s="21">
        <v>49</v>
      </c>
      <c r="S84" s="2">
        <v>111</v>
      </c>
      <c r="T84" s="1">
        <v>0.03</v>
      </c>
      <c r="U84" s="2">
        <f t="shared" si="43"/>
        <v>107.67</v>
      </c>
      <c r="V84" s="2">
        <v>13.74</v>
      </c>
      <c r="W84" s="2">
        <v>22.900000000000002</v>
      </c>
      <c r="X84" s="3">
        <v>25.6</v>
      </c>
      <c r="Y84" s="1">
        <v>0.8</v>
      </c>
      <c r="Z84" s="3">
        <f t="shared" si="38"/>
        <v>20.480000000000004</v>
      </c>
      <c r="AA84" s="3">
        <f>X84/'energy battery'!B$4</f>
        <v>85.333333333333343</v>
      </c>
      <c r="AB84" s="3">
        <f t="shared" si="44"/>
        <v>17.06666666666667</v>
      </c>
      <c r="AC84" s="3">
        <f t="shared" si="39"/>
        <v>102.4</v>
      </c>
      <c r="AD84" s="3">
        <v>0.5</v>
      </c>
      <c r="AE84" s="3">
        <v>0</v>
      </c>
      <c r="AF84">
        <f>AE84*'fuels and tailpipe emissions'!$B$3</f>
        <v>0</v>
      </c>
      <c r="AG84">
        <v>0</v>
      </c>
      <c r="AH84" s="3">
        <v>0</v>
      </c>
      <c r="AI84" s="3">
        <v>5</v>
      </c>
      <c r="AJ84" s="3">
        <v>1</v>
      </c>
      <c r="AK84" s="3">
        <f t="shared" si="45"/>
        <v>1.242</v>
      </c>
      <c r="AL84">
        <f t="shared" si="15"/>
        <v>1.7705427000000001E-4</v>
      </c>
      <c r="AM84">
        <v>1.2899999999999999E-3</v>
      </c>
      <c r="AN84" s="2">
        <f t="shared" si="40"/>
        <v>107.67</v>
      </c>
      <c r="AO84" s="2">
        <f t="shared" si="41"/>
        <v>36.64</v>
      </c>
      <c r="AP84" s="2">
        <f t="shared" si="42"/>
        <v>102.4</v>
      </c>
      <c r="AQ84" s="6" t="s">
        <v>86</v>
      </c>
      <c r="AR84" s="6">
        <v>0.27473182101357863</v>
      </c>
      <c r="AS84" s="2">
        <f>SUM(Z84,AG84)/(SUM(AQ84:AR84)/3.6)</f>
        <v>268.363525302575</v>
      </c>
      <c r="AT84" s="5">
        <v>0</v>
      </c>
      <c r="AU84" s="7">
        <v>0</v>
      </c>
      <c r="AV84" s="7">
        <v>0</v>
      </c>
      <c r="AW84" s="7">
        <v>0</v>
      </c>
      <c r="AX84" s="7">
        <v>0</v>
      </c>
      <c r="AY84" s="7">
        <v>0</v>
      </c>
      <c r="AZ84" s="7">
        <v>0</v>
      </c>
      <c r="BA84" s="7">
        <v>0</v>
      </c>
      <c r="BB84" s="7">
        <v>0</v>
      </c>
      <c r="BC84" s="7">
        <v>0</v>
      </c>
      <c r="BD84" s="7">
        <v>0</v>
      </c>
      <c r="BE84" s="7">
        <v>0</v>
      </c>
      <c r="BF84" s="7">
        <v>0</v>
      </c>
      <c r="BG84" s="7">
        <v>0</v>
      </c>
      <c r="BH84" s="7">
        <v>0</v>
      </c>
      <c r="BI84" s="7">
        <v>0</v>
      </c>
      <c r="BJ84" s="7">
        <v>0</v>
      </c>
      <c r="BK84" s="7">
        <v>0</v>
      </c>
      <c r="BL84" s="7">
        <v>0</v>
      </c>
      <c r="BM84" s="7">
        <v>0</v>
      </c>
      <c r="BN84" s="7">
        <v>0</v>
      </c>
      <c r="BO84" s="7">
        <v>0</v>
      </c>
      <c r="BP84" s="7">
        <v>0</v>
      </c>
      <c r="BQ84" s="7">
        <v>0</v>
      </c>
      <c r="BR84" s="7">
        <v>0</v>
      </c>
      <c r="BS84" s="7">
        <v>0</v>
      </c>
      <c r="BT84" s="7">
        <v>0</v>
      </c>
      <c r="BU84" s="7">
        <v>0</v>
      </c>
      <c r="BV84" s="7">
        <v>0</v>
      </c>
      <c r="BW84" s="7">
        <v>0</v>
      </c>
      <c r="BX84" s="7">
        <v>0</v>
      </c>
      <c r="BY84" s="7">
        <v>0</v>
      </c>
      <c r="BZ84" s="7">
        <v>0</v>
      </c>
      <c r="CA84" s="7">
        <v>0</v>
      </c>
      <c r="CB84" s="7">
        <v>0</v>
      </c>
      <c r="CC84" s="7">
        <v>0</v>
      </c>
      <c r="CD84" s="7">
        <v>0</v>
      </c>
      <c r="CE84" s="7">
        <v>0</v>
      </c>
      <c r="CF84" s="7">
        <v>0</v>
      </c>
      <c r="CG84" s="7">
        <v>0</v>
      </c>
      <c r="CH84" s="7">
        <v>0</v>
      </c>
      <c r="CI84" s="7">
        <f>VLOOKUP(B84,'abrasion emissions'!$A$4:$D$32,4,FALSE)</f>
        <v>6.0000000000000002E-6</v>
      </c>
      <c r="CJ84" s="7">
        <f>VLOOKUP(B84,'abrasion emissions'!$A$4:$D$32,2,FALSE)</f>
        <v>7.3669999999999991E-6</v>
      </c>
      <c r="CK84" s="7">
        <f>VLOOKUP(B84,'abrasion emissions'!$A$4:$D$32,3,FALSE)</f>
        <v>4.1749999999999998E-6</v>
      </c>
    </row>
    <row r="85" spans="1:89" x14ac:dyDescent="0.3">
      <c r="A85" t="str">
        <f t="shared" si="35"/>
        <v>Motorbike, electric, &gt;35kW - 2040 - CH</v>
      </c>
      <c r="B85" t="s">
        <v>523</v>
      </c>
      <c r="D85">
        <v>2040</v>
      </c>
      <c r="E85" t="s">
        <v>37</v>
      </c>
      <c r="F85" t="s">
        <v>146</v>
      </c>
      <c r="G85" t="s">
        <v>39</v>
      </c>
      <c r="H85" t="s">
        <v>32</v>
      </c>
      <c r="I85" t="s">
        <v>43</v>
      </c>
      <c r="J85" s="21">
        <v>62100</v>
      </c>
      <c r="K85" s="21">
        <v>4690</v>
      </c>
      <c r="L85" s="2">
        <f t="shared" si="36"/>
        <v>13.240938166311301</v>
      </c>
      <c r="M85">
        <v>1.1000000000000001</v>
      </c>
      <c r="N85">
        <v>70</v>
      </c>
      <c r="O85">
        <v>6</v>
      </c>
      <c r="P85" s="2">
        <f t="shared" si="13"/>
        <v>247.08999999999997</v>
      </c>
      <c r="Q85" s="2">
        <f t="shared" si="37"/>
        <v>330.09</v>
      </c>
      <c r="R85" s="21">
        <v>49</v>
      </c>
      <c r="S85" s="2">
        <v>111</v>
      </c>
      <c r="T85" s="1">
        <v>0.05</v>
      </c>
      <c r="U85" s="2">
        <f t="shared" si="43"/>
        <v>105.44999999999999</v>
      </c>
      <c r="V85" s="2">
        <v>13.74</v>
      </c>
      <c r="W85" s="2">
        <v>22.900000000000002</v>
      </c>
      <c r="X85" s="3">
        <v>35</v>
      </c>
      <c r="Y85" s="1">
        <v>0.8</v>
      </c>
      <c r="Z85" s="3">
        <f t="shared" si="38"/>
        <v>28</v>
      </c>
      <c r="AA85" s="3">
        <f>X85/'energy battery'!B$5</f>
        <v>87.5</v>
      </c>
      <c r="AB85" s="3">
        <f t="shared" si="44"/>
        <v>17.5</v>
      </c>
      <c r="AC85" s="3">
        <f t="shared" si="39"/>
        <v>105</v>
      </c>
      <c r="AD85" s="3">
        <v>0.25</v>
      </c>
      <c r="AE85" s="3">
        <v>0</v>
      </c>
      <c r="AF85">
        <f>AE85*'fuels and tailpipe emissions'!$B$3</f>
        <v>0</v>
      </c>
      <c r="AG85">
        <v>0</v>
      </c>
      <c r="AH85" s="3">
        <v>0</v>
      </c>
      <c r="AI85" s="3">
        <v>5</v>
      </c>
      <c r="AJ85" s="3">
        <v>1</v>
      </c>
      <c r="AK85" s="3">
        <f t="shared" si="45"/>
        <v>1.242</v>
      </c>
      <c r="AL85">
        <f t="shared" si="15"/>
        <v>1.7725833E-4</v>
      </c>
      <c r="AM85">
        <v>1.2899999999999999E-3</v>
      </c>
      <c r="AN85" s="2">
        <f t="shared" si="40"/>
        <v>105.44999999999999</v>
      </c>
      <c r="AO85" s="2">
        <f t="shared" si="41"/>
        <v>36.64</v>
      </c>
      <c r="AP85" s="2">
        <f t="shared" si="42"/>
        <v>105</v>
      </c>
      <c r="AQ85" s="6" t="s">
        <v>86</v>
      </c>
      <c r="AR85" s="6">
        <v>0.27473182101357863</v>
      </c>
      <c r="AS85" s="2">
        <f>SUM(Z85,AG85)/(SUM(AQ85:AR85)/3.6)</f>
        <v>366.90325724961417</v>
      </c>
      <c r="AT85" s="5">
        <v>0</v>
      </c>
      <c r="AU85" s="7">
        <v>0</v>
      </c>
      <c r="AV85" s="7">
        <v>0</v>
      </c>
      <c r="AW85" s="7">
        <v>0</v>
      </c>
      <c r="AX85" s="7">
        <v>0</v>
      </c>
      <c r="AY85" s="7">
        <v>0</v>
      </c>
      <c r="AZ85" s="7">
        <v>0</v>
      </c>
      <c r="BA85" s="7">
        <v>0</v>
      </c>
      <c r="BB85" s="7">
        <v>0</v>
      </c>
      <c r="BC85" s="7">
        <v>0</v>
      </c>
      <c r="BD85" s="7">
        <v>0</v>
      </c>
      <c r="BE85" s="7">
        <v>0</v>
      </c>
      <c r="BF85" s="7">
        <v>0</v>
      </c>
      <c r="BG85" s="7">
        <v>0</v>
      </c>
      <c r="BH85" s="7">
        <v>0</v>
      </c>
      <c r="BI85" s="7">
        <v>0</v>
      </c>
      <c r="BJ85" s="7">
        <v>0</v>
      </c>
      <c r="BK85" s="7">
        <v>0</v>
      </c>
      <c r="BL85" s="7">
        <v>0</v>
      </c>
      <c r="BM85" s="7">
        <v>0</v>
      </c>
      <c r="BN85" s="7">
        <v>0</v>
      </c>
      <c r="BO85" s="7">
        <v>0</v>
      </c>
      <c r="BP85" s="7">
        <v>0</v>
      </c>
      <c r="BQ85" s="7">
        <v>0</v>
      </c>
      <c r="BR85" s="7">
        <v>0</v>
      </c>
      <c r="BS85" s="7">
        <v>0</v>
      </c>
      <c r="BT85" s="7">
        <v>0</v>
      </c>
      <c r="BU85" s="7">
        <v>0</v>
      </c>
      <c r="BV85" s="7">
        <v>0</v>
      </c>
      <c r="BW85" s="7">
        <v>0</v>
      </c>
      <c r="BX85" s="7">
        <v>0</v>
      </c>
      <c r="BY85" s="7">
        <v>0</v>
      </c>
      <c r="BZ85" s="7">
        <v>0</v>
      </c>
      <c r="CA85" s="7">
        <v>0</v>
      </c>
      <c r="CB85" s="7">
        <v>0</v>
      </c>
      <c r="CC85" s="7">
        <v>0</v>
      </c>
      <c r="CD85" s="7">
        <v>0</v>
      </c>
      <c r="CE85" s="7">
        <v>0</v>
      </c>
      <c r="CF85" s="7">
        <v>0</v>
      </c>
      <c r="CG85" s="7">
        <v>0</v>
      </c>
      <c r="CH85" s="7">
        <v>0</v>
      </c>
      <c r="CI85" s="7">
        <f>VLOOKUP(B85,'abrasion emissions'!$A$4:$D$32,4,FALSE)</f>
        <v>6.0000000000000002E-6</v>
      </c>
      <c r="CJ85" s="7">
        <f>VLOOKUP(B85,'abrasion emissions'!$A$4:$D$32,2,FALSE)</f>
        <v>7.3669999999999991E-6</v>
      </c>
      <c r="CK85" s="7">
        <f>VLOOKUP(B85,'abrasion emissions'!$A$4:$D$32,3,FALSE)</f>
        <v>4.1749999999999998E-6</v>
      </c>
    </row>
    <row r="86" spans="1:89" x14ac:dyDescent="0.3">
      <c r="A86" t="str">
        <f t="shared" si="35"/>
        <v>Motorbike, electric, &gt;35kW - 2050 - CH</v>
      </c>
      <c r="B86" t="s">
        <v>523</v>
      </c>
      <c r="D86">
        <v>2050</v>
      </c>
      <c r="E86" t="s">
        <v>37</v>
      </c>
      <c r="F86" t="s">
        <v>146</v>
      </c>
      <c r="G86" t="s">
        <v>39</v>
      </c>
      <c r="H86" t="s">
        <v>32</v>
      </c>
      <c r="I86" t="s">
        <v>43</v>
      </c>
      <c r="J86" s="21">
        <v>62100</v>
      </c>
      <c r="K86" s="21">
        <v>4690</v>
      </c>
      <c r="L86" s="2">
        <f t="shared" si="36"/>
        <v>13.240938166311301</v>
      </c>
      <c r="M86">
        <v>1.1000000000000001</v>
      </c>
      <c r="N86">
        <v>70</v>
      </c>
      <c r="O86">
        <v>6</v>
      </c>
      <c r="P86" s="2">
        <f t="shared" si="13"/>
        <v>246.66999999999996</v>
      </c>
      <c r="Q86" s="2">
        <f t="shared" si="37"/>
        <v>329.66999999999996</v>
      </c>
      <c r="R86" s="21">
        <v>49</v>
      </c>
      <c r="S86" s="2">
        <v>111</v>
      </c>
      <c r="T86" s="1">
        <v>7.0000000000000007E-2</v>
      </c>
      <c r="U86" s="2">
        <f t="shared" si="43"/>
        <v>103.22999999999999</v>
      </c>
      <c r="V86" s="2">
        <v>13.74</v>
      </c>
      <c r="W86" s="2">
        <v>22.900000000000002</v>
      </c>
      <c r="X86" s="3">
        <v>44.5</v>
      </c>
      <c r="Y86" s="1">
        <v>0.8</v>
      </c>
      <c r="Z86" s="3">
        <f t="shared" si="38"/>
        <v>35.6</v>
      </c>
      <c r="AA86" s="3">
        <f>X86/'energy battery'!B$6</f>
        <v>89</v>
      </c>
      <c r="AB86" s="3">
        <f t="shared" si="44"/>
        <v>17.8</v>
      </c>
      <c r="AC86" s="3">
        <f t="shared" si="39"/>
        <v>106.8</v>
      </c>
      <c r="AD86" s="3">
        <v>0</v>
      </c>
      <c r="AE86" s="3">
        <v>0</v>
      </c>
      <c r="AF86">
        <f>AE86*'fuels and tailpipe emissions'!$B$3</f>
        <v>0</v>
      </c>
      <c r="AG86">
        <v>0</v>
      </c>
      <c r="AH86" s="3">
        <v>0</v>
      </c>
      <c r="AI86" s="3">
        <v>5</v>
      </c>
      <c r="AJ86" s="3">
        <v>1</v>
      </c>
      <c r="AK86" s="3">
        <f t="shared" si="45"/>
        <v>1.242</v>
      </c>
      <c r="AL86">
        <f t="shared" si="15"/>
        <v>1.7703278999999997E-4</v>
      </c>
      <c r="AM86">
        <v>1.2899999999999999E-3</v>
      </c>
      <c r="AN86" s="2">
        <f t="shared" si="40"/>
        <v>103.22999999999999</v>
      </c>
      <c r="AO86" s="2">
        <f t="shared" si="41"/>
        <v>36.64</v>
      </c>
      <c r="AP86" s="2">
        <f t="shared" si="42"/>
        <v>106.8</v>
      </c>
      <c r="AQ86" s="6" t="s">
        <v>86</v>
      </c>
      <c r="AR86" s="6">
        <v>0.27473182101357863</v>
      </c>
      <c r="AS86" s="2">
        <f>SUM(Z86,AG86)/(SUM(AQ86:AR86)/3.6)</f>
        <v>466.49128421736663</v>
      </c>
      <c r="AT86" s="5">
        <v>0</v>
      </c>
      <c r="AU86" s="7">
        <v>0</v>
      </c>
      <c r="AV86" s="7">
        <v>0</v>
      </c>
      <c r="AW86" s="7">
        <v>0</v>
      </c>
      <c r="AX86" s="7">
        <v>0</v>
      </c>
      <c r="AY86" s="7">
        <v>0</v>
      </c>
      <c r="AZ86" s="7">
        <v>0</v>
      </c>
      <c r="BA86" s="7">
        <v>0</v>
      </c>
      <c r="BB86" s="7">
        <v>0</v>
      </c>
      <c r="BC86" s="7">
        <v>0</v>
      </c>
      <c r="BD86" s="7">
        <v>0</v>
      </c>
      <c r="BE86" s="7">
        <v>0</v>
      </c>
      <c r="BF86" s="7">
        <v>0</v>
      </c>
      <c r="BG86" s="7">
        <v>0</v>
      </c>
      <c r="BH86" s="7">
        <v>0</v>
      </c>
      <c r="BI86" s="7">
        <v>0</v>
      </c>
      <c r="BJ86" s="7">
        <v>0</v>
      </c>
      <c r="BK86" s="7">
        <v>0</v>
      </c>
      <c r="BL86" s="7">
        <v>0</v>
      </c>
      <c r="BM86" s="7">
        <v>0</v>
      </c>
      <c r="BN86" s="7">
        <v>0</v>
      </c>
      <c r="BO86" s="7">
        <v>0</v>
      </c>
      <c r="BP86" s="7">
        <v>0</v>
      </c>
      <c r="BQ86" s="7">
        <v>0</v>
      </c>
      <c r="BR86" s="7">
        <v>0</v>
      </c>
      <c r="BS86" s="7">
        <v>0</v>
      </c>
      <c r="BT86" s="7">
        <v>0</v>
      </c>
      <c r="BU86" s="7">
        <v>0</v>
      </c>
      <c r="BV86" s="7">
        <v>0</v>
      </c>
      <c r="BW86" s="7">
        <v>0</v>
      </c>
      <c r="BX86" s="7">
        <v>0</v>
      </c>
      <c r="BY86" s="7">
        <v>0</v>
      </c>
      <c r="BZ86" s="7">
        <v>0</v>
      </c>
      <c r="CA86" s="7">
        <v>0</v>
      </c>
      <c r="CB86" s="7">
        <v>0</v>
      </c>
      <c r="CC86" s="7">
        <v>0</v>
      </c>
      <c r="CD86" s="7">
        <v>0</v>
      </c>
      <c r="CE86" s="7">
        <v>0</v>
      </c>
      <c r="CF86" s="7">
        <v>0</v>
      </c>
      <c r="CG86" s="7">
        <v>0</v>
      </c>
      <c r="CH86" s="7">
        <v>0</v>
      </c>
      <c r="CI86" s="7">
        <f>VLOOKUP(B86,'abrasion emissions'!$A$4:$D$32,4,FALSE)</f>
        <v>6.0000000000000002E-6</v>
      </c>
      <c r="CJ86" s="7">
        <f>VLOOKUP(B86,'abrasion emissions'!$A$4:$D$32,2,FALSE)</f>
        <v>7.3669999999999991E-6</v>
      </c>
      <c r="CK86" s="7">
        <f>VLOOKUP(B86,'abrasion emissions'!$A$4:$D$32,3,FALSE)</f>
        <v>4.1749999999999998E-6</v>
      </c>
    </row>
    <row r="87" spans="1:89" x14ac:dyDescent="0.3">
      <c r="T87" s="1"/>
    </row>
  </sheetData>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9"/>
  <sheetViews>
    <sheetView workbookViewId="0">
      <selection activeCell="F284" sqref="F284"/>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Moped, gasoline, &lt;4kW, EURO-3, 2006</v>
      </c>
    </row>
    <row r="2" spans="1:2" x14ac:dyDescent="0.3">
      <c r="A2" t="s">
        <v>73</v>
      </c>
      <c r="B2" t="s">
        <v>37</v>
      </c>
    </row>
    <row r="3" spans="1:2" x14ac:dyDescent="0.3">
      <c r="A3" t="s">
        <v>87</v>
      </c>
      <c r="B3" t="s">
        <v>645</v>
      </c>
    </row>
    <row r="4" spans="1:2" x14ac:dyDescent="0.3">
      <c r="A4" t="s">
        <v>88</v>
      </c>
      <c r="B4" s="12"/>
    </row>
    <row r="5" spans="1:2" x14ac:dyDescent="0.3">
      <c r="A5" t="s">
        <v>89</v>
      </c>
      <c r="B5" s="12">
        <v>2006</v>
      </c>
    </row>
    <row r="6" spans="1:2" x14ac:dyDescent="0.3">
      <c r="A6" t="s">
        <v>131</v>
      </c>
      <c r="B6" s="12" t="str">
        <f>B3&amp;" - "&amp;B5&amp;" - "&amp;B2</f>
        <v>Moped, gasoline, &lt;4kW, EURO-3 - 2006 - CH</v>
      </c>
    </row>
    <row r="7" spans="1:2" x14ac:dyDescent="0.3">
      <c r="A7" t="s">
        <v>74</v>
      </c>
      <c r="B7" t="str">
        <f>B3</f>
        <v>Moped, gasoline, &lt;4kW, EURO-3</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33400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1</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2553</v>
      </c>
    </row>
    <row r="16" spans="1:2" x14ac:dyDescent="0.3">
      <c r="A16" t="s">
        <v>137</v>
      </c>
      <c r="B16" s="2">
        <f>INDEX('vehicles specifications'!$B$3:$CK$86,MATCH(B6,'vehicles specifications'!$A$3:$A$86,0),MATCH("Curb mass [kg]",'vehicles specifications'!$B$2:$CK$2,0))</f>
        <v>65.098124999999996</v>
      </c>
    </row>
    <row r="17" spans="1:8" x14ac:dyDescent="0.3">
      <c r="A17" t="s">
        <v>138</v>
      </c>
      <c r="B17">
        <f>INDEX('vehicles specifications'!$B$3:$CK$86,MATCH(B6,'vehicles specifications'!$A$3:$A$86,0),MATCH("Power [kW]",'vehicles specifications'!$B$2:$CK$2,0))</f>
        <v>2.5</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s="2">
        <f>INDEX('vehicles specifications'!$B$3:$CK$86,MATCH(B6,'vehicles specifications'!$A$3:$A$86,0),MATCH("Oxydation energy stored [kWh]",'vehicles specifications'!$B$2:$CK$2,0))</f>
        <v>61.833333333333329</v>
      </c>
    </row>
    <row r="21" spans="1:8" x14ac:dyDescent="0.3">
      <c r="A21" t="s">
        <v>145</v>
      </c>
      <c r="B21">
        <f>INDEX('vehicles specifications'!$B$3:$CK$86,MATCH(B6,'vehicles specifications'!$A$3:$A$86,0),MATCH("Fuel mass [kg]",'vehicles specifications'!$B$2:$CK$2,0))</f>
        <v>5.25</v>
      </c>
    </row>
    <row r="22" spans="1:8" x14ac:dyDescent="0.3">
      <c r="A22" t="s">
        <v>141</v>
      </c>
      <c r="B22" s="2">
        <f>INDEX('vehicles specifications'!$B$3:$CK$86,MATCH(B6,'vehicles specifications'!$A$3:$A$86,0),MATCH("Range [km]",'vehicles specifications'!$B$2:$CK$2,0))</f>
        <v>265.15715823918839</v>
      </c>
    </row>
    <row r="23" spans="1:8" x14ac:dyDescent="0.3">
      <c r="A23" t="s">
        <v>142</v>
      </c>
      <c r="B23" t="str">
        <f>INDEX('vehicles specifications'!$B$3:$CK$86,MATCH(B6,'vehicles specifications'!$A$3:$A$86,0),MATCH("Emission standard",'vehicles specifications'!$B$2:$CK$2,0))</f>
        <v>EURO-3</v>
      </c>
    </row>
    <row r="24" spans="1:8" x14ac:dyDescent="0.3">
      <c r="A24" t="s">
        <v>144</v>
      </c>
      <c r="B24" s="6">
        <f>INDEX('vehicles specifications'!$B$3:$CK$86,MATCH(B6,'vehicles specifications'!$A$3:$A$86,0),MATCH("Lightweighting rate [%]",'vehicles specifications'!$B$2:$CK$2,0))</f>
        <v>-0.05</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2.5 kW. Lifetime: 33400 km. Annual kilometers: 2553 km. Number of passengers: 1. Curb mass: 65.1 kg. Lightweighting of glider: -5%. Emission standard: EURO-3. Service visits throughout lifetime: 1. Range: 265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Moped, gasoline, &lt;4kW, EURO-3, 2006</v>
      </c>
      <c r="B31" s="12">
        <v>1</v>
      </c>
      <c r="C31" s="12" t="str">
        <f>B2</f>
        <v>CH</v>
      </c>
      <c r="D31" s="12" t="str">
        <f>B9</f>
        <v>unit</v>
      </c>
      <c r="E31" s="12"/>
      <c r="F31" s="12" t="s">
        <v>85</v>
      </c>
      <c r="G31" s="12" t="s">
        <v>86</v>
      </c>
      <c r="H31" s="12" t="str">
        <f>B3</f>
        <v>Moped, gasoline, &lt;4kW, EURO-3</v>
      </c>
    </row>
    <row r="32" spans="1:8" x14ac:dyDescent="0.3">
      <c r="A32" s="12" t="str">
        <f>INDEX('ei names mapping'!$B$4:$R$33,MATCH(B3,'ei names mapping'!$A$4:$A$33,0),MATCH(G32,'ei names mapping'!$B$3:$R$3,0))</f>
        <v>motor scooter production</v>
      </c>
      <c r="B32" s="16">
        <f>INDEX('vehicles specifications'!$B$3:$CK$86,MATCH(B6,'vehicles specifications'!$A$3:$A$86,0),MATCH(G32,'vehicles specifications'!$B$2:$CK$2,0))*INDEX('ei names mapping'!$B$137:$BK$220,MATCH(B6,'ei names mapping'!$A$137:$A$220,0),MATCH(G32,'ei names mapping'!$B$136:$BK$136,0))</f>
        <v>0.46625</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motor scooter, 50 cubic cm engine</v>
      </c>
    </row>
    <row r="33" spans="1:8" x14ac:dyDescent="0.3">
      <c r="A33" s="12" t="str">
        <f>INDEX('ei names mapping'!$B$4:$R$33,MATCH(B3,'ei names mapping'!$A$4:$A$33,0),MATCH(G33,'ei names mapping'!$B$3:$R$3,0))</f>
        <v>motor scooter production</v>
      </c>
      <c r="B33" s="16">
        <f>INDEX('vehicles specifications'!$B$3:$CK$86,MATCH(B6,'vehicles specifications'!$A$3:$A$86,0),MATCH(G33,'vehicles specifications'!$B$2:$CK$2,0))*INDEX('ei names mapping'!$B$137:$BK$220,MATCH(B6,'ei names mapping'!$A$137:$A$220,0),MATCH(G33,'ei names mapping'!$B$136:$BK$136,0))</f>
        <v>0.16666666666666669</v>
      </c>
      <c r="C33" s="12" t="str">
        <f>INDEX('ei names mapping'!$B$38:$R$67,MATCH(B3,'ei names mapping'!$A$4:$A$33,0),MATCH(G33,'ei names mapping'!$B$3:$R$3,0))</f>
        <v>RER</v>
      </c>
      <c r="D33" s="12" t="str">
        <f>INDEX('ei names mapping'!$B$104:$R$133,MATCH(B3,'ei names mapping'!$A$104:$A$133,0),MATCH(G33,'ei names mapping'!$B$3:$R$3,0))</f>
        <v>unit</v>
      </c>
      <c r="E33" s="12"/>
      <c r="F33" s="12" t="s">
        <v>91</v>
      </c>
      <c r="G33" t="s">
        <v>16</v>
      </c>
      <c r="H33" s="12" t="str">
        <f>INDEX('ei names mapping'!$B$71:$R$100,MATCH(B3,'ei names mapping'!$A$4:$A$33,0),MATCH(G33,'ei names mapping'!$B$3:$R$3,0))</f>
        <v>motor scooter, 50 cubic cm engine</v>
      </c>
    </row>
    <row r="34" spans="1:8" x14ac:dyDescent="0.3">
      <c r="A34" s="12" t="str">
        <f>INDEX('ei names mapping'!$B$4:$R$33,MATCH(B3,'ei names mapping'!$A$4:$A$33,0),MATCH(G34,'ei names mapping'!$B$3:$R$3,0))</f>
        <v>polyethylene production, high density, granulate</v>
      </c>
      <c r="B34" s="16">
        <f>INDEX('vehicles specifications'!$B$3:$CK$86,MATCH(B6,'vehicles specifications'!$A$3:$A$86,0),MATCH(G34,'vehicles specifications'!$B$2:$CK$2,0))*INDEX('ei names mapping'!$B$137:$BK$220,MATCH(B6,'ei names mapping'!$A$137:$A$220,0),MATCH(G34,'ei names mapping'!$B$136:$BK$136,0))</f>
        <v>0.78749999999999998</v>
      </c>
      <c r="C34" s="12" t="str">
        <f>INDEX('ei names mapping'!$B$38:$R$67,MATCH(B3,'ei names mapping'!$A$4:$A$33,0),MATCH(G34,'ei names mapping'!$B$3:$R$3,0))</f>
        <v>RER</v>
      </c>
      <c r="D34" s="12" t="str">
        <f>INDEX('ei names mapping'!$B$104:$R$133,MATCH(B3,'ei names mapping'!$A$104:$A$133,0),MATCH(G34,'ei names mapping'!$B$3:$R$3,0))</f>
        <v>kilogram</v>
      </c>
      <c r="E34" s="12"/>
      <c r="F34" s="12" t="s">
        <v>91</v>
      </c>
      <c r="G34" t="s">
        <v>24</v>
      </c>
      <c r="H34" s="12" t="str">
        <f>INDEX('ei names mapping'!$B$71:$R$100,MATCH(B3,'ei names mapping'!$A$4:$A$33,0),MATCH(G34,'ei names mapping'!$B$3:$R$3,0))</f>
        <v>polyethylene, high density, granulate</v>
      </c>
    </row>
    <row r="35" spans="1:8" s="21" customFormat="1" x14ac:dyDescent="0.3">
      <c r="A35" s="22" t="s">
        <v>468</v>
      </c>
      <c r="B35" s="21">
        <f>(B16/1000)*B27</f>
        <v>65.098124999999996</v>
      </c>
      <c r="C35" s="21" t="s">
        <v>94</v>
      </c>
      <c r="D35" s="21" t="s">
        <v>243</v>
      </c>
      <c r="F35" s="21" t="s">
        <v>91</v>
      </c>
      <c r="H35" s="22" t="s">
        <v>469</v>
      </c>
    </row>
    <row r="36" spans="1:8" s="21" customFormat="1" x14ac:dyDescent="0.3">
      <c r="A36" s="22" t="s">
        <v>467</v>
      </c>
      <c r="B36" s="2">
        <f>(B16/1000)*B26</f>
        <v>1035.0601875</v>
      </c>
      <c r="C36" s="21" t="s">
        <v>98</v>
      </c>
      <c r="D36" s="21" t="s">
        <v>243</v>
      </c>
      <c r="F36" s="21" t="s">
        <v>91</v>
      </c>
      <c r="H36" s="22" t="s">
        <v>467</v>
      </c>
    </row>
    <row r="37" spans="1:8" x14ac:dyDescent="0.3">
      <c r="A37" s="12"/>
      <c r="B37" s="16"/>
      <c r="C37" s="12"/>
      <c r="D37" s="12"/>
      <c r="E37" s="12"/>
      <c r="F37" s="12"/>
      <c r="H37" s="12"/>
    </row>
    <row r="38" spans="1:8" ht="15.6" x14ac:dyDescent="0.3">
      <c r="A38" s="11" t="s">
        <v>72</v>
      </c>
      <c r="B38" s="9" t="str">
        <f>B40&amp;", "&amp;B42</f>
        <v>Moped, gasoline, &lt;4kW, EURO-4, 2016</v>
      </c>
    </row>
    <row r="39" spans="1:8" x14ac:dyDescent="0.3">
      <c r="A39" t="s">
        <v>73</v>
      </c>
      <c r="B39" t="s">
        <v>37</v>
      </c>
    </row>
    <row r="40" spans="1:8" x14ac:dyDescent="0.3">
      <c r="A40" t="s">
        <v>87</v>
      </c>
      <c r="B40" t="s">
        <v>646</v>
      </c>
    </row>
    <row r="41" spans="1:8" x14ac:dyDescent="0.3">
      <c r="A41" t="s">
        <v>88</v>
      </c>
      <c r="B41" s="12"/>
    </row>
    <row r="42" spans="1:8" x14ac:dyDescent="0.3">
      <c r="A42" t="s">
        <v>89</v>
      </c>
      <c r="B42" s="12">
        <v>2016</v>
      </c>
    </row>
    <row r="43" spans="1:8" x14ac:dyDescent="0.3">
      <c r="A43" t="s">
        <v>131</v>
      </c>
      <c r="B43" s="12" t="str">
        <f>B40&amp;" - "&amp;B42&amp;" - "&amp;B39</f>
        <v>Moped, gasoline, &lt;4kW, EURO-4 - 2016 - CH</v>
      </c>
    </row>
    <row r="44" spans="1:8" x14ac:dyDescent="0.3">
      <c r="A44" t="s">
        <v>74</v>
      </c>
      <c r="B44" t="str">
        <f>B40</f>
        <v>Moped, gasoline, &lt;4kW, EURO-4</v>
      </c>
    </row>
    <row r="45" spans="1:8" x14ac:dyDescent="0.3">
      <c r="A45" t="s">
        <v>75</v>
      </c>
      <c r="B45" t="s">
        <v>76</v>
      </c>
    </row>
    <row r="46" spans="1:8" x14ac:dyDescent="0.3">
      <c r="A46" t="s">
        <v>77</v>
      </c>
      <c r="B46" t="s">
        <v>77</v>
      </c>
    </row>
    <row r="47" spans="1:8" x14ac:dyDescent="0.3">
      <c r="A47" t="s">
        <v>79</v>
      </c>
      <c r="B47" t="s">
        <v>90</v>
      </c>
    </row>
    <row r="48" spans="1:8" x14ac:dyDescent="0.3">
      <c r="A48" t="s">
        <v>132</v>
      </c>
      <c r="B48">
        <f>INDEX('vehicles specifications'!$B$3:$CK$86,MATCH(B43,'vehicles specifications'!$A$3:$A$86,0),MATCH("Lifetime [km]",'vehicles specifications'!$B$2:$CK$2,0))</f>
        <v>33400</v>
      </c>
    </row>
    <row r="49" spans="1:2" x14ac:dyDescent="0.3">
      <c r="A49" t="s">
        <v>133</v>
      </c>
      <c r="B49">
        <f>INDEX('vehicles specifications'!$B$3:$CK$86,MATCH(B43,'vehicles specifications'!$A$3:$A$86,0),MATCH("Passengers [unit]",'vehicles specifications'!$B$2:$CK$2,0))</f>
        <v>1</v>
      </c>
    </row>
    <row r="50" spans="1:2" x14ac:dyDescent="0.3">
      <c r="A50" t="s">
        <v>134</v>
      </c>
      <c r="B50">
        <f>INDEX('vehicles specifications'!$B$3:$CK$86,MATCH(B43,'vehicles specifications'!$A$3:$A$86,0),MATCH("Servicing [unit]",'vehicles specifications'!$B$2:$CK$2,0))</f>
        <v>1</v>
      </c>
    </row>
    <row r="51" spans="1:2" x14ac:dyDescent="0.3">
      <c r="A51" t="s">
        <v>135</v>
      </c>
      <c r="B51">
        <f>INDEX('vehicles specifications'!$B$3:$CK$86,MATCH(B43,'vehicles specifications'!$A$3:$A$86,0),MATCH("Energy battery replacement [unit]",'vehicles specifications'!$B$2:$CK$2,0))</f>
        <v>0</v>
      </c>
    </row>
    <row r="52" spans="1:2" x14ac:dyDescent="0.3">
      <c r="A52" t="s">
        <v>136</v>
      </c>
      <c r="B52">
        <f>INDEX('vehicles specifications'!$B$3:$CK$86,MATCH(B43,'vehicles specifications'!$A$3:$A$86,0),MATCH("Annual kilometers [km]",'vehicles specifications'!$B$2:$CK$2,0))</f>
        <v>2553</v>
      </c>
    </row>
    <row r="53" spans="1:2" x14ac:dyDescent="0.3">
      <c r="A53" t="s">
        <v>137</v>
      </c>
      <c r="B53" s="2">
        <f>INDEX('vehicles specifications'!$B$3:$CK$86,MATCH(B43,'vehicles specifications'!$A$3:$A$86,0),MATCH("Curb mass [kg]",'vehicles specifications'!$B$2:$CK$2,0))</f>
        <v>63.83925</v>
      </c>
    </row>
    <row r="54" spans="1:2" x14ac:dyDescent="0.3">
      <c r="A54" t="s">
        <v>138</v>
      </c>
      <c r="B54">
        <f>INDEX('vehicles specifications'!$B$3:$CK$86,MATCH(B43,'vehicles specifications'!$A$3:$A$86,0),MATCH("Power [kW]",'vehicles specifications'!$B$2:$CK$2,0))</f>
        <v>2.5</v>
      </c>
    </row>
    <row r="55" spans="1:2" x14ac:dyDescent="0.3">
      <c r="A55" t="s">
        <v>139</v>
      </c>
      <c r="B55">
        <f>INDEX('vehicles specifications'!$B$3:$CK$86,MATCH(B43,'vehicles specifications'!$A$3:$A$86,0),MATCH("Energy battery mass [kg]",'vehicles specifications'!$B$2:$CK$2,0))</f>
        <v>0</v>
      </c>
    </row>
    <row r="56" spans="1:2" x14ac:dyDescent="0.3">
      <c r="A56" t="s">
        <v>140</v>
      </c>
      <c r="B56">
        <f>INDEX('vehicles specifications'!$B$3:$CK$86,MATCH(B43,'vehicles specifications'!$A$3:$A$86,0),MATCH("Electric energy available [kWh]",'vehicles specifications'!$B$2:$CK$2,0))</f>
        <v>0</v>
      </c>
    </row>
    <row r="57" spans="1:2" x14ac:dyDescent="0.3">
      <c r="A57" t="s">
        <v>143</v>
      </c>
      <c r="B57" s="2">
        <f>INDEX('vehicles specifications'!$B$3:$CK$86,MATCH(B43,'vehicles specifications'!$A$3:$A$86,0),MATCH("Oxydation energy stored [kWh]",'vehicles specifications'!$B$2:$CK$2,0))</f>
        <v>61.833333333333329</v>
      </c>
    </row>
    <row r="58" spans="1:2" x14ac:dyDescent="0.3">
      <c r="A58" t="s">
        <v>145</v>
      </c>
      <c r="B58">
        <f>INDEX('vehicles specifications'!$B$3:$CK$86,MATCH(B43,'vehicles specifications'!$A$3:$A$86,0),MATCH("Fuel mass [kg]",'vehicles specifications'!$B$2:$CK$2,0))</f>
        <v>5.25</v>
      </c>
    </row>
    <row r="59" spans="1:2" x14ac:dyDescent="0.3">
      <c r="A59" t="s">
        <v>141</v>
      </c>
      <c r="B59" s="2">
        <f>INDEX('vehicles specifications'!$B$3:$CK$86,MATCH(B43,'vehicles specifications'!$A$3:$A$86,0),MATCH("Range [km]",'vehicles specifications'!$B$2:$CK$2,0))</f>
        <v>267.8087298215803</v>
      </c>
    </row>
    <row r="60" spans="1:2" x14ac:dyDescent="0.3">
      <c r="A60" t="s">
        <v>142</v>
      </c>
      <c r="B60" t="str">
        <f>INDEX('vehicles specifications'!$B$3:$CK$86,MATCH(B43,'vehicles specifications'!$A$3:$A$86,0),MATCH("Emission standard",'vehicles specifications'!$B$2:$CK$2,0))</f>
        <v>EURO-4</v>
      </c>
    </row>
    <row r="61" spans="1:2" x14ac:dyDescent="0.3">
      <c r="A61" t="s">
        <v>144</v>
      </c>
      <c r="B61" s="6">
        <f>INDEX('vehicles specifications'!$B$3:$CK$86,MATCH(B43,'vehicles specifications'!$A$3:$A$86,0),MATCH("Lightweighting rate [%]",'vehicles specifications'!$B$2:$CK$2,0))</f>
        <v>-0.02</v>
      </c>
    </row>
    <row r="62" spans="1:2" s="21" customFormat="1" x14ac:dyDescent="0.3">
      <c r="A62" s="21" t="s">
        <v>513</v>
      </c>
      <c r="B62" s="6" t="s">
        <v>514</v>
      </c>
    </row>
    <row r="63" spans="1:2" s="21" customFormat="1" x14ac:dyDescent="0.3">
      <c r="A63" s="21" t="s">
        <v>515</v>
      </c>
      <c r="B63" s="2">
        <v>15900</v>
      </c>
    </row>
    <row r="64" spans="1:2" s="21" customFormat="1" x14ac:dyDescent="0.3">
      <c r="A64" s="21" t="s">
        <v>516</v>
      </c>
      <c r="B64" s="2">
        <v>1000</v>
      </c>
    </row>
    <row r="65" spans="1:8" s="21" customFormat="1" x14ac:dyDescent="0.3">
      <c r="A65" s="21" t="s">
        <v>84</v>
      </c>
      <c r="B65" s="21" t="str">
        <f>"Power: "&amp;B54&amp;" kW. Lifetime: "&amp;B48&amp;" km. Annual kilometers: "&amp;ROUND(B52,0)&amp;" km. Number of passengers: "&amp;ROUND(B49,1)&amp;". Curb mass: "&amp;ROUND(B53,1)&amp;" kg. Lightweighting of glider: "&amp;ROUND(B61*100,0)&amp;"%. Emission standard: "&amp;B60&amp;". Service visits throughout lifetime: "&amp;ROUND(B50,1)&amp;". Range: "&amp;ROUND(B59,0)&amp;" km. Battery capacity: "&amp;ROUND(B56,1)&amp;" kWh. Battery mass: "&amp;ROUND(B55,1)&amp; " kg. Battery replacement throughout lifetime: "&amp;ROUND(B51,1)&amp;". Fuel tank capacity: "&amp;ROUND(B57,1)&amp;" kWh. Fuel mass: "&amp;ROUND(B58,1)&amp;" kg. Origin of manufacture: "&amp;B62&amp;". Shipping distance: "&amp;B63&amp;" km. Lorry distribution distance: "&amp;B64&amp;" km. Documentation: "&amp;Readmefirst!$B$2&amp;", "&amp;Readmefirst!$B$3&amp;". "&amp;B47</f>
        <v>Power: 2.5 kW. Lifetime: 33400 km. Annual kilometers: 2553 km. Number of passengers: 1. Curb mass: 63.8 kg. Lightweighting of glider: -2%. Emission standard: EURO-4. Service visits throughout lifetime: 1. Range: 268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6" spans="1:8" ht="15.6" x14ac:dyDescent="0.3">
      <c r="A66" s="11" t="s">
        <v>80</v>
      </c>
    </row>
    <row r="67" spans="1:8" x14ac:dyDescent="0.3">
      <c r="A67" t="s">
        <v>81</v>
      </c>
      <c r="B67" t="s">
        <v>82</v>
      </c>
      <c r="C67" t="s">
        <v>73</v>
      </c>
      <c r="D67" t="s">
        <v>77</v>
      </c>
      <c r="E67" t="s">
        <v>83</v>
      </c>
      <c r="F67" t="s">
        <v>75</v>
      </c>
      <c r="G67" t="s">
        <v>84</v>
      </c>
      <c r="H67" t="s">
        <v>74</v>
      </c>
    </row>
    <row r="68" spans="1:8" x14ac:dyDescent="0.3">
      <c r="A68" s="12" t="str">
        <f>B38</f>
        <v>Moped, gasoline, &lt;4kW, EURO-4, 2016</v>
      </c>
      <c r="B68" s="12">
        <v>1</v>
      </c>
      <c r="C68" s="12" t="str">
        <f>B39</f>
        <v>CH</v>
      </c>
      <c r="D68" s="12" t="str">
        <f>B46</f>
        <v>unit</v>
      </c>
      <c r="E68" s="12"/>
      <c r="F68" s="12" t="s">
        <v>85</v>
      </c>
      <c r="G68" s="12" t="s">
        <v>86</v>
      </c>
      <c r="H68" s="12" t="str">
        <f>B40</f>
        <v>Moped, gasoline, &lt;4kW, EURO-4</v>
      </c>
    </row>
    <row r="69" spans="1:8" x14ac:dyDescent="0.3">
      <c r="A69" s="12" t="str">
        <f>INDEX('ei names mapping'!$B$4:$R$33,MATCH(B40,'ei names mapping'!$A$4:$A$33,0),MATCH(G69,'ei names mapping'!$B$3:$R$3,0))</f>
        <v>motor scooter production</v>
      </c>
      <c r="B69" s="16">
        <f>INDEX('vehicles specifications'!$B$3:$CK$86,MATCH(B43,'vehicles specifications'!$A$3:$A$86,0),MATCH(G69,'vehicles specifications'!$B$2:$CK$2,0))*INDEX('ei names mapping'!$B$137:$BK$220,MATCH(B43,'ei names mapping'!$A$137:$A$220,0),MATCH(G69,'ei names mapping'!$B$136:$BK$136,0))</f>
        <v>0.46625</v>
      </c>
      <c r="C69" s="12" t="str">
        <f>INDEX('ei names mapping'!$B$38:$R$67,MATCH(B40,'ei names mapping'!$A$4:$A$33,0),MATCH(G69,'ei names mapping'!$B$3:$R$3,0))</f>
        <v>RER</v>
      </c>
      <c r="D69" s="12" t="str">
        <f>INDEX('ei names mapping'!$B$104:$R$133,MATCH(B40,'ei names mapping'!$A$104:$A$133,0),MATCH(G69,'ei names mapping'!$B$3:$R$3,0))</f>
        <v>unit</v>
      </c>
      <c r="E69" s="12"/>
      <c r="F69" s="12" t="s">
        <v>91</v>
      </c>
      <c r="G69" s="21" t="s">
        <v>15</v>
      </c>
      <c r="H69" s="12" t="str">
        <f>INDEX('ei names mapping'!$B$71:$R$100,MATCH(B40,'ei names mapping'!$A$4:$A$33,0),MATCH(G69,'ei names mapping'!$B$3:$R$3,0))</f>
        <v>motor scooter, 50 cubic cm engine</v>
      </c>
    </row>
    <row r="70" spans="1:8" x14ac:dyDescent="0.3">
      <c r="A70" s="12" t="str">
        <f>INDEX('ei names mapping'!$B$4:$R$33,MATCH(B40,'ei names mapping'!$A$4:$A$33,0),MATCH(G70,'ei names mapping'!$B$3:$R$3,0))</f>
        <v>motor scooter production</v>
      </c>
      <c r="B70" s="16">
        <f>INDEX('vehicles specifications'!$B$3:$CK$86,MATCH(B43,'vehicles specifications'!$A$3:$A$86,0),MATCH(G70,'vehicles specifications'!$B$2:$CK$2,0))*INDEX('ei names mapping'!$B$137:$BK$220,MATCH(B43,'ei names mapping'!$A$137:$A$220,0),MATCH(G70,'ei names mapping'!$B$136:$BK$136,0))</f>
        <v>0.16666666666666669</v>
      </c>
      <c r="C70" s="12" t="str">
        <f>INDEX('ei names mapping'!$B$38:$R$67,MATCH(B40,'ei names mapping'!$A$4:$A$33,0),MATCH(G70,'ei names mapping'!$B$3:$R$3,0))</f>
        <v>RER</v>
      </c>
      <c r="D70" s="12" t="str">
        <f>INDEX('ei names mapping'!$B$104:$R$133,MATCH(B40,'ei names mapping'!$A$104:$A$133,0),MATCH(G70,'ei names mapping'!$B$3:$R$3,0))</f>
        <v>unit</v>
      </c>
      <c r="E70" s="12"/>
      <c r="F70" s="12" t="s">
        <v>91</v>
      </c>
      <c r="G70" t="s">
        <v>16</v>
      </c>
      <c r="H70" s="12" t="str">
        <f>INDEX('ei names mapping'!$B$71:$R$100,MATCH(B40,'ei names mapping'!$A$4:$A$33,0),MATCH(G70,'ei names mapping'!$B$3:$R$3,0))</f>
        <v>motor scooter, 50 cubic cm engine</v>
      </c>
    </row>
    <row r="71" spans="1:8" x14ac:dyDescent="0.3">
      <c r="A71" s="12" t="str">
        <f>INDEX('ei names mapping'!$B$4:$R$33,MATCH(B40,'ei names mapping'!$A$4:$A$33,0),MATCH(G71,'ei names mapping'!$B$3:$R$3,0))</f>
        <v>polyethylene production, high density, granulate</v>
      </c>
      <c r="B71" s="16">
        <f>INDEX('vehicles specifications'!$B$3:$CK$86,MATCH(B43,'vehicles specifications'!$A$3:$A$86,0),MATCH(G71,'vehicles specifications'!$B$2:$CK$2,0))*INDEX('ei names mapping'!$B$137:$BK$220,MATCH(B43,'ei names mapping'!$A$137:$A$220,0),MATCH(G71,'ei names mapping'!$B$136:$BK$136,0))</f>
        <v>0.78749999999999998</v>
      </c>
      <c r="C71" s="12" t="str">
        <f>INDEX('ei names mapping'!$B$38:$R$67,MATCH(B40,'ei names mapping'!$A$4:$A$33,0),MATCH(G71,'ei names mapping'!$B$3:$R$3,0))</f>
        <v>RER</v>
      </c>
      <c r="D71" s="12" t="str">
        <f>INDEX('ei names mapping'!$B$104:$R$133,MATCH(B40,'ei names mapping'!$A$104:$A$133,0),MATCH(G71,'ei names mapping'!$B$3:$R$3,0))</f>
        <v>kilogram</v>
      </c>
      <c r="E71" s="12"/>
      <c r="F71" s="12" t="s">
        <v>91</v>
      </c>
      <c r="G71" t="s">
        <v>24</v>
      </c>
      <c r="H71" s="12" t="str">
        <f>INDEX('ei names mapping'!$B$71:$R$100,MATCH(B40,'ei names mapping'!$A$4:$A$33,0),MATCH(G71,'ei names mapping'!$B$3:$R$3,0))</f>
        <v>polyethylene, high density, granulate</v>
      </c>
    </row>
    <row r="72" spans="1:8" s="21" customFormat="1" x14ac:dyDescent="0.3">
      <c r="A72" s="22" t="s">
        <v>468</v>
      </c>
      <c r="B72" s="21">
        <f>(B53/1000)*B64</f>
        <v>63.83925</v>
      </c>
      <c r="C72" s="21" t="s">
        <v>94</v>
      </c>
      <c r="D72" s="21" t="s">
        <v>243</v>
      </c>
      <c r="F72" s="21" t="s">
        <v>91</v>
      </c>
      <c r="H72" s="22" t="s">
        <v>469</v>
      </c>
    </row>
    <row r="73" spans="1:8" s="21" customFormat="1" x14ac:dyDescent="0.3">
      <c r="A73" s="22" t="s">
        <v>467</v>
      </c>
      <c r="B73" s="2">
        <f>(B53/1000)*B63</f>
        <v>1015.044075</v>
      </c>
      <c r="C73" s="21" t="s">
        <v>98</v>
      </c>
      <c r="D73" s="21" t="s">
        <v>243</v>
      </c>
      <c r="F73" s="21" t="s">
        <v>91</v>
      </c>
      <c r="H73" s="22" t="s">
        <v>467</v>
      </c>
    </row>
    <row r="75" spans="1:8" ht="15.6" x14ac:dyDescent="0.3">
      <c r="A75" s="11" t="s">
        <v>72</v>
      </c>
      <c r="B75" s="9" t="str">
        <f>B77&amp;", "&amp;B79</f>
        <v>Moped, gasoline, &lt;4kW, EURO-5, 2020</v>
      </c>
    </row>
    <row r="76" spans="1:8" x14ac:dyDescent="0.3">
      <c r="A76" t="s">
        <v>73</v>
      </c>
      <c r="B76" t="s">
        <v>37</v>
      </c>
    </row>
    <row r="77" spans="1:8" x14ac:dyDescent="0.3">
      <c r="A77" t="s">
        <v>87</v>
      </c>
      <c r="B77" t="s">
        <v>647</v>
      </c>
    </row>
    <row r="78" spans="1:8" x14ac:dyDescent="0.3">
      <c r="A78" t="s">
        <v>88</v>
      </c>
      <c r="B78" s="12"/>
    </row>
    <row r="79" spans="1:8" x14ac:dyDescent="0.3">
      <c r="A79" t="s">
        <v>89</v>
      </c>
      <c r="B79" s="12">
        <v>2020</v>
      </c>
    </row>
    <row r="80" spans="1:8" x14ac:dyDescent="0.3">
      <c r="A80" t="s">
        <v>131</v>
      </c>
      <c r="B80" s="12" t="str">
        <f>B77&amp;" - "&amp;B79&amp;" - "&amp;B76</f>
        <v>Moped, gasoline, &lt;4kW, EURO-5 - 2020 - CH</v>
      </c>
    </row>
    <row r="81" spans="1:2" x14ac:dyDescent="0.3">
      <c r="A81" t="s">
        <v>74</v>
      </c>
      <c r="B81" t="str">
        <f>B77</f>
        <v>Moped, gasoline, &lt;4kW, EURO-5</v>
      </c>
    </row>
    <row r="82" spans="1:2" x14ac:dyDescent="0.3">
      <c r="A82" t="s">
        <v>75</v>
      </c>
      <c r="B82" t="s">
        <v>76</v>
      </c>
    </row>
    <row r="83" spans="1:2" x14ac:dyDescent="0.3">
      <c r="A83" t="s">
        <v>77</v>
      </c>
      <c r="B83" t="s">
        <v>77</v>
      </c>
    </row>
    <row r="84" spans="1:2" x14ac:dyDescent="0.3">
      <c r="A84" t="s">
        <v>79</v>
      </c>
      <c r="B84" t="s">
        <v>90</v>
      </c>
    </row>
    <row r="85" spans="1:2" x14ac:dyDescent="0.3">
      <c r="A85" t="s">
        <v>132</v>
      </c>
      <c r="B85">
        <f>INDEX('vehicles specifications'!$B$3:$CK$86,MATCH(B80,'vehicles specifications'!$A$3:$A$86,0),MATCH("Lifetime [km]",'vehicles specifications'!$B$2:$CK$2,0))</f>
        <v>33400</v>
      </c>
    </row>
    <row r="86" spans="1:2" x14ac:dyDescent="0.3">
      <c r="A86" t="s">
        <v>133</v>
      </c>
      <c r="B86">
        <f>INDEX('vehicles specifications'!$B$3:$CK$86,MATCH(B80,'vehicles specifications'!$A$3:$A$86,0),MATCH("Passengers [unit]",'vehicles specifications'!$B$2:$CK$2,0))</f>
        <v>1</v>
      </c>
    </row>
    <row r="87" spans="1:2" x14ac:dyDescent="0.3">
      <c r="A87" t="s">
        <v>134</v>
      </c>
      <c r="B87">
        <f>INDEX('vehicles specifications'!$B$3:$CK$86,MATCH(B80,'vehicles specifications'!$A$3:$A$86,0),MATCH("Servicing [unit]",'vehicles specifications'!$B$2:$CK$2,0))</f>
        <v>1</v>
      </c>
    </row>
    <row r="88" spans="1:2" x14ac:dyDescent="0.3">
      <c r="A88" t="s">
        <v>135</v>
      </c>
      <c r="B88">
        <f>INDEX('vehicles specifications'!$B$3:$CK$86,MATCH(B80,'vehicles specifications'!$A$3:$A$86,0),MATCH("Energy battery replacement [unit]",'vehicles specifications'!$B$2:$CK$2,0))</f>
        <v>0</v>
      </c>
    </row>
    <row r="89" spans="1:2" x14ac:dyDescent="0.3">
      <c r="A89" t="s">
        <v>136</v>
      </c>
      <c r="B89">
        <f>INDEX('vehicles specifications'!$B$3:$CK$86,MATCH(B80,'vehicles specifications'!$A$3:$A$86,0),MATCH("Annual kilometers [km]",'vehicles specifications'!$B$2:$CK$2,0))</f>
        <v>2553</v>
      </c>
    </row>
    <row r="90" spans="1:2" x14ac:dyDescent="0.3">
      <c r="A90" t="s">
        <v>137</v>
      </c>
      <c r="B90" s="2">
        <f>INDEX('vehicles specifications'!$B$3:$CK$86,MATCH(B80,'vehicles specifications'!$A$3:$A$86,0),MATCH("Curb mass [kg]",'vehicles specifications'!$B$2:$CK$2,0))</f>
        <v>63</v>
      </c>
    </row>
    <row r="91" spans="1:2" x14ac:dyDescent="0.3">
      <c r="A91" t="s">
        <v>138</v>
      </c>
      <c r="B91">
        <f>INDEX('vehicles specifications'!$B$3:$CK$86,MATCH(B80,'vehicles specifications'!$A$3:$A$86,0),MATCH("Power [kW]",'vehicles specifications'!$B$2:$CK$2,0))</f>
        <v>2.5</v>
      </c>
    </row>
    <row r="92" spans="1:2" x14ac:dyDescent="0.3">
      <c r="A92" t="s">
        <v>139</v>
      </c>
      <c r="B92">
        <f>INDEX('vehicles specifications'!$B$3:$CK$86,MATCH(B80,'vehicles specifications'!$A$3:$A$86,0),MATCH("Energy battery mass [kg]",'vehicles specifications'!$B$2:$CK$2,0))</f>
        <v>0</v>
      </c>
    </row>
    <row r="93" spans="1:2" x14ac:dyDescent="0.3">
      <c r="A93" t="s">
        <v>140</v>
      </c>
      <c r="B93">
        <f>INDEX('vehicles specifications'!$B$3:$CK$86,MATCH(B80,'vehicles specifications'!$A$3:$A$86,0),MATCH("Electric energy available [kWh]",'vehicles specifications'!$B$2:$CK$2,0))</f>
        <v>0</v>
      </c>
    </row>
    <row r="94" spans="1:2" x14ac:dyDescent="0.3">
      <c r="A94" t="s">
        <v>143</v>
      </c>
      <c r="B94" s="2">
        <f>INDEX('vehicles specifications'!$B$3:$CK$86,MATCH(B80,'vehicles specifications'!$A$3:$A$86,0),MATCH("Oxydation energy stored [kWh]",'vehicles specifications'!$B$2:$CK$2,0))</f>
        <v>61.833333333333329</v>
      </c>
    </row>
    <row r="95" spans="1:2" x14ac:dyDescent="0.3">
      <c r="A95" t="s">
        <v>145</v>
      </c>
      <c r="B95">
        <f>INDEX('vehicles specifications'!$B$3:$CK$86,MATCH(B80,'vehicles specifications'!$A$3:$A$86,0),MATCH("Fuel mass [kg]",'vehicles specifications'!$B$2:$CK$2,0))</f>
        <v>5.25</v>
      </c>
    </row>
    <row r="96" spans="1:2" x14ac:dyDescent="0.3">
      <c r="A96" t="s">
        <v>141</v>
      </c>
      <c r="B96" s="2">
        <f>INDEX('vehicles specifications'!$B$3:$CK$86,MATCH(B80,'vehicles specifications'!$A$3:$A$86,0),MATCH("Range [km]",'vehicles specifications'!$B$2:$CK$2,0))</f>
        <v>270.51386850664676</v>
      </c>
    </row>
    <row r="97" spans="1:8" x14ac:dyDescent="0.3">
      <c r="A97" t="s">
        <v>142</v>
      </c>
      <c r="B97" t="str">
        <f>INDEX('vehicles specifications'!$B$3:$CK$86,MATCH(B80,'vehicles specifications'!$A$3:$A$86,0),MATCH("Emission standard",'vehicles specifications'!$B$2:$CK$2,0))</f>
        <v>EURO-5</v>
      </c>
    </row>
    <row r="98" spans="1:8" x14ac:dyDescent="0.3">
      <c r="A98" t="s">
        <v>144</v>
      </c>
      <c r="B98" s="6">
        <f>INDEX('vehicles specifications'!$B$3:$CK$86,MATCH(B80,'vehicles specifications'!$A$3:$A$86,0),MATCH("Lightweighting rate [%]",'vehicles specifications'!$B$2:$CK$2,0))</f>
        <v>0</v>
      </c>
    </row>
    <row r="99" spans="1:8" s="21" customFormat="1" x14ac:dyDescent="0.3">
      <c r="A99" s="21" t="s">
        <v>513</v>
      </c>
      <c r="B99" s="6" t="s">
        <v>514</v>
      </c>
    </row>
    <row r="100" spans="1:8" s="21" customFormat="1" x14ac:dyDescent="0.3">
      <c r="A100" s="21" t="s">
        <v>515</v>
      </c>
      <c r="B100" s="2">
        <v>15900</v>
      </c>
    </row>
    <row r="101" spans="1:8" s="21" customFormat="1" x14ac:dyDescent="0.3">
      <c r="A101" s="21" t="s">
        <v>516</v>
      </c>
      <c r="B101" s="2">
        <v>1000</v>
      </c>
    </row>
    <row r="102" spans="1:8" s="21" customFormat="1" x14ac:dyDescent="0.3">
      <c r="A102" s="21" t="s">
        <v>84</v>
      </c>
      <c r="B102" s="21" t="str">
        <f>"Power: "&amp;B91&amp;" kW. Lifetime: "&amp;B85&amp;" km. Annual kilometers: "&amp;ROUND(B89,0)&amp;" km. Number of passengers: "&amp;ROUND(B86,1)&amp;". Curb mass: "&amp;ROUND(B90,1)&amp;" kg. Lightweighting of glider: "&amp;ROUND(B98*100,0)&amp;"%. Emission standard: "&amp;B97&amp;". Service visits throughout lifetime: "&amp;ROUND(B87,1)&amp;". Range: "&amp;ROUND(B96,0)&amp;" km. Battery capacity: "&amp;ROUND(B93,1)&amp;" kWh. Battery mass: "&amp;ROUND(B92,1)&amp; " kg. Battery replacement throughout lifetime: "&amp;ROUND(B88,1)&amp;". Fuel tank capacity: "&amp;ROUND(B94,1)&amp;" kWh. Fuel mass: "&amp;ROUND(B95,1)&amp;" kg. Origin of manufacture: "&amp;B99&amp;". Shipping distance: "&amp;B100&amp;" km. Lorry distribution distance: "&amp;B101&amp;" km. Documentation: "&amp;Readmefirst!$B$2&amp;", "&amp;Readmefirst!$B$3&amp;". "&amp;B84</f>
        <v>Power: 2.5 kW. Lifetime: 33400 km. Annual kilometers: 2553 km. Number of passengers: 1. Curb mass: 63 kg. Lightweighting of glider: 0%. Emission standard: EURO-5. Service visits throughout lifetime: 1. Range: 271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3" spans="1:8" ht="15.6" x14ac:dyDescent="0.3">
      <c r="A103" s="11" t="s">
        <v>80</v>
      </c>
    </row>
    <row r="104" spans="1:8" x14ac:dyDescent="0.3">
      <c r="A104" t="s">
        <v>81</v>
      </c>
      <c r="B104" t="s">
        <v>82</v>
      </c>
      <c r="C104" t="s">
        <v>73</v>
      </c>
      <c r="D104" t="s">
        <v>77</v>
      </c>
      <c r="E104" t="s">
        <v>83</v>
      </c>
      <c r="F104" t="s">
        <v>75</v>
      </c>
      <c r="G104" t="s">
        <v>84</v>
      </c>
      <c r="H104" t="s">
        <v>74</v>
      </c>
    </row>
    <row r="105" spans="1:8" x14ac:dyDescent="0.3">
      <c r="A105" s="12" t="str">
        <f>B75</f>
        <v>Moped, gasoline, &lt;4kW, EURO-5, 2020</v>
      </c>
      <c r="B105" s="12">
        <v>1</v>
      </c>
      <c r="C105" s="12" t="str">
        <f>B76</f>
        <v>CH</v>
      </c>
      <c r="D105" s="12" t="str">
        <f>B83</f>
        <v>unit</v>
      </c>
      <c r="E105" s="12"/>
      <c r="F105" s="12" t="s">
        <v>85</v>
      </c>
      <c r="G105" s="12" t="s">
        <v>86</v>
      </c>
      <c r="H105" s="12" t="str">
        <f>B77</f>
        <v>Moped, gasoline, &lt;4kW, EURO-5</v>
      </c>
    </row>
    <row r="106" spans="1:8" x14ac:dyDescent="0.3">
      <c r="A106" s="12" t="str">
        <f>INDEX('ei names mapping'!$B$4:$R$33,MATCH(B77,'ei names mapping'!$A$4:$A$33,0),MATCH(G106,'ei names mapping'!$B$3:$R$3,0))</f>
        <v>motor scooter production</v>
      </c>
      <c r="B106" s="16">
        <f>INDEX('vehicles specifications'!$B$3:$CK$86,MATCH(B80,'vehicles specifications'!$A$3:$A$86,0),MATCH(G106,'vehicles specifications'!$B$2:$CK$2,0))*INDEX('ei names mapping'!$B$137:$BK$220,MATCH(B80,'ei names mapping'!$A$137:$A$220,0),MATCH(G106,'ei names mapping'!$B$136:$BK$136,0))</f>
        <v>0.46625</v>
      </c>
      <c r="C106" s="12" t="str">
        <f>INDEX('ei names mapping'!$B$38:$R$67,MATCH(B77,'ei names mapping'!$A$4:$A$33,0),MATCH(G106,'ei names mapping'!$B$3:$R$3,0))</f>
        <v>RER</v>
      </c>
      <c r="D106" s="12" t="str">
        <f>INDEX('ei names mapping'!$B$104:$R$133,MATCH(B77,'ei names mapping'!$A$104:$A$133,0),MATCH(G106,'ei names mapping'!$B$3:$R$3,0))</f>
        <v>unit</v>
      </c>
      <c r="E106" s="12"/>
      <c r="F106" s="12" t="s">
        <v>91</v>
      </c>
      <c r="G106" s="21" t="s">
        <v>15</v>
      </c>
      <c r="H106" s="12" t="str">
        <f>INDEX('ei names mapping'!$B$71:$R$100,MATCH(B77,'ei names mapping'!$A$4:$A$33,0),MATCH(G106,'ei names mapping'!$B$3:$R$3,0))</f>
        <v>motor scooter, 50 cubic cm engine</v>
      </c>
    </row>
    <row r="107" spans="1:8" x14ac:dyDescent="0.3">
      <c r="A107" s="12" t="str">
        <f>INDEX('ei names mapping'!$B$4:$R$33,MATCH(B77,'ei names mapping'!$A$4:$A$33,0),MATCH(G107,'ei names mapping'!$B$3:$R$3,0))</f>
        <v>motor scooter production</v>
      </c>
      <c r="B107" s="16">
        <f>INDEX('vehicles specifications'!$B$3:$CK$86,MATCH(B80,'vehicles specifications'!$A$3:$A$86,0),MATCH(G107,'vehicles specifications'!$B$2:$CK$2,0))*INDEX('ei names mapping'!$B$137:$BK$220,MATCH(B80,'ei names mapping'!$A$137:$A$220,0),MATCH(G107,'ei names mapping'!$B$136:$BK$136,0))</f>
        <v>0.16666666666666669</v>
      </c>
      <c r="C107" s="12" t="str">
        <f>INDEX('ei names mapping'!$B$38:$R$67,MATCH(B77,'ei names mapping'!$A$4:$A$33,0),MATCH(G107,'ei names mapping'!$B$3:$R$3,0))</f>
        <v>RER</v>
      </c>
      <c r="D107" s="12" t="str">
        <f>INDEX('ei names mapping'!$B$104:$R$133,MATCH(B77,'ei names mapping'!$A$104:$A$133,0),MATCH(G107,'ei names mapping'!$B$3:$R$3,0))</f>
        <v>unit</v>
      </c>
      <c r="E107" s="12"/>
      <c r="F107" s="12" t="s">
        <v>91</v>
      </c>
      <c r="G107" t="s">
        <v>16</v>
      </c>
      <c r="H107" s="12" t="str">
        <f>INDEX('ei names mapping'!$B$71:$R$100,MATCH(B77,'ei names mapping'!$A$4:$A$33,0),MATCH(G107,'ei names mapping'!$B$3:$R$3,0))</f>
        <v>motor scooter, 50 cubic cm engine</v>
      </c>
    </row>
    <row r="108" spans="1:8" s="21" customFormat="1" x14ac:dyDescent="0.3">
      <c r="A108" s="12" t="str">
        <f>INDEX('ei names mapping'!$B$4:$R$33,MATCH(B77,'ei names mapping'!$A$4:$A$33,0),MATCH(G108,'ei names mapping'!$B$3:$R$3,0))</f>
        <v>glider lightweighting</v>
      </c>
      <c r="B108" s="16">
        <f>INDEX('vehicles specifications'!$B$3:$CK$86,MATCH(B80,'vehicles specifications'!$A$3:$A$86,0),MATCH(G108,'vehicles specifications'!$B$2:$CK$2,0))*INDEX('ei names mapping'!$B$137:$BK$220,MATCH(B80,'ei names mapping'!$A$137:$A$220,0),MATCH(G108,'ei names mapping'!$B$136:$BK$136,0))</f>
        <v>0</v>
      </c>
      <c r="C108" s="12" t="str">
        <f>INDEX('ei names mapping'!$B$38:$R$67,MATCH(B77,'ei names mapping'!$A$4:$A$33,0),MATCH(G108,'ei names mapping'!$B$3:$R$3,0))</f>
        <v>GLO</v>
      </c>
      <c r="D108" s="12" t="str">
        <f>INDEX('ei names mapping'!$B$104:$R$133,MATCH(B77,'ei names mapping'!$A$104:$A$133,0),MATCH(G108,'ei names mapping'!$B$3:$R$3,0))</f>
        <v>kilogram</v>
      </c>
      <c r="E108" s="12"/>
      <c r="F108" s="12" t="s">
        <v>91</v>
      </c>
      <c r="G108" s="21" t="s">
        <v>14</v>
      </c>
      <c r="H108" s="12" t="str">
        <f>INDEX('ei names mapping'!$B$71:$R$100,MATCH(B77,'ei names mapping'!$A$4:$A$33,0),MATCH(G108,'ei names mapping'!$B$3:$R$3,0))</f>
        <v>glider lightweighting</v>
      </c>
    </row>
    <row r="109" spans="1:8" x14ac:dyDescent="0.3">
      <c r="A109" s="12" t="str">
        <f>INDEX('ei names mapping'!$B$4:$R$33,MATCH(B77,'ei names mapping'!$A$4:$A$33,0),MATCH(G109,'ei names mapping'!$B$3:$R$3,0))</f>
        <v>polyethylene production, high density, granulate</v>
      </c>
      <c r="B109" s="16">
        <f>INDEX('vehicles specifications'!$B$3:$CK$86,MATCH(B80,'vehicles specifications'!$A$3:$A$86,0),MATCH(G109,'vehicles specifications'!$B$2:$CK$2,0))*INDEX('ei names mapping'!$B$137:$BK$220,MATCH(B80,'ei names mapping'!$A$137:$A$220,0),MATCH(G109,'ei names mapping'!$B$136:$BK$136,0))</f>
        <v>0.78749999999999998</v>
      </c>
      <c r="C109" s="12" t="str">
        <f>INDEX('ei names mapping'!$B$38:$R$67,MATCH(B77,'ei names mapping'!$A$4:$A$33,0),MATCH(G109,'ei names mapping'!$B$3:$R$3,0))</f>
        <v>RER</v>
      </c>
      <c r="D109" s="12" t="str">
        <f>INDEX('ei names mapping'!$B$104:$R$133,MATCH(B77,'ei names mapping'!$A$104:$A$133,0),MATCH(G109,'ei names mapping'!$B$3:$R$3,0))</f>
        <v>kilogram</v>
      </c>
      <c r="E109" s="12"/>
      <c r="F109" s="12" t="s">
        <v>91</v>
      </c>
      <c r="G109" t="s">
        <v>24</v>
      </c>
      <c r="H109" s="12" t="str">
        <f>INDEX('ei names mapping'!$B$71:$R$100,MATCH(B77,'ei names mapping'!$A$4:$A$33,0),MATCH(G109,'ei names mapping'!$B$3:$R$3,0))</f>
        <v>polyethylene, high density, granulate</v>
      </c>
    </row>
    <row r="110" spans="1:8" s="21" customFormat="1" x14ac:dyDescent="0.3">
      <c r="A110" s="22" t="s">
        <v>468</v>
      </c>
      <c r="B110" s="21">
        <f>(B90/1000)*B101</f>
        <v>63</v>
      </c>
      <c r="C110" s="21" t="s">
        <v>94</v>
      </c>
      <c r="D110" s="21" t="s">
        <v>243</v>
      </c>
      <c r="F110" s="21" t="s">
        <v>91</v>
      </c>
      <c r="H110" s="22" t="s">
        <v>469</v>
      </c>
    </row>
    <row r="111" spans="1:8" s="21" customFormat="1" x14ac:dyDescent="0.3">
      <c r="A111" s="22" t="s">
        <v>467</v>
      </c>
      <c r="B111" s="2">
        <f>(B90/1000)*B100</f>
        <v>1001.7</v>
      </c>
      <c r="C111" s="21" t="s">
        <v>98</v>
      </c>
      <c r="D111" s="21" t="s">
        <v>243</v>
      </c>
      <c r="F111" s="21" t="s">
        <v>91</v>
      </c>
      <c r="H111" s="22" t="s">
        <v>467</v>
      </c>
    </row>
    <row r="113" spans="1:2" ht="15.6" x14ac:dyDescent="0.3">
      <c r="A113" s="11" t="s">
        <v>72</v>
      </c>
      <c r="B113" s="9" t="str">
        <f>B115&amp;", "&amp;B117</f>
        <v>Moped, gasoline, &lt;4kW, EURO-5, 2030</v>
      </c>
    </row>
    <row r="114" spans="1:2" x14ac:dyDescent="0.3">
      <c r="A114" t="s">
        <v>73</v>
      </c>
      <c r="B114" t="s">
        <v>37</v>
      </c>
    </row>
    <row r="115" spans="1:2" x14ac:dyDescent="0.3">
      <c r="A115" t="s">
        <v>87</v>
      </c>
      <c r="B115" t="s">
        <v>647</v>
      </c>
    </row>
    <row r="116" spans="1:2" x14ac:dyDescent="0.3">
      <c r="A116" t="s">
        <v>88</v>
      </c>
      <c r="B116" s="12"/>
    </row>
    <row r="117" spans="1:2" x14ac:dyDescent="0.3">
      <c r="A117" t="s">
        <v>89</v>
      </c>
      <c r="B117" s="12">
        <v>2030</v>
      </c>
    </row>
    <row r="118" spans="1:2" x14ac:dyDescent="0.3">
      <c r="A118" t="s">
        <v>131</v>
      </c>
      <c r="B118" s="12" t="str">
        <f>B115&amp;" - "&amp;B117&amp;" - "&amp;B114</f>
        <v>Moped, gasoline, &lt;4kW, EURO-5 - 2030 - CH</v>
      </c>
    </row>
    <row r="119" spans="1:2" x14ac:dyDescent="0.3">
      <c r="A119" t="s">
        <v>74</v>
      </c>
      <c r="B119" t="str">
        <f>B115</f>
        <v>Moped, gasoline, &lt;4kW, EURO-5</v>
      </c>
    </row>
    <row r="120" spans="1:2" x14ac:dyDescent="0.3">
      <c r="A120" t="s">
        <v>75</v>
      </c>
      <c r="B120" t="s">
        <v>76</v>
      </c>
    </row>
    <row r="121" spans="1:2" x14ac:dyDescent="0.3">
      <c r="A121" t="s">
        <v>77</v>
      </c>
      <c r="B121" t="s">
        <v>77</v>
      </c>
    </row>
    <row r="122" spans="1:2" x14ac:dyDescent="0.3">
      <c r="A122" t="s">
        <v>79</v>
      </c>
      <c r="B122" t="s">
        <v>90</v>
      </c>
    </row>
    <row r="123" spans="1:2" x14ac:dyDescent="0.3">
      <c r="A123" t="s">
        <v>132</v>
      </c>
      <c r="B123">
        <f>INDEX('vehicles specifications'!$B$3:$CK$86,MATCH(B118,'vehicles specifications'!$A$3:$A$86,0),MATCH("Lifetime [km]",'vehicles specifications'!$B$2:$CK$2,0))</f>
        <v>33400</v>
      </c>
    </row>
    <row r="124" spans="1:2" x14ac:dyDescent="0.3">
      <c r="A124" t="s">
        <v>133</v>
      </c>
      <c r="B124">
        <f>INDEX('vehicles specifications'!$B$3:$CK$86,MATCH(B118,'vehicles specifications'!$A$3:$A$86,0),MATCH("Passengers [unit]",'vehicles specifications'!$B$2:$CK$2,0))</f>
        <v>1</v>
      </c>
    </row>
    <row r="125" spans="1:2" x14ac:dyDescent="0.3">
      <c r="A125" t="s">
        <v>134</v>
      </c>
      <c r="B125">
        <f>INDEX('vehicles specifications'!$B$3:$CK$86,MATCH(B118,'vehicles specifications'!$A$3:$A$86,0),MATCH("Servicing [unit]",'vehicles specifications'!$B$2:$CK$2,0))</f>
        <v>1</v>
      </c>
    </row>
    <row r="126" spans="1:2" x14ac:dyDescent="0.3">
      <c r="A126" t="s">
        <v>135</v>
      </c>
      <c r="B126">
        <f>INDEX('vehicles specifications'!$B$3:$CK$86,MATCH(B118,'vehicles specifications'!$A$3:$A$86,0),MATCH("Energy battery replacement [unit]",'vehicles specifications'!$B$2:$CK$2,0))</f>
        <v>0</v>
      </c>
    </row>
    <row r="127" spans="1:2" x14ac:dyDescent="0.3">
      <c r="A127" t="s">
        <v>136</v>
      </c>
      <c r="B127">
        <f>INDEX('vehicles specifications'!$B$3:$CK$86,MATCH(B118,'vehicles specifications'!$A$3:$A$86,0),MATCH("Annual kilometers [km]",'vehicles specifications'!$B$2:$CK$2,0))</f>
        <v>2553</v>
      </c>
    </row>
    <row r="128" spans="1:2" x14ac:dyDescent="0.3">
      <c r="A128" t="s">
        <v>137</v>
      </c>
      <c r="B128" s="2">
        <f>INDEX('vehicles specifications'!$B$3:$CK$86,MATCH(B118,'vehicles specifications'!$A$3:$A$86,0),MATCH("Curb mass [kg]",'vehicles specifications'!$B$2:$CK$2,0))</f>
        <v>61.729124999999996</v>
      </c>
    </row>
    <row r="129" spans="1:8" x14ac:dyDescent="0.3">
      <c r="A129" t="s">
        <v>138</v>
      </c>
      <c r="B129">
        <f>INDEX('vehicles specifications'!$B$3:$CK$86,MATCH(B118,'vehicles specifications'!$A$3:$A$86,0),MATCH("Power [kW]",'vehicles specifications'!$B$2:$CK$2,0))</f>
        <v>2.5</v>
      </c>
    </row>
    <row r="130" spans="1:8" x14ac:dyDescent="0.3">
      <c r="A130" t="s">
        <v>139</v>
      </c>
      <c r="B130">
        <f>INDEX('vehicles specifications'!$B$3:$CK$86,MATCH(B118,'vehicles specifications'!$A$3:$A$86,0),MATCH("Energy battery mass [kg]",'vehicles specifications'!$B$2:$CK$2,0))</f>
        <v>0</v>
      </c>
    </row>
    <row r="131" spans="1:8" x14ac:dyDescent="0.3">
      <c r="A131" t="s">
        <v>140</v>
      </c>
      <c r="B131">
        <f>INDEX('vehicles specifications'!$B$3:$CK$86,MATCH(B118,'vehicles specifications'!$A$3:$A$86,0),MATCH("Electric energy available [kWh]",'vehicles specifications'!$B$2:$CK$2,0))</f>
        <v>0</v>
      </c>
    </row>
    <row r="132" spans="1:8" x14ac:dyDescent="0.3">
      <c r="A132" t="s">
        <v>143</v>
      </c>
      <c r="B132" s="2">
        <f>INDEX('vehicles specifications'!$B$3:$CK$86,MATCH(B118,'vehicles specifications'!$A$3:$A$86,0),MATCH("Oxydation energy stored [kWh]",'vehicles specifications'!$B$2:$CK$2,0))</f>
        <v>61.833333333333329</v>
      </c>
    </row>
    <row r="133" spans="1:8" x14ac:dyDescent="0.3">
      <c r="A133" t="s">
        <v>145</v>
      </c>
      <c r="B133">
        <f>INDEX('vehicles specifications'!$B$3:$CK$86,MATCH(B118,'vehicles specifications'!$A$3:$A$86,0),MATCH("Fuel mass [kg]",'vehicles specifications'!$B$2:$CK$2,0))</f>
        <v>5.25</v>
      </c>
    </row>
    <row r="134" spans="1:8" x14ac:dyDescent="0.3">
      <c r="A134" t="s">
        <v>141</v>
      </c>
      <c r="B134" s="2">
        <f>INDEX('vehicles specifications'!$B$3:$CK$86,MATCH(B118,'vehicles specifications'!$A$3:$A$86,0),MATCH("Range [km]",'vehicles specifications'!$B$2:$CK$2,0))</f>
        <v>273.24633182489572</v>
      </c>
    </row>
    <row r="135" spans="1:8" x14ac:dyDescent="0.3">
      <c r="A135" t="s">
        <v>142</v>
      </c>
      <c r="B135" t="str">
        <f>INDEX('vehicles specifications'!$B$3:$CK$86,MATCH(B118,'vehicles specifications'!$A$3:$A$86,0),MATCH("Emission standard",'vehicles specifications'!$B$2:$CK$2,0))</f>
        <v>EURO-5</v>
      </c>
    </row>
    <row r="136" spans="1:8" x14ac:dyDescent="0.3">
      <c r="A136" t="s">
        <v>144</v>
      </c>
      <c r="B136" s="6">
        <f>INDEX('vehicles specifications'!$B$3:$CK$86,MATCH(B118,'vehicles specifications'!$A$3:$A$86,0),MATCH("Lightweighting rate [%]",'vehicles specifications'!$B$2:$CK$2,0))</f>
        <v>0.03</v>
      </c>
    </row>
    <row r="137" spans="1:8" s="21" customFormat="1" x14ac:dyDescent="0.3">
      <c r="A137" s="21" t="s">
        <v>513</v>
      </c>
      <c r="B137" s="6" t="s">
        <v>514</v>
      </c>
    </row>
    <row r="138" spans="1:8" s="21" customFormat="1" x14ac:dyDescent="0.3">
      <c r="A138" s="21" t="s">
        <v>515</v>
      </c>
      <c r="B138" s="2">
        <v>15900</v>
      </c>
    </row>
    <row r="139" spans="1:8" s="21" customFormat="1" x14ac:dyDescent="0.3">
      <c r="A139" s="21" t="s">
        <v>516</v>
      </c>
      <c r="B139" s="2">
        <v>1000</v>
      </c>
    </row>
    <row r="140" spans="1:8" s="21" customFormat="1" x14ac:dyDescent="0.3">
      <c r="A140" s="21" t="s">
        <v>84</v>
      </c>
      <c r="B140" s="21" t="str">
        <f>"Power: "&amp;B129&amp;" kW. Lifetime: "&amp;B123&amp;" km. Annual kilometers: "&amp;ROUND(B127,0)&amp;" km. Number of passengers: "&amp;ROUND(B124,1)&amp;". Curb mass: "&amp;ROUND(B128,1)&amp;" kg. Lightweighting of glider: "&amp;ROUND(B136*100,0)&amp;"%. Emission standard: "&amp;B135&amp;". Service visits throughout lifetime: "&amp;ROUND(B125,1)&amp;". Range: "&amp;ROUND(B134,0)&amp;" km. Battery capacity: "&amp;ROUND(B131,1)&amp;" kWh. Battery mass: "&amp;ROUND(B130,1)&amp; " kg. Battery replacement throughout lifetime: "&amp;ROUND(B126,1)&amp;". Fuel tank capacity: "&amp;ROUND(B132,1)&amp;" kWh. Fuel mass: "&amp;ROUND(B133,1)&amp;" kg. Origin of manufacture: "&amp;B137&amp;". Shipping distance: "&amp;B138&amp;" km. Lorry distribution distance: "&amp;B139&amp;" km. Documentation: "&amp;Readmefirst!$B$2&amp;", "&amp;Readmefirst!$B$3&amp;". "&amp;B122</f>
        <v>Power: 2.5 kW. Lifetime: 33400 km. Annual kilometers: 2553 km. Number of passengers: 1. Curb mass: 61.7 kg. Lightweighting of glider: 3%. Emission standard: EURO-5. Service visits throughout lifetime: 1. Range: 273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1" spans="1:8" ht="15.6" x14ac:dyDescent="0.3">
      <c r="A141" s="11" t="s">
        <v>80</v>
      </c>
    </row>
    <row r="142" spans="1:8" x14ac:dyDescent="0.3">
      <c r="A142" t="s">
        <v>81</v>
      </c>
      <c r="B142" t="s">
        <v>82</v>
      </c>
      <c r="C142" t="s">
        <v>73</v>
      </c>
      <c r="D142" t="s">
        <v>77</v>
      </c>
      <c r="E142" t="s">
        <v>83</v>
      </c>
      <c r="F142" t="s">
        <v>75</v>
      </c>
      <c r="G142" t="s">
        <v>84</v>
      </c>
      <c r="H142" t="s">
        <v>74</v>
      </c>
    </row>
    <row r="143" spans="1:8" x14ac:dyDescent="0.3">
      <c r="A143" s="12" t="str">
        <f>B113</f>
        <v>Moped, gasoline, &lt;4kW, EURO-5, 2030</v>
      </c>
      <c r="B143" s="12">
        <v>1</v>
      </c>
      <c r="C143" s="12" t="str">
        <f>B114</f>
        <v>CH</v>
      </c>
      <c r="D143" s="12" t="str">
        <f>B121</f>
        <v>unit</v>
      </c>
      <c r="E143" s="12"/>
      <c r="F143" s="12" t="s">
        <v>85</v>
      </c>
      <c r="G143" s="12" t="s">
        <v>86</v>
      </c>
      <c r="H143" s="12" t="str">
        <f>B115</f>
        <v>Moped, gasoline, &lt;4kW, EURO-5</v>
      </c>
    </row>
    <row r="144" spans="1:8" x14ac:dyDescent="0.3">
      <c r="A144" s="12" t="str">
        <f>INDEX('ei names mapping'!$B$4:$R$33,MATCH(B115,'ei names mapping'!$A$4:$A$33,0),MATCH(G144,'ei names mapping'!$B$3:$R$3,0))</f>
        <v>motor scooter production</v>
      </c>
      <c r="B144" s="16">
        <f>INDEX('vehicles specifications'!$B$3:$CK$86,MATCH(B118,'vehicles specifications'!$A$3:$A$86,0),MATCH(G144,'vehicles specifications'!$B$2:$CK$2,0))*INDEX('ei names mapping'!$B$137:$BK$220,MATCH(B118,'ei names mapping'!$A$137:$A$220,0),MATCH(G144,'ei names mapping'!$B$136:$BK$136,0))</f>
        <v>0.47069444444444442</v>
      </c>
      <c r="C144" s="12" t="str">
        <f>INDEX('ei names mapping'!$B$38:$R$67,MATCH(B115,'ei names mapping'!$A$4:$A$33,0),MATCH(G144,'ei names mapping'!$B$3:$R$3,0))</f>
        <v>RER</v>
      </c>
      <c r="D144" s="12" t="str">
        <f>INDEX('ei names mapping'!$B$104:$R$133,MATCH(B115,'ei names mapping'!$A$104:$A$133,0),MATCH(G144,'ei names mapping'!$B$3:$R$3,0))</f>
        <v>unit</v>
      </c>
      <c r="E144" s="12"/>
      <c r="F144" s="12" t="s">
        <v>91</v>
      </c>
      <c r="G144" s="21" t="s">
        <v>15</v>
      </c>
      <c r="H144" s="12" t="str">
        <f>INDEX('ei names mapping'!$B$71:$R$100,MATCH(B115,'ei names mapping'!$A$4:$A$33,0),MATCH(G144,'ei names mapping'!$B$3:$R$3,0))</f>
        <v>motor scooter, 50 cubic cm engine</v>
      </c>
    </row>
    <row r="145" spans="1:8" x14ac:dyDescent="0.3">
      <c r="A145" s="12" t="str">
        <f>INDEX('ei names mapping'!$B$4:$R$33,MATCH(B115,'ei names mapping'!$A$4:$A$33,0),MATCH(G145,'ei names mapping'!$B$3:$R$3,0))</f>
        <v>motor scooter production</v>
      </c>
      <c r="B145" s="16">
        <f>INDEX('vehicles specifications'!$B$3:$CK$86,MATCH(B118,'vehicles specifications'!$A$3:$A$86,0),MATCH(G145,'vehicles specifications'!$B$2:$CK$2,0))*INDEX('ei names mapping'!$B$137:$BK$220,MATCH(B118,'ei names mapping'!$A$137:$A$220,0),MATCH(G145,'ei names mapping'!$B$136:$BK$136,0))</f>
        <v>0.16222222222222221</v>
      </c>
      <c r="C145" s="12" t="str">
        <f>INDEX('ei names mapping'!$B$38:$R$67,MATCH(B115,'ei names mapping'!$A$4:$A$33,0),MATCH(G145,'ei names mapping'!$B$3:$R$3,0))</f>
        <v>RER</v>
      </c>
      <c r="D145" s="12" t="str">
        <f>INDEX('ei names mapping'!$B$104:$R$133,MATCH(B115,'ei names mapping'!$A$104:$A$133,0),MATCH(G145,'ei names mapping'!$B$3:$R$3,0))</f>
        <v>unit</v>
      </c>
      <c r="E145" s="12"/>
      <c r="F145" s="12" t="s">
        <v>91</v>
      </c>
      <c r="G145" t="s">
        <v>16</v>
      </c>
      <c r="H145" s="12" t="str">
        <f>INDEX('ei names mapping'!$B$71:$R$100,MATCH(B115,'ei names mapping'!$A$4:$A$33,0),MATCH(G145,'ei names mapping'!$B$3:$R$3,0))</f>
        <v>motor scooter, 50 cubic cm engine</v>
      </c>
    </row>
    <row r="146" spans="1:8" s="21" customFormat="1" x14ac:dyDescent="0.3">
      <c r="A146" s="12" t="str">
        <f>INDEX('ei names mapping'!$B$4:$R$33,MATCH(B115,'ei names mapping'!$A$4:$A$33,0),MATCH(G146,'ei names mapping'!$B$3:$R$3,0))</f>
        <v>glider lightweighting</v>
      </c>
      <c r="B146" s="16">
        <f>INDEX('vehicles specifications'!$B$3:$CK$86,MATCH(B118,'vehicles specifications'!$A$3:$A$86,0),MATCH(G146,'vehicles specifications'!$B$2:$CK$2,0))*INDEX('ei names mapping'!$B$137:$BK$220,MATCH(B118,'ei names mapping'!$A$137:$A$220,0),MATCH(G146,'ei names mapping'!$B$136:$BK$136,0))</f>
        <v>1.270875</v>
      </c>
      <c r="C146" s="12" t="str">
        <f>INDEX('ei names mapping'!$B$38:$R$67,MATCH(B115,'ei names mapping'!$A$4:$A$33,0),MATCH(G146,'ei names mapping'!$B$3:$R$3,0))</f>
        <v>GLO</v>
      </c>
      <c r="D146" s="12" t="str">
        <f>INDEX('ei names mapping'!$B$104:$R$133,MATCH(B115,'ei names mapping'!$A$104:$A$133,0),MATCH(G146,'ei names mapping'!$B$3:$R$3,0))</f>
        <v>kilogram</v>
      </c>
      <c r="E146" s="12"/>
      <c r="F146" s="12" t="s">
        <v>91</v>
      </c>
      <c r="G146" s="21" t="s">
        <v>14</v>
      </c>
      <c r="H146" s="12" t="str">
        <f>INDEX('ei names mapping'!$B$71:$R$100,MATCH(B115,'ei names mapping'!$A$4:$A$33,0),MATCH(G146,'ei names mapping'!$B$3:$R$3,0))</f>
        <v>glider lightweighting</v>
      </c>
    </row>
    <row r="147" spans="1:8" x14ac:dyDescent="0.3">
      <c r="A147" s="12" t="str">
        <f>INDEX('ei names mapping'!$B$4:$R$33,MATCH(B115,'ei names mapping'!$A$4:$A$33,0),MATCH(G147,'ei names mapping'!$B$3:$R$3,0))</f>
        <v>polyethylene production, high density, granulate</v>
      </c>
      <c r="B147" s="16">
        <f>INDEX('vehicles specifications'!$B$3:$CK$86,MATCH(B118,'vehicles specifications'!$A$3:$A$86,0),MATCH(G147,'vehicles specifications'!$B$2:$CK$2,0))*INDEX('ei names mapping'!$B$137:$BK$220,MATCH(B118,'ei names mapping'!$A$137:$A$220,0),MATCH(G147,'ei names mapping'!$B$136:$BK$136,0))</f>
        <v>0.78749999999999998</v>
      </c>
      <c r="C147" s="12" t="str">
        <f>INDEX('ei names mapping'!$B$38:$R$67,MATCH(B115,'ei names mapping'!$A$4:$A$33,0),MATCH(G147,'ei names mapping'!$B$3:$R$3,0))</f>
        <v>RER</v>
      </c>
      <c r="D147" s="12" t="str">
        <f>INDEX('ei names mapping'!$B$104:$R$133,MATCH(B115,'ei names mapping'!$A$104:$A$133,0),MATCH(G147,'ei names mapping'!$B$3:$R$3,0))</f>
        <v>kilogram</v>
      </c>
      <c r="E147" s="12"/>
      <c r="F147" s="12" t="s">
        <v>91</v>
      </c>
      <c r="G147" t="s">
        <v>24</v>
      </c>
      <c r="H147" s="12" t="str">
        <f>INDEX('ei names mapping'!$B$71:$R$100,MATCH(B115,'ei names mapping'!$A$4:$A$33,0),MATCH(G147,'ei names mapping'!$B$3:$R$3,0))</f>
        <v>polyethylene, high density, granulate</v>
      </c>
    </row>
    <row r="148" spans="1:8" s="21" customFormat="1" x14ac:dyDescent="0.3">
      <c r="A148" s="22" t="s">
        <v>468</v>
      </c>
      <c r="B148" s="21">
        <f>(B128/1000)*B139</f>
        <v>61.729124999999996</v>
      </c>
      <c r="C148" s="21" t="s">
        <v>94</v>
      </c>
      <c r="D148" s="21" t="s">
        <v>243</v>
      </c>
      <c r="F148" s="21" t="s">
        <v>91</v>
      </c>
      <c r="H148" s="22" t="s">
        <v>469</v>
      </c>
    </row>
    <row r="149" spans="1:8" s="21" customFormat="1" x14ac:dyDescent="0.3">
      <c r="A149" s="22" t="s">
        <v>467</v>
      </c>
      <c r="B149" s="2">
        <f>(B128/1000)*B138</f>
        <v>981.49308749999989</v>
      </c>
      <c r="C149" s="21" t="s">
        <v>98</v>
      </c>
      <c r="D149" s="21" t="s">
        <v>243</v>
      </c>
      <c r="F149" s="21" t="s">
        <v>91</v>
      </c>
      <c r="H149" s="22" t="s">
        <v>467</v>
      </c>
    </row>
    <row r="151" spans="1:8" ht="15.6" x14ac:dyDescent="0.3">
      <c r="A151" s="11" t="s">
        <v>72</v>
      </c>
      <c r="B151" s="9" t="str">
        <f>B153&amp;", "&amp;B155</f>
        <v>Moped, gasoline, &lt;4kW, EURO-5, 2040</v>
      </c>
    </row>
    <row r="152" spans="1:8" x14ac:dyDescent="0.3">
      <c r="A152" t="s">
        <v>73</v>
      </c>
      <c r="B152" t="s">
        <v>37</v>
      </c>
    </row>
    <row r="153" spans="1:8" x14ac:dyDescent="0.3">
      <c r="A153" t="s">
        <v>87</v>
      </c>
      <c r="B153" t="s">
        <v>647</v>
      </c>
    </row>
    <row r="154" spans="1:8" x14ac:dyDescent="0.3">
      <c r="A154" t="s">
        <v>88</v>
      </c>
      <c r="B154" s="12"/>
    </row>
    <row r="155" spans="1:8" x14ac:dyDescent="0.3">
      <c r="A155" t="s">
        <v>89</v>
      </c>
      <c r="B155" s="12">
        <v>2040</v>
      </c>
    </row>
    <row r="156" spans="1:8" x14ac:dyDescent="0.3">
      <c r="A156" t="s">
        <v>131</v>
      </c>
      <c r="B156" s="12" t="str">
        <f>B153&amp;" - "&amp;B155&amp;" - "&amp;B152</f>
        <v>Moped, gasoline, &lt;4kW, EURO-5 - 2040 - CH</v>
      </c>
    </row>
    <row r="157" spans="1:8" x14ac:dyDescent="0.3">
      <c r="A157" t="s">
        <v>74</v>
      </c>
      <c r="B157" t="str">
        <f>B153</f>
        <v>Moped, gasoline, &lt;4kW, EURO-5</v>
      </c>
    </row>
    <row r="158" spans="1:8" x14ac:dyDescent="0.3">
      <c r="A158" t="s">
        <v>75</v>
      </c>
      <c r="B158" t="s">
        <v>76</v>
      </c>
    </row>
    <row r="159" spans="1:8" x14ac:dyDescent="0.3">
      <c r="A159" t="s">
        <v>77</v>
      </c>
      <c r="B159" t="s">
        <v>77</v>
      </c>
    </row>
    <row r="160" spans="1:8" x14ac:dyDescent="0.3">
      <c r="A160" t="s">
        <v>79</v>
      </c>
      <c r="B160" t="s">
        <v>90</v>
      </c>
    </row>
    <row r="161" spans="1:2" x14ac:dyDescent="0.3">
      <c r="A161" t="s">
        <v>132</v>
      </c>
      <c r="B161">
        <f>INDEX('vehicles specifications'!$B$3:$CK$86,MATCH(B156,'vehicles specifications'!$A$3:$A$86,0),MATCH("Lifetime [km]",'vehicles specifications'!$B$2:$CK$2,0))</f>
        <v>33400</v>
      </c>
    </row>
    <row r="162" spans="1:2" x14ac:dyDescent="0.3">
      <c r="A162" t="s">
        <v>133</v>
      </c>
      <c r="B162">
        <f>INDEX('vehicles specifications'!$B$3:$CK$86,MATCH(B156,'vehicles specifications'!$A$3:$A$86,0),MATCH("Passengers [unit]",'vehicles specifications'!$B$2:$CK$2,0))</f>
        <v>1</v>
      </c>
    </row>
    <row r="163" spans="1:2" x14ac:dyDescent="0.3">
      <c r="A163" t="s">
        <v>134</v>
      </c>
      <c r="B163">
        <f>INDEX('vehicles specifications'!$B$3:$CK$86,MATCH(B156,'vehicles specifications'!$A$3:$A$86,0),MATCH("Servicing [unit]",'vehicles specifications'!$B$2:$CK$2,0))</f>
        <v>1</v>
      </c>
    </row>
    <row r="164" spans="1:2" x14ac:dyDescent="0.3">
      <c r="A164" t="s">
        <v>135</v>
      </c>
      <c r="B164">
        <f>INDEX('vehicles specifications'!$B$3:$CK$86,MATCH(B156,'vehicles specifications'!$A$3:$A$86,0),MATCH("Energy battery replacement [unit]",'vehicles specifications'!$B$2:$CK$2,0))</f>
        <v>0</v>
      </c>
    </row>
    <row r="165" spans="1:2" x14ac:dyDescent="0.3">
      <c r="A165" t="s">
        <v>136</v>
      </c>
      <c r="B165">
        <f>INDEX('vehicles specifications'!$B$3:$CK$86,MATCH(B156,'vehicles specifications'!$A$3:$A$86,0),MATCH("Annual kilometers [km]",'vehicles specifications'!$B$2:$CK$2,0))</f>
        <v>2553</v>
      </c>
    </row>
    <row r="166" spans="1:2" x14ac:dyDescent="0.3">
      <c r="A166" t="s">
        <v>137</v>
      </c>
      <c r="B166" s="2">
        <f>INDEX('vehicles specifications'!$B$3:$CK$86,MATCH(B156,'vehicles specifications'!$A$3:$A$86,0),MATCH("Curb mass [kg]",'vehicles specifications'!$B$2:$CK$2,0))</f>
        <v>60.856874999999995</v>
      </c>
    </row>
    <row r="167" spans="1:2" x14ac:dyDescent="0.3">
      <c r="A167" t="s">
        <v>138</v>
      </c>
      <c r="B167">
        <f>INDEX('vehicles specifications'!$B$3:$CK$86,MATCH(B156,'vehicles specifications'!$A$3:$A$86,0),MATCH("Power [kW]",'vehicles specifications'!$B$2:$CK$2,0))</f>
        <v>2.5</v>
      </c>
    </row>
    <row r="168" spans="1:2" x14ac:dyDescent="0.3">
      <c r="A168" t="s">
        <v>139</v>
      </c>
      <c r="B168">
        <f>INDEX('vehicles specifications'!$B$3:$CK$86,MATCH(B156,'vehicles specifications'!$A$3:$A$86,0),MATCH("Energy battery mass [kg]",'vehicles specifications'!$B$2:$CK$2,0))</f>
        <v>0</v>
      </c>
    </row>
    <row r="169" spans="1:2" x14ac:dyDescent="0.3">
      <c r="A169" t="s">
        <v>140</v>
      </c>
      <c r="B169">
        <f>INDEX('vehicles specifications'!$B$3:$CK$86,MATCH(B156,'vehicles specifications'!$A$3:$A$86,0),MATCH("Electric energy available [kWh]",'vehicles specifications'!$B$2:$CK$2,0))</f>
        <v>0</v>
      </c>
    </row>
    <row r="170" spans="1:2" x14ac:dyDescent="0.3">
      <c r="A170" t="s">
        <v>143</v>
      </c>
      <c r="B170" s="2">
        <f>INDEX('vehicles specifications'!$B$3:$CK$86,MATCH(B156,'vehicles specifications'!$A$3:$A$86,0),MATCH("Oxydation energy stored [kWh]",'vehicles specifications'!$B$2:$CK$2,0))</f>
        <v>61.833333333333329</v>
      </c>
    </row>
    <row r="171" spans="1:2" x14ac:dyDescent="0.3">
      <c r="A171" t="s">
        <v>145</v>
      </c>
      <c r="B171">
        <f>INDEX('vehicles specifications'!$B$3:$CK$86,MATCH(B156,'vehicles specifications'!$A$3:$A$86,0),MATCH("Fuel mass [kg]",'vehicles specifications'!$B$2:$CK$2,0))</f>
        <v>5.25</v>
      </c>
    </row>
    <row r="172" spans="1:2" x14ac:dyDescent="0.3">
      <c r="A172" t="s">
        <v>141</v>
      </c>
      <c r="B172" s="2">
        <f>INDEX('vehicles specifications'!$B$3:$CK$86,MATCH(B156,'vehicles specifications'!$A$3:$A$86,0),MATCH("Range [km]",'vehicles specifications'!$B$2:$CK$2,0))</f>
        <v>276.0063957827229</v>
      </c>
    </row>
    <row r="173" spans="1:2" x14ac:dyDescent="0.3">
      <c r="A173" t="s">
        <v>142</v>
      </c>
      <c r="B173" t="str">
        <f>INDEX('vehicles specifications'!$B$3:$CK$86,MATCH(B156,'vehicles specifications'!$A$3:$A$86,0),MATCH("Emission standard",'vehicles specifications'!$B$2:$CK$2,0))</f>
        <v>EURO-5</v>
      </c>
    </row>
    <row r="174" spans="1:2" x14ac:dyDescent="0.3">
      <c r="A174" t="s">
        <v>144</v>
      </c>
      <c r="B174" s="6">
        <f>INDEX('vehicles specifications'!$B$3:$CK$86,MATCH(B156,'vehicles specifications'!$A$3:$A$86,0),MATCH("Lightweighting rate [%]",'vehicles specifications'!$B$2:$CK$2,0))</f>
        <v>0.05</v>
      </c>
    </row>
    <row r="175" spans="1:2" s="21" customFormat="1" x14ac:dyDescent="0.3">
      <c r="A175" s="21" t="s">
        <v>513</v>
      </c>
      <c r="B175" s="6" t="s">
        <v>514</v>
      </c>
    </row>
    <row r="176" spans="1:2" s="21" customFormat="1" x14ac:dyDescent="0.3">
      <c r="A176" s="21" t="s">
        <v>515</v>
      </c>
      <c r="B176" s="2">
        <v>15900</v>
      </c>
    </row>
    <row r="177" spans="1:8" s="21" customFormat="1" x14ac:dyDescent="0.3">
      <c r="A177" s="21" t="s">
        <v>516</v>
      </c>
      <c r="B177" s="2">
        <v>1000</v>
      </c>
    </row>
    <row r="178" spans="1:8" s="21" customFormat="1" x14ac:dyDescent="0.3">
      <c r="A178" s="21" t="s">
        <v>84</v>
      </c>
      <c r="B178" s="21" t="str">
        <f>"Power: "&amp;B167&amp;" kW. Lifetime: "&amp;B161&amp;" km. Annual kilometers: "&amp;ROUND(B165,0)&amp;" km. Number of passengers: "&amp;ROUND(B162,1)&amp;". Curb mass: "&amp;ROUND(B166,1)&amp;" kg. Lightweighting of glider: "&amp;ROUND(B174*100,0)&amp;"%. Emission standard: "&amp;B173&amp;". Service visits throughout lifetime: "&amp;ROUND(B163,1)&amp;". Range: "&amp;ROUND(B172,0)&amp;" km. Battery capacity: "&amp;ROUND(B169,1)&amp;" kWh. Battery mass: "&amp;ROUND(B168,1)&amp; " kg. Battery replacement throughout lifetime: "&amp;ROUND(B164,1)&amp;". Fuel tank capacity: "&amp;ROUND(B170,1)&amp;" kWh. Fuel mass: "&amp;ROUND(B171,1)&amp;" kg. Origin of manufacture: "&amp;B175&amp;". Shipping distance: "&amp;B176&amp;" km. Lorry distribution distance: "&amp;B177&amp;" km. Documentation: "&amp;Readmefirst!$B$2&amp;", "&amp;Readmefirst!$B$3&amp;". "&amp;B160</f>
        <v>Power: 2.5 kW. Lifetime: 33400 km. Annual kilometers: 2553 km. Number of passengers: 1. Curb mass: 60.9 kg. Lightweighting of glider: 5%. Emission standard: EURO-5. Service visits throughout lifetime: 1. Range: 276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9" spans="1:8" ht="15.6" x14ac:dyDescent="0.3">
      <c r="A179" s="11" t="s">
        <v>80</v>
      </c>
    </row>
    <row r="180" spans="1:8" x14ac:dyDescent="0.3">
      <c r="A180" t="s">
        <v>81</v>
      </c>
      <c r="B180" t="s">
        <v>82</v>
      </c>
      <c r="C180" t="s">
        <v>73</v>
      </c>
      <c r="D180" t="s">
        <v>77</v>
      </c>
      <c r="E180" t="s">
        <v>83</v>
      </c>
      <c r="F180" t="s">
        <v>75</v>
      </c>
      <c r="G180" t="s">
        <v>84</v>
      </c>
      <c r="H180" t="s">
        <v>74</v>
      </c>
    </row>
    <row r="181" spans="1:8" x14ac:dyDescent="0.3">
      <c r="A181" s="12" t="str">
        <f>B151</f>
        <v>Moped, gasoline, &lt;4kW, EURO-5, 2040</v>
      </c>
      <c r="B181" s="12">
        <v>1</v>
      </c>
      <c r="C181" s="12" t="str">
        <f>B152</f>
        <v>CH</v>
      </c>
      <c r="D181" s="12" t="str">
        <f>B159</f>
        <v>unit</v>
      </c>
      <c r="E181" s="12"/>
      <c r="F181" s="12" t="s">
        <v>85</v>
      </c>
      <c r="G181" s="12" t="s">
        <v>86</v>
      </c>
      <c r="H181" s="12" t="str">
        <f>B153</f>
        <v>Moped, gasoline, &lt;4kW, EURO-5</v>
      </c>
    </row>
    <row r="182" spans="1:8" x14ac:dyDescent="0.3">
      <c r="A182" s="12" t="str">
        <f>INDEX('ei names mapping'!$B$4:$R$33,MATCH(B153,'ei names mapping'!$A$4:$A$33,0),MATCH(G182,'ei names mapping'!$B$3:$R$3,0))</f>
        <v>motor scooter production</v>
      </c>
      <c r="B182" s="16">
        <f>INDEX('vehicles specifications'!$B$3:$CK$86,MATCH(B156,'vehicles specifications'!$A$3:$A$86,0),MATCH(G182,'vehicles specifications'!$B$2:$CK$2,0))*INDEX('ei names mapping'!$B$137:$BK$220,MATCH(B156,'ei names mapping'!$A$137:$A$220,0),MATCH(G182,'ei names mapping'!$B$136:$BK$136,0))</f>
        <v>0.47625000000000001</v>
      </c>
      <c r="C182" s="12" t="str">
        <f>INDEX('ei names mapping'!$B$38:$R$67,MATCH(B153,'ei names mapping'!$A$4:$A$33,0),MATCH(G182,'ei names mapping'!$B$3:$R$3,0))</f>
        <v>RER</v>
      </c>
      <c r="D182" s="12" t="str">
        <f>INDEX('ei names mapping'!$B$104:$R$133,MATCH(B153,'ei names mapping'!$A$104:$A$133,0),MATCH(G182,'ei names mapping'!$B$3:$R$3,0))</f>
        <v>unit</v>
      </c>
      <c r="E182" s="12"/>
      <c r="F182" s="12" t="s">
        <v>91</v>
      </c>
      <c r="G182" s="21" t="s">
        <v>15</v>
      </c>
      <c r="H182" s="12" t="str">
        <f>INDEX('ei names mapping'!$B$71:$R$100,MATCH(B153,'ei names mapping'!$A$4:$A$33,0),MATCH(G182,'ei names mapping'!$B$3:$R$3,0))</f>
        <v>motor scooter, 50 cubic cm engine</v>
      </c>
    </row>
    <row r="183" spans="1:8" x14ac:dyDescent="0.3">
      <c r="A183" s="12" t="str">
        <f>INDEX('ei names mapping'!$B$4:$R$33,MATCH(B153,'ei names mapping'!$A$4:$A$33,0),MATCH(G183,'ei names mapping'!$B$3:$R$3,0))</f>
        <v>motor scooter production</v>
      </c>
      <c r="B183" s="16">
        <f>INDEX('vehicles specifications'!$B$3:$CK$86,MATCH(B156,'vehicles specifications'!$A$3:$A$86,0),MATCH(G183,'vehicles specifications'!$B$2:$CK$2,0))*INDEX('ei names mapping'!$B$137:$BK$220,MATCH(B156,'ei names mapping'!$A$137:$A$220,0),MATCH(G183,'ei names mapping'!$B$136:$BK$136,0))</f>
        <v>0.15666666666666668</v>
      </c>
      <c r="C183" s="12" t="str">
        <f>INDEX('ei names mapping'!$B$38:$R$67,MATCH(B153,'ei names mapping'!$A$4:$A$33,0),MATCH(G183,'ei names mapping'!$B$3:$R$3,0))</f>
        <v>RER</v>
      </c>
      <c r="D183" s="12" t="str">
        <f>INDEX('ei names mapping'!$B$104:$R$133,MATCH(B153,'ei names mapping'!$A$104:$A$133,0),MATCH(G183,'ei names mapping'!$B$3:$R$3,0))</f>
        <v>unit</v>
      </c>
      <c r="E183" s="12"/>
      <c r="F183" s="12" t="s">
        <v>91</v>
      </c>
      <c r="G183" t="s">
        <v>16</v>
      </c>
      <c r="H183" s="12" t="str">
        <f>INDEX('ei names mapping'!$B$71:$R$100,MATCH(B153,'ei names mapping'!$A$4:$A$33,0),MATCH(G183,'ei names mapping'!$B$3:$R$3,0))</f>
        <v>motor scooter, 50 cubic cm engine</v>
      </c>
    </row>
    <row r="184" spans="1:8" s="21" customFormat="1" x14ac:dyDescent="0.3">
      <c r="A184" s="12" t="str">
        <f>INDEX('ei names mapping'!$B$4:$R$33,MATCH(B153,'ei names mapping'!$A$4:$A$33,0),MATCH(G184,'ei names mapping'!$B$3:$R$3,0))</f>
        <v>glider lightweighting</v>
      </c>
      <c r="B184" s="16">
        <f>INDEX('vehicles specifications'!$B$3:$CK$86,MATCH(B156,'vehicles specifications'!$A$3:$A$86,0),MATCH(G184,'vehicles specifications'!$B$2:$CK$2,0))*INDEX('ei names mapping'!$B$137:$BK$220,MATCH(B156,'ei names mapping'!$A$137:$A$220,0),MATCH(G184,'ei names mapping'!$B$136:$BK$136,0))</f>
        <v>2.1431249999999999</v>
      </c>
      <c r="C184" s="12" t="str">
        <f>INDEX('ei names mapping'!$B$38:$R$67,MATCH(B153,'ei names mapping'!$A$4:$A$33,0),MATCH(G184,'ei names mapping'!$B$3:$R$3,0))</f>
        <v>GLO</v>
      </c>
      <c r="D184" s="12" t="str">
        <f>INDEX('ei names mapping'!$B$104:$R$133,MATCH(B153,'ei names mapping'!$A$104:$A$133,0),MATCH(G184,'ei names mapping'!$B$3:$R$3,0))</f>
        <v>kilogram</v>
      </c>
      <c r="E184" s="12"/>
      <c r="F184" s="12" t="s">
        <v>91</v>
      </c>
      <c r="G184" s="21" t="s">
        <v>14</v>
      </c>
      <c r="H184" s="12" t="str">
        <f>INDEX('ei names mapping'!$B$71:$R$100,MATCH(B153,'ei names mapping'!$A$4:$A$33,0),MATCH(G184,'ei names mapping'!$B$3:$R$3,0))</f>
        <v>glider lightweighting</v>
      </c>
    </row>
    <row r="185" spans="1:8" x14ac:dyDescent="0.3">
      <c r="A185" s="12" t="str">
        <f>INDEX('ei names mapping'!$B$4:$R$33,MATCH(B153,'ei names mapping'!$A$4:$A$33,0),MATCH(G185,'ei names mapping'!$B$3:$R$3,0))</f>
        <v>polyethylene production, high density, granulate</v>
      </c>
      <c r="B185" s="16">
        <f>INDEX('vehicles specifications'!$B$3:$CK$86,MATCH(B156,'vehicles specifications'!$A$3:$A$86,0),MATCH(G185,'vehicles specifications'!$B$2:$CK$2,0))*INDEX('ei names mapping'!$B$137:$BK$220,MATCH(B156,'ei names mapping'!$A$137:$A$220,0),MATCH(G185,'ei names mapping'!$B$136:$BK$136,0))</f>
        <v>0.78749999999999998</v>
      </c>
      <c r="C185" s="12" t="str">
        <f>INDEX('ei names mapping'!$B$38:$R$67,MATCH(B153,'ei names mapping'!$A$4:$A$33,0),MATCH(G185,'ei names mapping'!$B$3:$R$3,0))</f>
        <v>RER</v>
      </c>
      <c r="D185" s="12" t="str">
        <f>INDEX('ei names mapping'!$B$104:$R$133,MATCH(B153,'ei names mapping'!$A$104:$A$133,0),MATCH(G185,'ei names mapping'!$B$3:$R$3,0))</f>
        <v>kilogram</v>
      </c>
      <c r="E185" s="12"/>
      <c r="F185" s="12" t="s">
        <v>91</v>
      </c>
      <c r="G185" t="s">
        <v>24</v>
      </c>
      <c r="H185" s="12" t="str">
        <f>INDEX('ei names mapping'!$B$71:$R$100,MATCH(B153,'ei names mapping'!$A$4:$A$33,0),MATCH(G185,'ei names mapping'!$B$3:$R$3,0))</f>
        <v>polyethylene, high density, granulate</v>
      </c>
    </row>
    <row r="186" spans="1:8" s="21" customFormat="1" x14ac:dyDescent="0.3">
      <c r="A186" s="22" t="s">
        <v>468</v>
      </c>
      <c r="B186" s="21">
        <f>(B166/1000)*B177</f>
        <v>60.856874999999995</v>
      </c>
      <c r="C186" s="21" t="s">
        <v>94</v>
      </c>
      <c r="D186" s="21" t="s">
        <v>243</v>
      </c>
      <c r="F186" s="21" t="s">
        <v>91</v>
      </c>
      <c r="H186" s="22" t="s">
        <v>469</v>
      </c>
    </row>
    <row r="187" spans="1:8" s="21" customFormat="1" x14ac:dyDescent="0.3">
      <c r="A187" s="22" t="s">
        <v>467</v>
      </c>
      <c r="B187" s="2">
        <f>(B166/1000)*B176</f>
        <v>967.62431249999997</v>
      </c>
      <c r="C187" s="21" t="s">
        <v>98</v>
      </c>
      <c r="D187" s="21" t="s">
        <v>243</v>
      </c>
      <c r="F187" s="21" t="s">
        <v>91</v>
      </c>
      <c r="H187" s="22" t="s">
        <v>467</v>
      </c>
    </row>
    <row r="189" spans="1:8" ht="15.6" x14ac:dyDescent="0.3">
      <c r="A189" s="11" t="s">
        <v>72</v>
      </c>
      <c r="B189" s="9" t="str">
        <f>B191&amp;", "&amp;B193</f>
        <v>Moped, gasoline, &lt;4kW, EURO-5, 2050</v>
      </c>
    </row>
    <row r="190" spans="1:8" x14ac:dyDescent="0.3">
      <c r="A190" t="s">
        <v>73</v>
      </c>
      <c r="B190" t="s">
        <v>37</v>
      </c>
    </row>
    <row r="191" spans="1:8" x14ac:dyDescent="0.3">
      <c r="A191" t="s">
        <v>87</v>
      </c>
      <c r="B191" t="s">
        <v>647</v>
      </c>
    </row>
    <row r="192" spans="1:8" x14ac:dyDescent="0.3">
      <c r="A192" t="s">
        <v>88</v>
      </c>
      <c r="B192" s="12"/>
    </row>
    <row r="193" spans="1:2" x14ac:dyDescent="0.3">
      <c r="A193" t="s">
        <v>89</v>
      </c>
      <c r="B193" s="12">
        <v>2050</v>
      </c>
    </row>
    <row r="194" spans="1:2" x14ac:dyDescent="0.3">
      <c r="A194" t="s">
        <v>131</v>
      </c>
      <c r="B194" s="12" t="str">
        <f>B191&amp;" - "&amp;B193&amp;" - "&amp;B190</f>
        <v>Moped, gasoline, &lt;4kW, EURO-5 - 2050 - CH</v>
      </c>
    </row>
    <row r="195" spans="1:2" x14ac:dyDescent="0.3">
      <c r="A195" t="s">
        <v>74</v>
      </c>
      <c r="B195" t="str">
        <f>B191</f>
        <v>Moped, gasoline, &lt;4kW, EURO-5</v>
      </c>
    </row>
    <row r="196" spans="1:2" x14ac:dyDescent="0.3">
      <c r="A196" t="s">
        <v>75</v>
      </c>
      <c r="B196" t="s">
        <v>76</v>
      </c>
    </row>
    <row r="197" spans="1:2" x14ac:dyDescent="0.3">
      <c r="A197" t="s">
        <v>77</v>
      </c>
      <c r="B197" t="s">
        <v>77</v>
      </c>
    </row>
    <row r="198" spans="1:2" x14ac:dyDescent="0.3">
      <c r="A198" t="s">
        <v>79</v>
      </c>
      <c r="B198" t="s">
        <v>90</v>
      </c>
    </row>
    <row r="199" spans="1:2" x14ac:dyDescent="0.3">
      <c r="A199" t="s">
        <v>132</v>
      </c>
      <c r="B199">
        <f>INDEX('vehicles specifications'!$B$3:$CK$86,MATCH(B194,'vehicles specifications'!$A$3:$A$86,0),MATCH("Lifetime [km]",'vehicles specifications'!$B$2:$CK$2,0))</f>
        <v>33400</v>
      </c>
    </row>
    <row r="200" spans="1:2" x14ac:dyDescent="0.3">
      <c r="A200" t="s">
        <v>133</v>
      </c>
      <c r="B200">
        <f>INDEX('vehicles specifications'!$B$3:$CK$86,MATCH(B194,'vehicles specifications'!$A$3:$A$86,0),MATCH("Passengers [unit]",'vehicles specifications'!$B$2:$CK$2,0))</f>
        <v>1</v>
      </c>
    </row>
    <row r="201" spans="1:2" x14ac:dyDescent="0.3">
      <c r="A201" t="s">
        <v>134</v>
      </c>
      <c r="B201">
        <f>INDEX('vehicles specifications'!$B$3:$CK$86,MATCH(B194,'vehicles specifications'!$A$3:$A$86,0),MATCH("Servicing [unit]",'vehicles specifications'!$B$2:$CK$2,0))</f>
        <v>1</v>
      </c>
    </row>
    <row r="202" spans="1:2" x14ac:dyDescent="0.3">
      <c r="A202" t="s">
        <v>135</v>
      </c>
      <c r="B202">
        <f>INDEX('vehicles specifications'!$B$3:$CK$86,MATCH(B194,'vehicles specifications'!$A$3:$A$86,0),MATCH("Energy battery replacement [unit]",'vehicles specifications'!$B$2:$CK$2,0))</f>
        <v>0</v>
      </c>
    </row>
    <row r="203" spans="1:2" x14ac:dyDescent="0.3">
      <c r="A203" t="s">
        <v>136</v>
      </c>
      <c r="B203">
        <f>INDEX('vehicles specifications'!$B$3:$CK$86,MATCH(B194,'vehicles specifications'!$A$3:$A$86,0),MATCH("Annual kilometers [km]",'vehicles specifications'!$B$2:$CK$2,0))</f>
        <v>2553</v>
      </c>
    </row>
    <row r="204" spans="1:2" x14ac:dyDescent="0.3">
      <c r="A204" t="s">
        <v>137</v>
      </c>
      <c r="B204" s="2">
        <f>INDEX('vehicles specifications'!$B$3:$CK$86,MATCH(B194,'vehicles specifications'!$A$3:$A$86,0),MATCH("Curb mass [kg]",'vehicles specifications'!$B$2:$CK$2,0))</f>
        <v>59.971624999999996</v>
      </c>
    </row>
    <row r="205" spans="1:2" x14ac:dyDescent="0.3">
      <c r="A205" t="s">
        <v>138</v>
      </c>
      <c r="B205">
        <f>INDEX('vehicles specifications'!$B$3:$CK$86,MATCH(B194,'vehicles specifications'!$A$3:$A$86,0),MATCH("Power [kW]",'vehicles specifications'!$B$2:$CK$2,0))</f>
        <v>2.5</v>
      </c>
    </row>
    <row r="206" spans="1:2" x14ac:dyDescent="0.3">
      <c r="A206" t="s">
        <v>139</v>
      </c>
      <c r="B206">
        <f>INDEX('vehicles specifications'!$B$3:$CK$86,MATCH(B194,'vehicles specifications'!$A$3:$A$86,0),MATCH("Energy battery mass [kg]",'vehicles specifications'!$B$2:$CK$2,0))</f>
        <v>0</v>
      </c>
    </row>
    <row r="207" spans="1:2" x14ac:dyDescent="0.3">
      <c r="A207" t="s">
        <v>140</v>
      </c>
      <c r="B207">
        <f>INDEX('vehicles specifications'!$B$3:$CK$86,MATCH(B194,'vehicles specifications'!$A$3:$A$86,0),MATCH("Electric energy available [kWh]",'vehicles specifications'!$B$2:$CK$2,0))</f>
        <v>0</v>
      </c>
    </row>
    <row r="208" spans="1:2" x14ac:dyDescent="0.3">
      <c r="A208" t="s">
        <v>143</v>
      </c>
      <c r="B208" s="2">
        <f>INDEX('vehicles specifications'!$B$3:$CK$86,MATCH(B194,'vehicles specifications'!$A$3:$A$86,0),MATCH("Oxydation energy stored [kWh]",'vehicles specifications'!$B$2:$CK$2,0))</f>
        <v>61.833333333333329</v>
      </c>
    </row>
    <row r="209" spans="1:8" x14ac:dyDescent="0.3">
      <c r="A209" t="s">
        <v>145</v>
      </c>
      <c r="B209">
        <f>INDEX('vehicles specifications'!$B$3:$CK$86,MATCH(B194,'vehicles specifications'!$A$3:$A$86,0),MATCH("Fuel mass [kg]",'vehicles specifications'!$B$2:$CK$2,0))</f>
        <v>5.25</v>
      </c>
    </row>
    <row r="210" spans="1:8" x14ac:dyDescent="0.3">
      <c r="A210" t="s">
        <v>141</v>
      </c>
      <c r="B210" s="2">
        <f>INDEX('vehicles specifications'!$B$3:$CK$86,MATCH(B194,'vehicles specifications'!$A$3:$A$86,0),MATCH("Range [km]",'vehicles specifications'!$B$2:$CK$2,0))</f>
        <v>278.79433917446761</v>
      </c>
    </row>
    <row r="211" spans="1:8" x14ac:dyDescent="0.3">
      <c r="A211" t="s">
        <v>142</v>
      </c>
      <c r="B211" t="str">
        <f>INDEX('vehicles specifications'!$B$3:$CK$86,MATCH(B194,'vehicles specifications'!$A$3:$A$86,0),MATCH("Emission standard",'vehicles specifications'!$B$2:$CK$2,0))</f>
        <v>EURO-5</v>
      </c>
    </row>
    <row r="212" spans="1:8" x14ac:dyDescent="0.3">
      <c r="A212" t="s">
        <v>144</v>
      </c>
      <c r="B212" s="6">
        <f>INDEX('vehicles specifications'!$B$3:$CK$86,MATCH(B194,'vehicles specifications'!$A$3:$A$86,0),MATCH("Lightweighting rate [%]",'vehicles specifications'!$B$2:$CK$2,0))</f>
        <v>7.0000000000000007E-2</v>
      </c>
    </row>
    <row r="213" spans="1:8" s="21" customFormat="1" x14ac:dyDescent="0.3">
      <c r="A213" s="21" t="s">
        <v>513</v>
      </c>
      <c r="B213" s="6" t="s">
        <v>514</v>
      </c>
    </row>
    <row r="214" spans="1:8" s="21" customFormat="1" x14ac:dyDescent="0.3">
      <c r="A214" s="21" t="s">
        <v>515</v>
      </c>
      <c r="B214" s="2">
        <v>15900</v>
      </c>
    </row>
    <row r="215" spans="1:8" s="21" customFormat="1" x14ac:dyDescent="0.3">
      <c r="A215" s="21" t="s">
        <v>516</v>
      </c>
      <c r="B215" s="2">
        <v>1000</v>
      </c>
    </row>
    <row r="216" spans="1:8" s="21" customFormat="1" x14ac:dyDescent="0.3">
      <c r="A216" s="21" t="s">
        <v>84</v>
      </c>
      <c r="B216" s="21" t="str">
        <f>"Power: "&amp;B205&amp;" kW. Lifetime: "&amp;B199&amp;" km. Annual kilometers: "&amp;ROUND(B203,0)&amp;" km. Number of passengers: "&amp;ROUND(B200,1)&amp;". Curb mass: "&amp;ROUND(B204,1)&amp;" kg. Lightweighting of glider: "&amp;ROUND(B212*100,0)&amp;"%. Emission standard: "&amp;B211&amp;". Service visits throughout lifetime: "&amp;ROUND(B201,1)&amp;". Range: "&amp;ROUND(B210,0)&amp;" km. Battery capacity: "&amp;ROUND(B207,1)&amp;" kWh. Battery mass: "&amp;ROUND(B206,1)&amp; " kg. Battery replacement throughout lifetime: "&amp;ROUND(B202,1)&amp;". Fuel tank capacity: "&amp;ROUND(B208,1)&amp;" kWh. Fuel mass: "&amp;ROUND(B209,1)&amp;" kg. Origin of manufacture: "&amp;B213&amp;". Shipping distance: "&amp;B214&amp;" km. Lorry distribution distance: "&amp;B215&amp;" km. Documentation: "&amp;Readmefirst!$B$2&amp;", "&amp;Readmefirst!$B$3&amp;". "&amp;B198</f>
        <v>Power: 2.5 kW. Lifetime: 33400 km. Annual kilometers: 2553 km. Number of passengers: 1. Curb mass: 60 kg. Lightweighting of glider: 7%. Emission standard: EURO-5. Service visits throughout lifetime: 1. Range: 279 km. Battery capacity: 0 kWh. Battery mass: 0 kg. Battery replacement throughout lifetime: 0. Fuel tank capacity: 61.8 kWh. Fuel mass: 5.3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17" spans="1:8" ht="15.6" x14ac:dyDescent="0.3">
      <c r="A217" s="11" t="s">
        <v>80</v>
      </c>
    </row>
    <row r="218" spans="1:8" x14ac:dyDescent="0.3">
      <c r="A218" t="s">
        <v>81</v>
      </c>
      <c r="B218" t="s">
        <v>82</v>
      </c>
      <c r="C218" t="s">
        <v>73</v>
      </c>
      <c r="D218" t="s">
        <v>77</v>
      </c>
      <c r="E218" t="s">
        <v>83</v>
      </c>
      <c r="F218" t="s">
        <v>75</v>
      </c>
      <c r="G218" t="s">
        <v>84</v>
      </c>
      <c r="H218" t="s">
        <v>74</v>
      </c>
    </row>
    <row r="219" spans="1:8" x14ac:dyDescent="0.3">
      <c r="A219" s="12" t="str">
        <f>B189</f>
        <v>Moped, gasoline, &lt;4kW, EURO-5, 2050</v>
      </c>
      <c r="B219" s="12">
        <v>1</v>
      </c>
      <c r="C219" s="12" t="str">
        <f>B190</f>
        <v>CH</v>
      </c>
      <c r="D219" s="12" t="str">
        <f>B197</f>
        <v>unit</v>
      </c>
      <c r="E219" s="12"/>
      <c r="F219" s="12" t="s">
        <v>85</v>
      </c>
      <c r="G219" s="12" t="s">
        <v>86</v>
      </c>
      <c r="H219" s="12" t="str">
        <f>B191</f>
        <v>Moped, gasoline, &lt;4kW, EURO-5</v>
      </c>
    </row>
    <row r="220" spans="1:8" x14ac:dyDescent="0.3">
      <c r="A220" s="12" t="str">
        <f>INDEX('ei names mapping'!$B$4:$R$33,MATCH(B191,'ei names mapping'!$A$4:$A$33,0),MATCH(G220,'ei names mapping'!$B$3:$R$3,0))</f>
        <v>motor scooter production</v>
      </c>
      <c r="B220" s="16">
        <f>INDEX('vehicles specifications'!$B$3:$CK$86,MATCH(B194,'vehicles specifications'!$A$3:$A$86,0),MATCH(G220,'vehicles specifications'!$B$2:$CK$2,0))*INDEX('ei names mapping'!$B$137:$BK$220,MATCH(B194,'ei names mapping'!$A$137:$A$220,0),MATCH(G220,'ei names mapping'!$B$136:$BK$136,0))</f>
        <v>0.48069444444444448</v>
      </c>
      <c r="C220" s="12" t="str">
        <f>INDEX('ei names mapping'!$B$38:$R$67,MATCH(B191,'ei names mapping'!$A$4:$A$33,0),MATCH(G220,'ei names mapping'!$B$3:$R$3,0))</f>
        <v>RER</v>
      </c>
      <c r="D220" s="12" t="str">
        <f>INDEX('ei names mapping'!$B$104:$R$133,MATCH(B191,'ei names mapping'!$A$104:$A$133,0),MATCH(G220,'ei names mapping'!$B$3:$R$3,0))</f>
        <v>unit</v>
      </c>
      <c r="E220" s="12"/>
      <c r="F220" s="12" t="s">
        <v>91</v>
      </c>
      <c r="G220" s="21" t="s">
        <v>15</v>
      </c>
      <c r="H220" s="12" t="str">
        <f>INDEX('ei names mapping'!$B$71:$R$100,MATCH(B191,'ei names mapping'!$A$4:$A$33,0),MATCH(G220,'ei names mapping'!$B$3:$R$3,0))</f>
        <v>motor scooter, 50 cubic cm engine</v>
      </c>
    </row>
    <row r="221" spans="1:8" x14ac:dyDescent="0.3">
      <c r="A221" s="12" t="str">
        <f>INDEX('ei names mapping'!$B$4:$R$33,MATCH(B191,'ei names mapping'!$A$4:$A$33,0),MATCH(G221,'ei names mapping'!$B$3:$R$3,0))</f>
        <v>motor scooter production</v>
      </c>
      <c r="B221" s="16">
        <f>INDEX('vehicles specifications'!$B$3:$CK$86,MATCH(B194,'vehicles specifications'!$A$3:$A$86,0),MATCH(G221,'vehicles specifications'!$B$2:$CK$2,0))*INDEX('ei names mapping'!$B$137:$BK$220,MATCH(B194,'ei names mapping'!$A$137:$A$220,0),MATCH(G221,'ei names mapping'!$B$136:$BK$136,0))</f>
        <v>0.15222222222222223</v>
      </c>
      <c r="C221" s="12" t="str">
        <f>INDEX('ei names mapping'!$B$38:$R$67,MATCH(B191,'ei names mapping'!$A$4:$A$33,0),MATCH(G221,'ei names mapping'!$B$3:$R$3,0))</f>
        <v>RER</v>
      </c>
      <c r="D221" s="12" t="str">
        <f>INDEX('ei names mapping'!$B$104:$R$133,MATCH(B191,'ei names mapping'!$A$104:$A$133,0),MATCH(G221,'ei names mapping'!$B$3:$R$3,0))</f>
        <v>unit</v>
      </c>
      <c r="E221" s="12"/>
      <c r="F221" s="12" t="s">
        <v>91</v>
      </c>
      <c r="G221" t="s">
        <v>16</v>
      </c>
      <c r="H221" s="12" t="str">
        <f>INDEX('ei names mapping'!$B$71:$R$100,MATCH(B191,'ei names mapping'!$A$4:$A$33,0),MATCH(G221,'ei names mapping'!$B$3:$R$3,0))</f>
        <v>motor scooter, 50 cubic cm engine</v>
      </c>
    </row>
    <row r="222" spans="1:8" s="21" customFormat="1" x14ac:dyDescent="0.3">
      <c r="A222" s="12" t="str">
        <f>INDEX('ei names mapping'!$B$4:$R$33,MATCH(B191,'ei names mapping'!$A$4:$A$33,0),MATCH(G222,'ei names mapping'!$B$3:$R$3,0))</f>
        <v>glider lightweighting</v>
      </c>
      <c r="B222" s="16">
        <f>INDEX('vehicles specifications'!$B$3:$CK$86,MATCH(B194,'vehicles specifications'!$A$3:$A$86,0),MATCH(G222,'vehicles specifications'!$B$2:$CK$2,0))*INDEX('ei names mapping'!$B$137:$BK$220,MATCH(B194,'ei names mapping'!$A$137:$A$220,0),MATCH(G222,'ei names mapping'!$B$136:$BK$136,0))</f>
        <v>3.0283750000000005</v>
      </c>
      <c r="C222" s="12" t="str">
        <f>INDEX('ei names mapping'!$B$38:$R$67,MATCH(B191,'ei names mapping'!$A$4:$A$33,0),MATCH(G222,'ei names mapping'!$B$3:$R$3,0))</f>
        <v>GLO</v>
      </c>
      <c r="D222" s="12" t="str">
        <f>INDEX('ei names mapping'!$B$104:$R$133,MATCH(B191,'ei names mapping'!$A$104:$A$133,0),MATCH(G222,'ei names mapping'!$B$3:$R$3,0))</f>
        <v>kilogram</v>
      </c>
      <c r="E222" s="12"/>
      <c r="F222" s="12" t="s">
        <v>91</v>
      </c>
      <c r="G222" s="21" t="s">
        <v>14</v>
      </c>
      <c r="H222" s="12" t="str">
        <f>INDEX('ei names mapping'!$B$71:$R$100,MATCH(B191,'ei names mapping'!$A$4:$A$33,0),MATCH(G222,'ei names mapping'!$B$3:$R$3,0))</f>
        <v>glider lightweighting</v>
      </c>
    </row>
    <row r="223" spans="1:8" x14ac:dyDescent="0.3">
      <c r="A223" s="12" t="str">
        <f>INDEX('ei names mapping'!$B$4:$R$33,MATCH(B191,'ei names mapping'!$A$4:$A$33,0),MATCH(G223,'ei names mapping'!$B$3:$R$3,0))</f>
        <v>polyethylene production, high density, granulate</v>
      </c>
      <c r="B223" s="16">
        <f>INDEX('vehicles specifications'!$B$3:$CK$86,MATCH(B194,'vehicles specifications'!$A$3:$A$86,0),MATCH(G223,'vehicles specifications'!$B$2:$CK$2,0))*INDEX('ei names mapping'!$B$137:$BK$220,MATCH(B194,'ei names mapping'!$A$137:$A$220,0),MATCH(G223,'ei names mapping'!$B$136:$BK$136,0))</f>
        <v>0.78749999999999998</v>
      </c>
      <c r="C223" s="12" t="str">
        <f>INDEX('ei names mapping'!$B$38:$R$67,MATCH(B191,'ei names mapping'!$A$4:$A$33,0),MATCH(G223,'ei names mapping'!$B$3:$R$3,0))</f>
        <v>RER</v>
      </c>
      <c r="D223" s="12" t="str">
        <f>INDEX('ei names mapping'!$B$104:$R$133,MATCH(B191,'ei names mapping'!$A$104:$A$133,0),MATCH(G223,'ei names mapping'!$B$3:$R$3,0))</f>
        <v>kilogram</v>
      </c>
      <c r="E223" s="12"/>
      <c r="F223" s="12" t="s">
        <v>91</v>
      </c>
      <c r="G223" t="s">
        <v>24</v>
      </c>
      <c r="H223" s="12" t="str">
        <f>INDEX('ei names mapping'!$B$71:$R$100,MATCH(B191,'ei names mapping'!$A$4:$A$33,0),MATCH(G223,'ei names mapping'!$B$3:$R$3,0))</f>
        <v>polyethylene, high density, granulate</v>
      </c>
    </row>
    <row r="224" spans="1:8" s="21" customFormat="1" x14ac:dyDescent="0.3">
      <c r="A224" s="22" t="s">
        <v>468</v>
      </c>
      <c r="B224" s="21">
        <f>(B204/1000)*B215</f>
        <v>59.971624999999996</v>
      </c>
      <c r="C224" s="21" t="s">
        <v>94</v>
      </c>
      <c r="D224" s="21" t="s">
        <v>243</v>
      </c>
      <c r="F224" s="21" t="s">
        <v>91</v>
      </c>
      <c r="H224" s="22" t="s">
        <v>469</v>
      </c>
    </row>
    <row r="225" spans="1:8" s="21" customFormat="1" x14ac:dyDescent="0.3">
      <c r="A225" s="22" t="s">
        <v>467</v>
      </c>
      <c r="B225" s="2">
        <f>(B204/1000)*B214</f>
        <v>953.54883749999988</v>
      </c>
      <c r="C225" s="21" t="s">
        <v>98</v>
      </c>
      <c r="D225" s="21" t="s">
        <v>243</v>
      </c>
      <c r="F225" s="21" t="s">
        <v>91</v>
      </c>
      <c r="H225" s="22" t="s">
        <v>467</v>
      </c>
    </row>
    <row r="227" spans="1:8" ht="15.6" x14ac:dyDescent="0.3">
      <c r="A227" s="11" t="s">
        <v>72</v>
      </c>
      <c r="B227" s="9" t="str">
        <f>"transport, "&amp;B229&amp;", "&amp;B231</f>
        <v>transport, Moped, gasoline, &lt;4kW, EURO-3, 2006</v>
      </c>
    </row>
    <row r="228" spans="1:8" x14ac:dyDescent="0.3">
      <c r="A228" t="s">
        <v>73</v>
      </c>
      <c r="B228" t="s">
        <v>37</v>
      </c>
    </row>
    <row r="229" spans="1:8" x14ac:dyDescent="0.3">
      <c r="A229" t="s">
        <v>87</v>
      </c>
      <c r="B229" t="s">
        <v>645</v>
      </c>
    </row>
    <row r="230" spans="1:8" x14ac:dyDescent="0.3">
      <c r="A230" t="s">
        <v>88</v>
      </c>
      <c r="B230" s="12"/>
    </row>
    <row r="231" spans="1:8" x14ac:dyDescent="0.3">
      <c r="A231" t="s">
        <v>89</v>
      </c>
      <c r="B231" s="12">
        <v>2006</v>
      </c>
    </row>
    <row r="232" spans="1:8" x14ac:dyDescent="0.3">
      <c r="A232" t="s">
        <v>131</v>
      </c>
      <c r="B232" s="12" t="str">
        <f>B229&amp;" - "&amp;B231&amp;" - "&amp;B228</f>
        <v>Moped, gasoline, &lt;4kW, EURO-3 - 2006 - CH</v>
      </c>
    </row>
    <row r="233" spans="1:8" x14ac:dyDescent="0.3">
      <c r="A233" t="s">
        <v>74</v>
      </c>
      <c r="B233" s="12" t="str">
        <f>"transport, "&amp;B229</f>
        <v>transport, Moped, gasoline, &lt;4kW, EURO-3</v>
      </c>
    </row>
    <row r="234" spans="1:8" x14ac:dyDescent="0.3">
      <c r="A234" t="s">
        <v>75</v>
      </c>
      <c r="B234" t="s">
        <v>76</v>
      </c>
    </row>
    <row r="235" spans="1:8" x14ac:dyDescent="0.3">
      <c r="A235" t="s">
        <v>77</v>
      </c>
      <c r="B235" t="s">
        <v>172</v>
      </c>
    </row>
    <row r="236" spans="1:8" x14ac:dyDescent="0.3">
      <c r="A236" t="s">
        <v>79</v>
      </c>
      <c r="B236" t="s">
        <v>90</v>
      </c>
    </row>
    <row r="237" spans="1:8" x14ac:dyDescent="0.3">
      <c r="A237" t="s">
        <v>132</v>
      </c>
      <c r="B237">
        <f>INDEX('vehicles specifications'!$B$3:$CK$86,MATCH(B232,'vehicles specifications'!$A$3:$A$86,0),MATCH("Lifetime [km]",'vehicles specifications'!$B$2:$CK$2,0))</f>
        <v>33400</v>
      </c>
    </row>
    <row r="238" spans="1:8" x14ac:dyDescent="0.3">
      <c r="A238" t="s">
        <v>133</v>
      </c>
      <c r="B238">
        <f>INDEX('vehicles specifications'!$B$3:$CK$86,MATCH(B232,'vehicles specifications'!$A$3:$A$86,0),MATCH("Passengers [unit]",'vehicles specifications'!$B$2:$CK$2,0))</f>
        <v>1</v>
      </c>
    </row>
    <row r="239" spans="1:8" x14ac:dyDescent="0.3">
      <c r="A239" t="s">
        <v>134</v>
      </c>
      <c r="B239">
        <f>INDEX('vehicles specifications'!$B$3:$CK$86,MATCH(B232,'vehicles specifications'!$A$3:$A$86,0),MATCH("Servicing [unit]",'vehicles specifications'!$B$2:$CK$2,0))</f>
        <v>1</v>
      </c>
    </row>
    <row r="240" spans="1:8" x14ac:dyDescent="0.3">
      <c r="A240" t="s">
        <v>135</v>
      </c>
      <c r="B240">
        <f>INDEX('vehicles specifications'!$B$3:$CK$86,MATCH(B232,'vehicles specifications'!$A$3:$A$86,0),MATCH("Energy battery replacement [unit]",'vehicles specifications'!$B$2:$CK$2,0))</f>
        <v>0</v>
      </c>
    </row>
    <row r="241" spans="1:8" x14ac:dyDescent="0.3">
      <c r="A241" t="s">
        <v>136</v>
      </c>
      <c r="B241">
        <f>INDEX('vehicles specifications'!$B$3:$CK$86,MATCH(B232,'vehicles specifications'!$A$3:$A$86,0),MATCH("Annual kilometers [km]",'vehicles specifications'!$B$2:$CK$2,0))</f>
        <v>2553</v>
      </c>
    </row>
    <row r="242" spans="1:8" x14ac:dyDescent="0.3">
      <c r="A242" t="s">
        <v>137</v>
      </c>
      <c r="B242" s="2">
        <f>INDEX('vehicles specifications'!$B$3:$CK$86,MATCH(B232,'vehicles specifications'!$A$3:$A$86,0),MATCH("Curb mass [kg]",'vehicles specifications'!$B$2:$CK$2,0))</f>
        <v>65.098124999999996</v>
      </c>
    </row>
    <row r="243" spans="1:8" x14ac:dyDescent="0.3">
      <c r="A243" t="s">
        <v>138</v>
      </c>
      <c r="B243">
        <f>INDEX('vehicles specifications'!$B$3:$CK$86,MATCH(B232,'vehicles specifications'!$A$3:$A$86,0),MATCH("Power [kW]",'vehicles specifications'!$B$2:$CK$2,0))</f>
        <v>2.5</v>
      </c>
    </row>
    <row r="244" spans="1:8" x14ac:dyDescent="0.3">
      <c r="A244" t="s">
        <v>139</v>
      </c>
      <c r="B244">
        <f>INDEX('vehicles specifications'!$B$3:$CK$86,MATCH(B232,'vehicles specifications'!$A$3:$A$86,0),MATCH("Energy battery mass [kg]",'vehicles specifications'!$B$2:$CK$2,0))</f>
        <v>0</v>
      </c>
    </row>
    <row r="245" spans="1:8" x14ac:dyDescent="0.3">
      <c r="A245" t="s">
        <v>140</v>
      </c>
      <c r="B245">
        <f>INDEX('vehicles specifications'!$B$3:$CK$86,MATCH(B232,'vehicles specifications'!$A$3:$A$86,0),MATCH("Electric energy available [kWh]",'vehicles specifications'!$B$2:$CK$2,0))</f>
        <v>0</v>
      </c>
    </row>
    <row r="246" spans="1:8" x14ac:dyDescent="0.3">
      <c r="A246" t="s">
        <v>143</v>
      </c>
      <c r="B246" s="2">
        <f>INDEX('vehicles specifications'!$B$3:$CK$86,MATCH(B232,'vehicles specifications'!$A$3:$A$86,0),MATCH("Oxydation energy stored [kWh]",'vehicles specifications'!$B$2:$CK$2,0))</f>
        <v>61.833333333333329</v>
      </c>
    </row>
    <row r="247" spans="1:8" x14ac:dyDescent="0.3">
      <c r="A247" t="s">
        <v>145</v>
      </c>
      <c r="B247">
        <f>INDEX('vehicles specifications'!$B$3:$CK$86,MATCH(B232,'vehicles specifications'!$A$3:$A$86,0),MATCH("Fuel mass [kg]",'vehicles specifications'!$B$2:$CK$2,0))</f>
        <v>5.25</v>
      </c>
    </row>
    <row r="248" spans="1:8" x14ac:dyDescent="0.3">
      <c r="A248" t="s">
        <v>141</v>
      </c>
      <c r="B248" s="2">
        <f>INDEX('vehicles specifications'!$B$3:$CK$86,MATCH(B232,'vehicles specifications'!$A$3:$A$86,0),MATCH("Range [km]",'vehicles specifications'!$B$2:$CK$2,0))</f>
        <v>265.15715823918839</v>
      </c>
    </row>
    <row r="249" spans="1:8" x14ac:dyDescent="0.3">
      <c r="A249" t="s">
        <v>142</v>
      </c>
      <c r="B249" t="str">
        <f>INDEX('vehicles specifications'!$B$3:$CK$86,MATCH(B232,'vehicles specifications'!$A$3:$A$86,0),MATCH("Emission standard",'vehicles specifications'!$B$2:$CK$2,0))</f>
        <v>EURO-3</v>
      </c>
    </row>
    <row r="250" spans="1:8" x14ac:dyDescent="0.3">
      <c r="A250" t="s">
        <v>144</v>
      </c>
      <c r="B250" s="6">
        <f>INDEX('vehicles specifications'!$B$3:$CK$86,MATCH(B232,'vehicles specifications'!$A$3:$A$86,0),MATCH("Lightweighting rate [%]",'vehicles specifications'!$B$2:$CK$2,0))</f>
        <v>-0.05</v>
      </c>
    </row>
    <row r="251" spans="1:8" x14ac:dyDescent="0.3">
      <c r="A251" t="s">
        <v>84</v>
      </c>
      <c r="B251" s="21" t="str">
        <f>"Power: "&amp;B243&amp;" kW. Lifetime: "&amp;B237&amp;" km. Annual kilometers: "&amp;B241&amp;" km. Number of passengers: "&amp;B238&amp;". Curb mass: "&amp;ROUND(B242,1)&amp;" kg. Lightweighting of glider: "&amp;ROUND(B250*100,0)&amp;"%. Emission standard: "&amp;B249&amp;". Service visits throughout lifetime: "&amp;ROUND(B239,1)&amp;". Range: "&amp;ROUND(B248,0)&amp;" km. Battery capacity: "&amp;ROUND(B245,1)&amp;" kWh. Battery mass: "&amp;ROUND(B244,1)&amp; " kg. Battery replacement throughout lifetime: "&amp;ROUND(B240,1)&amp;". Fuel tank capacity: "&amp;ROUND(B246,1)&amp;" kWh. Fuel mass: "&amp;ROUND(B247,1)&amp;" kg. Documentation: "&amp;Readmefirst!$B$2&amp;", "&amp;Readmefirst!$B$3&amp;". "&amp;B236</f>
        <v>Power: 2.5 kW. Lifetime: 33400 km. Annual kilometers: 2553 km. Number of passengers: 1. Curb mass: 65.1 kg. Lightweighting of glider: -5%. Emission standard: EURO-3. Service visits throughout lifetime: 1. Range: 265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52" spans="1:8" ht="15.6" x14ac:dyDescent="0.3">
      <c r="A252" s="11" t="s">
        <v>80</v>
      </c>
    </row>
    <row r="253" spans="1:8" x14ac:dyDescent="0.3">
      <c r="A253" t="s">
        <v>81</v>
      </c>
      <c r="B253" t="s">
        <v>82</v>
      </c>
      <c r="C253" t="s">
        <v>73</v>
      </c>
      <c r="D253" t="s">
        <v>77</v>
      </c>
      <c r="E253" t="s">
        <v>83</v>
      </c>
      <c r="F253" t="s">
        <v>75</v>
      </c>
      <c r="G253" t="s">
        <v>84</v>
      </c>
      <c r="H253" t="s">
        <v>74</v>
      </c>
    </row>
    <row r="254" spans="1:8" x14ac:dyDescent="0.3">
      <c r="A254" s="12" t="str">
        <f>B227</f>
        <v>transport, Moped, gasoline, &lt;4kW, EURO-3, 2006</v>
      </c>
      <c r="B254" s="12">
        <v>1</v>
      </c>
      <c r="C254" s="12" t="str">
        <f>B228</f>
        <v>CH</v>
      </c>
      <c r="D254" s="12" t="s">
        <v>172</v>
      </c>
      <c r="E254" s="12"/>
      <c r="F254" s="12" t="s">
        <v>85</v>
      </c>
      <c r="G254" s="12" t="s">
        <v>86</v>
      </c>
      <c r="H254" s="12" t="str">
        <f>B233</f>
        <v>transport, Moped, gasoline, &lt;4kW, EURO-3</v>
      </c>
    </row>
    <row r="255" spans="1:8" x14ac:dyDescent="0.3">
      <c r="A255" s="12" t="str">
        <f>RIGHT(A254,LEN(A254)-11)</f>
        <v>Moped, gasoline, &lt;4kW, EURO-3, 2006</v>
      </c>
      <c r="B255" s="15">
        <f>1/B237</f>
        <v>2.9940119760479042E-5</v>
      </c>
      <c r="C255" s="12" t="str">
        <f>B228</f>
        <v>CH</v>
      </c>
      <c r="D255" s="12" t="s">
        <v>77</v>
      </c>
      <c r="E255" s="12"/>
      <c r="F255" s="12" t="s">
        <v>91</v>
      </c>
      <c r="G255" s="12"/>
      <c r="H255" s="12" t="str">
        <f>RIGHT(H254,LEN(H254)-11)</f>
        <v>Moped, gasoline, &lt;4kW, EURO-3</v>
      </c>
    </row>
    <row r="256" spans="1:8" s="21" customFormat="1" x14ac:dyDescent="0.3">
      <c r="A256" s="12" t="str">
        <f>INDEX('ei names mapping'!$B$4:$R$33,MATCH(B229,'ei names mapping'!$A$4:$A$33,0),MATCH(G256,'ei names mapping'!$B$3:$R$3,0))</f>
        <v>road construction</v>
      </c>
      <c r="B256" s="16">
        <f>INDEX('vehicles specifications'!$B$3:$CK$86,MATCH(B232,'vehicles specifications'!$A$3:$A$86,0),MATCH(G256,'vehicles specifications'!$B$2:$CK$2,0))*INDEX('ei names mapping'!$B$137:$BK$220,MATCH(B232,'ei names mapping'!$A$137:$A$220,0),MATCH(G256,'ei names mapping'!$B$136:$BK$136,0))</f>
        <v>7.3621693124999987E-5</v>
      </c>
      <c r="C256" s="12" t="str">
        <f>INDEX('ei names mapping'!$B$38:$R$67,MATCH(B229,'ei names mapping'!$A$4:$A$33,0),MATCH(G256,'ei names mapping'!$B$3:$R$3,0))</f>
        <v>CH</v>
      </c>
      <c r="D256" s="12" t="str">
        <f>INDEX('ei names mapping'!$B$104:$BK$133,MATCH(B229,'ei names mapping'!$A$4:$A$33,0),MATCH(G256,'ei names mapping'!$B$3:$BK$3,0))</f>
        <v>meter-year</v>
      </c>
      <c r="E256" s="12"/>
      <c r="F256" s="12" t="s">
        <v>91</v>
      </c>
      <c r="G256" s="21" t="s">
        <v>108</v>
      </c>
      <c r="H256" s="12" t="str">
        <f>INDEX('ei names mapping'!$B$71:$BK$100,MATCH(B229,'ei names mapping'!$A$4:$A$33,0),MATCH(G256,'ei names mapping'!$B$3:$BK$3,0))</f>
        <v>road</v>
      </c>
    </row>
    <row r="257" spans="1:8" x14ac:dyDescent="0.3">
      <c r="A257" s="12" t="str">
        <f>INDEX('ei names mapping'!$B$4:$R$33,MATCH(B229,'ei names mapping'!$A$4:$A$33,0),MATCH(G257,'ei names mapping'!$B$3:$R$3,0))</f>
        <v>road maintenance</v>
      </c>
      <c r="B257" s="16">
        <f>INDEX('vehicles specifications'!$B$3:$CK$86,MATCH(B232,'vehicles specifications'!$A$3:$A$86,0),MATCH(G257,'vehicles specifications'!$B$2:$CK$2,0))*INDEX('ei names mapping'!$B$137:$BK$220,MATCH(B232,'ei names mapping'!$A$137:$A$220,0),MATCH(G257,'ei names mapping'!$B$136:$BK$136,0))</f>
        <v>1.2899999999999999E-3</v>
      </c>
      <c r="C257" s="12" t="str">
        <f>INDEX('ei names mapping'!$B$38:$R$67,MATCH(B229,'ei names mapping'!$A$4:$A$33,0),MATCH(G257,'ei names mapping'!$B$3:$R$3,0))</f>
        <v>CH</v>
      </c>
      <c r="D257" s="12" t="str">
        <f>INDEX('ei names mapping'!$B$104:$BK$133,MATCH(B229,'ei names mapping'!$A$104:$A$133,0),MATCH(G257,'ei names mapping'!$B$3:$BK$3,0))</f>
        <v>meter-year</v>
      </c>
      <c r="E257" s="12"/>
      <c r="F257" s="12" t="s">
        <v>91</v>
      </c>
      <c r="G257" t="s">
        <v>117</v>
      </c>
      <c r="H257" s="12" t="str">
        <f>INDEX('ei names mapping'!$B$71:$BK$100,MATCH(B229,'ei names mapping'!$A$4:$A$33,0),MATCH(G257,'ei names mapping'!$B$3:$BK$3,0))</f>
        <v>road maintenance</v>
      </c>
    </row>
    <row r="258" spans="1:8" x14ac:dyDescent="0.3">
      <c r="A258" s="12" t="str">
        <f>INDEX('ei names mapping'!$B$4:$R$33,MATCH(B229,'ei names mapping'!$A$4:$A$33,0),MATCH(G258,'ei names mapping'!$B$3:$R$3,0))</f>
        <v>maintenance, motor scooter</v>
      </c>
      <c r="B258" s="16">
        <f>INDEX('vehicles specifications'!$B$3:$CK$86,MATCH(B232,'vehicles specifications'!$A$3:$A$86,0),MATCH(G258,'vehicles specifications'!$B$2:$CK$2,0))*INDEX('ei names mapping'!$B$137:$BK$220,MATCH(B232,'ei names mapping'!$A$137:$A$220,0),MATCH(G258,'ei names mapping'!$B$136:$BK$136,0))</f>
        <v>2.9940119760479042E-5</v>
      </c>
      <c r="C258" s="12" t="str">
        <f>INDEX('ei names mapping'!$B$38:$BK$67,MATCH(B229,'ei names mapping'!$A$4:$A$33,0),MATCH(G258,'ei names mapping'!$B$3:$BK$3,0))</f>
        <v>CH</v>
      </c>
      <c r="D258" s="12" t="str">
        <f>INDEX('ei names mapping'!$B$104:$BK$133,MATCH(B229,'ei names mapping'!$A$4:$A$33,0),MATCH(G258,'ei names mapping'!$B$3:$BK$3,0))</f>
        <v>unit</v>
      </c>
      <c r="F258" s="12" t="s">
        <v>91</v>
      </c>
      <c r="G258" s="12" t="s">
        <v>123</v>
      </c>
      <c r="H258" s="12" t="str">
        <f>INDEX('ei names mapping'!$B$71:$BK$100,MATCH(B229,'ei names mapping'!$A$4:$A$33,0),MATCH(G258,'ei names mapping'!$B$3:$BK$3,0))</f>
        <v>maintenance, motor scooter</v>
      </c>
    </row>
    <row r="259" spans="1:8" x14ac:dyDescent="0.3">
      <c r="A259" s="12" t="str">
        <f>INDEX('ei names mapping'!$B$4:$R$33,MATCH(B229,'ei names mapping'!$A$4:$A$33,0),MATCH(G259,'ei names mapping'!$B$3:$R$3,0))</f>
        <v>petrol blending for two-stroke engines</v>
      </c>
      <c r="B259" s="16">
        <f>INDEX('vehicles specifications'!$B$3:$CK$86,MATCH(B232,'vehicles specifications'!$A$3:$A$86,0),MATCH(G259,'vehicles specifications'!$B$2:$CK$2,0))*INDEX('ei names mapping'!$B$137:$BK$220,MATCH(B232,'ei names mapping'!$A$137:$A$220,0),MATCH(G259,'ei names mapping'!$B$136:$BK$136,0))</f>
        <v>1.9799578615426895E-2</v>
      </c>
      <c r="C259" s="12" t="str">
        <f>INDEX('ei names mapping'!$B$38:$BK$67,MATCH(B229,'ei names mapping'!$A$4:$A$33,0),MATCH(G259,'ei names mapping'!$B$3:$BK$3,0))</f>
        <v>CH</v>
      </c>
      <c r="D259" s="12" t="str">
        <f>INDEX('ei names mapping'!$B$104:$BK$133,MATCH(B229,'ei names mapping'!$A$4:$A$33,0),MATCH(G259,'ei names mapping'!$B$3:$BK$3,0))</f>
        <v>kilogram</v>
      </c>
      <c r="F259" s="12" t="s">
        <v>91</v>
      </c>
      <c r="G259" s="12" t="s">
        <v>27</v>
      </c>
      <c r="H259" s="12" t="str">
        <f>INDEX('ei names mapping'!$B$71:$BK$100,MATCH(B229,'ei names mapping'!$A$4:$A$33,0),MATCH(G259,'ei names mapping'!$B$3:$BK$3,0))</f>
        <v>petrol, two-stroke blend</v>
      </c>
    </row>
    <row r="260" spans="1:8" x14ac:dyDescent="0.3">
      <c r="A260" s="12" t="str">
        <f>INDEX('ei names mapping'!$B$4:$BK$33,MATCH(B229,'ei names mapping'!$A$4:$A$33,0),MATCH(G260,'ei names mapping'!$B$3:$BK$3,0))</f>
        <v>Carbon dioxide, fossil</v>
      </c>
      <c r="B260" s="16">
        <f>INDEX('vehicles specifications'!$B$3:$CK$86,MATCH(B232,'vehicles specifications'!$A$3:$A$86,0),MATCH(G260,'vehicles specifications'!$B$2:$CK$2,0))*INDEX('ei names mapping'!$B$137:$BK$220,MATCH(B232,'ei names mapping'!$A$137:$A$220,0),MATCH(G260,'ei names mapping'!$B$136:$BK$136,0))</f>
        <v>6.2962659997057524E-2</v>
      </c>
      <c r="C260" s="12"/>
      <c r="D260" s="12" t="str">
        <f>INDEX('ei names mapping'!$B$104:$BK$133,MATCH(B229,'ei names mapping'!$A$4:$A$33,0),MATCH(G260,'ei names mapping'!$B$3:$BK$3,0))</f>
        <v>kilogram</v>
      </c>
      <c r="E260" s="12" t="str">
        <f>INDEX('ei names mapping'!$B$225:$BK$255,MATCH(B229,'ei names mapping'!$A$4:$A$33,0),MATCH(G260,'ei names mapping'!$B$3:$BK$3,0))</f>
        <v>air</v>
      </c>
      <c r="F260" s="12" t="s">
        <v>173</v>
      </c>
      <c r="G260" t="s">
        <v>67</v>
      </c>
      <c r="H260" s="12"/>
    </row>
    <row r="261" spans="1:8" x14ac:dyDescent="0.3">
      <c r="A261" s="12" t="str">
        <f>INDEX('ei names mapping'!$B$4:$BK$33,MATCH(B229,'ei names mapping'!$A$4:$A$33,0),MATCH(G261,'ei names mapping'!$B$3:$BK$3,0))</f>
        <v>Sulfur dioxide</v>
      </c>
      <c r="B261" s="15">
        <f>INDEX('vehicles specifications'!$B$3:$CK$86,MATCH(B232,'vehicles specifications'!$A$3:$A$86,0),MATCH(G261,'vehicles specifications'!$B$2:$CK$2,0))*INDEX('ei names mapping'!$B$137:$BK$220,MATCH(B232,'ei names mapping'!$A$137:$A$220,0),MATCH(G261,'ei names mapping'!$B$136:$BK$136,0))</f>
        <v>3.1679325784683032E-7</v>
      </c>
      <c r="C261" s="12"/>
      <c r="D261" s="12" t="str">
        <f>INDEX('ei names mapping'!$B$104:$BK$133,MATCH(B229,'ei names mapping'!$A$4:$A$33,0),MATCH(G261,'ei names mapping'!$B$3:$BK$3,0))</f>
        <v>kilogram</v>
      </c>
      <c r="E261" s="12" t="str">
        <f>INDEX('ei names mapping'!$B$225:$BK$255,MATCH(B229,'ei names mapping'!$A$4:$A$33,0),MATCH(G261,'ei names mapping'!$B$3:$BK$3,0))</f>
        <v>air</v>
      </c>
      <c r="F261" s="12" t="s">
        <v>173</v>
      </c>
      <c r="G261" t="s">
        <v>68</v>
      </c>
      <c r="H261" s="12"/>
    </row>
    <row r="262" spans="1:8" x14ac:dyDescent="0.3">
      <c r="A262" s="12" t="str">
        <f>INDEX('ei names mapping'!$B$4:$BK$33,MATCH(B229,'ei names mapping'!$A$4:$A$33,0),MATCH(G262,'ei names mapping'!$B$3:$BK$3,0))</f>
        <v>Benzene</v>
      </c>
      <c r="B262" s="15">
        <f>INDEX('vehicles specifications'!$B$3:$CK$86,MATCH(B232,'vehicles specifications'!$A$3:$A$86,0),MATCH(G262,'vehicles specifications'!$B$2:$CK$2,0))*INDEX('ei names mapping'!$B$137:$BK$220,MATCH(B232,'ei names mapping'!$A$137:$A$220,0),MATCH(G262,'ei names mapping'!$B$136:$BK$136,0))</f>
        <v>1.0310040666120319E-4</v>
      </c>
      <c r="C262" s="12"/>
      <c r="D262" s="12" t="str">
        <f>INDEX('ei names mapping'!$B$104:$BK$133,MATCH(B229,'ei names mapping'!$A$4:$A$33,0),MATCH(G262,'ei names mapping'!$B$3:$BK$3,0))</f>
        <v>kilogram</v>
      </c>
      <c r="E262" s="12" t="str">
        <f>INDEX('ei names mapping'!$B$225:$BK$255,MATCH(B229,'ei names mapping'!$A$4:$A$33,0),MATCH(G262,'ei names mapping'!$B$3:$BK$3,0))</f>
        <v>air</v>
      </c>
      <c r="F262" s="12" t="s">
        <v>173</v>
      </c>
      <c r="G262" t="s">
        <v>56</v>
      </c>
      <c r="H262" s="12"/>
    </row>
    <row r="263" spans="1:8" x14ac:dyDescent="0.3">
      <c r="A263" s="12" t="str">
        <f>INDEX('ei names mapping'!$B$4:$BK$33,MATCH(B229,'ei names mapping'!$A$4:$A$33,0),MATCH(G263,'ei names mapping'!$B$3:$BK$3,0))</f>
        <v>Methane, fossil</v>
      </c>
      <c r="B263" s="15">
        <f>INDEX('vehicles specifications'!$B$3:$CK$86,MATCH(B232,'vehicles specifications'!$A$3:$A$86,0),MATCH(G263,'vehicles specifications'!$B$2:$CK$2,0))*INDEX('ei names mapping'!$B$137:$BK$220,MATCH(B232,'ei names mapping'!$A$137:$A$220,0),MATCH(G263,'ei names mapping'!$B$136:$BK$136,0))</f>
        <v>2.2338843798195468E-5</v>
      </c>
      <c r="C263" s="12"/>
      <c r="D263" s="12" t="str">
        <f>INDEX('ei names mapping'!$B$104:$BK$133,MATCH(B229,'ei names mapping'!$A$4:$A$33,0),MATCH(G263,'ei names mapping'!$B$3:$BK$3,0))</f>
        <v>kilogram</v>
      </c>
      <c r="E263" s="12" t="str">
        <f>INDEX('ei names mapping'!$B$225:$BK$255,MATCH(B229,'ei names mapping'!$A$4:$A$33,0),MATCH(G263,'ei names mapping'!$B$3:$BK$3,0))</f>
        <v>air</v>
      </c>
      <c r="F263" s="12" t="s">
        <v>173</v>
      </c>
      <c r="G263" t="s">
        <v>57</v>
      </c>
      <c r="H263" s="12"/>
    </row>
    <row r="264" spans="1:8" x14ac:dyDescent="0.3">
      <c r="A264" s="12" t="str">
        <f>INDEX('ei names mapping'!$B$4:$BK$33,MATCH(B229,'ei names mapping'!$A$4:$A$33,0),MATCH(G264,'ei names mapping'!$B$3:$BK$3,0))</f>
        <v>Carbon monoxide, fossil</v>
      </c>
      <c r="B264" s="15">
        <f>INDEX('vehicles specifications'!$B$3:$CK$86,MATCH(B232,'vehicles specifications'!$A$3:$A$86,0),MATCH(G264,'vehicles specifications'!$B$2:$CK$2,0))*INDEX('ei names mapping'!$B$137:$BK$220,MATCH(B232,'ei names mapping'!$A$137:$A$220,0),MATCH(G264,'ei names mapping'!$B$136:$BK$136,0))</f>
        <v>3.277971259693117E-3</v>
      </c>
      <c r="C264" s="12"/>
      <c r="D264" s="12" t="str">
        <f>INDEX('ei names mapping'!$B$104:$BK$133,MATCH(B229,'ei names mapping'!$A$4:$A$33,0),MATCH(G264,'ei names mapping'!$B$3:$BK$3,0))</f>
        <v>kilogram</v>
      </c>
      <c r="E264" s="12" t="str">
        <f>INDEX('ei names mapping'!$B$225:$BK$255,MATCH(B229,'ei names mapping'!$A$4:$A$33,0),MATCH(G264,'ei names mapping'!$B$3:$BK$3,0))</f>
        <v>air</v>
      </c>
      <c r="F264" s="12" t="s">
        <v>173</v>
      </c>
      <c r="G264" t="s">
        <v>58</v>
      </c>
      <c r="H264" s="12"/>
    </row>
    <row r="265" spans="1:8" x14ac:dyDescent="0.3">
      <c r="A265" s="12" t="str">
        <f>INDEX('ei names mapping'!$B$4:$BK$33,MATCH(B229,'ei names mapping'!$A$4:$A$33,0),MATCH(G265,'ei names mapping'!$B$3:$BK$3,0))</f>
        <v>Dinitrogen monoxide</v>
      </c>
      <c r="B265" s="15">
        <f>INDEX('vehicles specifications'!$B$3:$CK$86,MATCH(B232,'vehicles specifications'!$A$3:$A$86,0),MATCH(G265,'vehicles specifications'!$B$2:$CK$2,0))*INDEX('ei names mapping'!$B$137:$BK$220,MATCH(B232,'ei names mapping'!$A$137:$A$220,0),MATCH(G265,'ei names mapping'!$B$136:$BK$136,0))</f>
        <v>1.1333761439977408E-6</v>
      </c>
      <c r="C265" s="12"/>
      <c r="D265" s="12" t="str">
        <f>INDEX('ei names mapping'!$B$104:$BK$133,MATCH(B229,'ei names mapping'!$A$4:$A$33,0),MATCH(G265,'ei names mapping'!$B$3:$BK$3,0))</f>
        <v>kilogram</v>
      </c>
      <c r="E265" s="12" t="str">
        <f>INDEX('ei names mapping'!$B$225:$BK$255,MATCH(B229,'ei names mapping'!$A$4:$A$33,0),MATCH(G265,'ei names mapping'!$B$3:$BK$3,0))</f>
        <v>air</v>
      </c>
      <c r="F265" s="12" t="s">
        <v>173</v>
      </c>
      <c r="G265" t="s">
        <v>59</v>
      </c>
      <c r="H265" s="12"/>
    </row>
    <row r="266" spans="1:8" x14ac:dyDescent="0.3">
      <c r="A266" s="12" t="str">
        <f>INDEX('ei names mapping'!$B$4:$BK$33,MATCH(B229,'ei names mapping'!$A$4:$A$33,0),MATCH(G266,'ei names mapping'!$B$3:$BK$3,0))</f>
        <v>Ammonia</v>
      </c>
      <c r="B266" s="15">
        <f>INDEX('vehicles specifications'!$B$3:$CK$86,MATCH(B232,'vehicles specifications'!$A$3:$A$86,0),MATCH(G266,'vehicles specifications'!$B$2:$CK$2,0))*INDEX('ei names mapping'!$B$137:$BK$220,MATCH(B232,'ei names mapping'!$A$137:$A$220,0),MATCH(G266,'ei names mapping'!$B$136:$BK$136,0))</f>
        <v>1.1333761439977408E-6</v>
      </c>
      <c r="C266" s="12"/>
      <c r="D266" s="12" t="str">
        <f>INDEX('ei names mapping'!$B$104:$BK$133,MATCH(B229,'ei names mapping'!$A$4:$A$33,0),MATCH(G266,'ei names mapping'!$B$3:$BK$3,0))</f>
        <v>kilogram</v>
      </c>
      <c r="E266" s="12" t="str">
        <f>INDEX('ei names mapping'!$B$225:$BK$255,MATCH(B229,'ei names mapping'!$A$4:$A$33,0),MATCH(G266,'ei names mapping'!$B$3:$BK$3,0))</f>
        <v>air</v>
      </c>
      <c r="F266" s="12" t="s">
        <v>173</v>
      </c>
      <c r="G266" t="s">
        <v>60</v>
      </c>
      <c r="H266" s="12"/>
    </row>
    <row r="267" spans="1:8" x14ac:dyDescent="0.3">
      <c r="A267" s="12" t="str">
        <f>INDEX('ei names mapping'!$B$4:$BK$33,MATCH(B229,'ei names mapping'!$A$4:$A$33,0),MATCH(G267,'ei names mapping'!$B$3:$BK$3,0))</f>
        <v>Nitrogen oxides</v>
      </c>
      <c r="B267" s="15">
        <f>INDEX('vehicles specifications'!$B$3:$CK$86,MATCH(B232,'vehicles specifications'!$A$3:$A$86,0),MATCH(G267,'vehicles specifications'!$B$2:$CK$2,0))*INDEX('ei names mapping'!$B$137:$BK$220,MATCH(B232,'ei names mapping'!$A$137:$A$220,0),MATCH(G267,'ei names mapping'!$B$136:$BK$136,0))</f>
        <v>3.7393687755796559E-4</v>
      </c>
      <c r="C267" s="12"/>
      <c r="D267" s="12" t="str">
        <f>INDEX('ei names mapping'!$B$104:$BK$133,MATCH(B229,'ei names mapping'!$A$4:$A$33,0),MATCH(G267,'ei names mapping'!$B$3:$BK$3,0))</f>
        <v>kilogram</v>
      </c>
      <c r="E267" s="12" t="str">
        <f>INDEX('ei names mapping'!$B$225:$BK$255,MATCH(B229,'ei names mapping'!$A$4:$A$33,0),MATCH(G267,'ei names mapping'!$B$3:$BK$3,0))</f>
        <v>air</v>
      </c>
      <c r="F267" s="12" t="s">
        <v>173</v>
      </c>
      <c r="G267" s="12" t="s">
        <v>61</v>
      </c>
      <c r="H267" s="12"/>
    </row>
    <row r="268" spans="1:8" x14ac:dyDescent="0.3">
      <c r="A268" s="12" t="str">
        <f>INDEX('ei names mapping'!$B$4:$BK$33,MATCH(B229,'ei names mapping'!$A$4:$A$33,0),MATCH(G268,'ei names mapping'!$B$3:$BK$3,0))</f>
        <v>Particulates, &lt; 2.5 um</v>
      </c>
      <c r="B268" s="15">
        <f>INDEX('vehicles specifications'!$B$3:$CK$86,MATCH(B$232,'vehicles specifications'!$A$3:$A$86,0),MATCH(G268,'vehicles specifications'!$B$2:$CK$2,0))*INDEX('ei names mapping'!$B$137:$BK$220,MATCH(B$232,'ei names mapping'!$A$137:$A$220,0),MATCH(G268,'ei names mapping'!$B$136:$BK$136,0))</f>
        <v>1.1713745554585587E-5</v>
      </c>
      <c r="C268" s="12"/>
      <c r="D268" s="12" t="str">
        <f>INDEX('ei names mapping'!$B$104:$BK$133,MATCH(B229,'ei names mapping'!$A$4:$A$33,0),MATCH(G268,'ei names mapping'!$B$3:$BK$3,0))</f>
        <v>kilogram</v>
      </c>
      <c r="E268" s="12" t="str">
        <f>INDEX('ei names mapping'!$B$225:$BK$255,MATCH(B229,'ei names mapping'!$A$4:$A$33,0),MATCH(G268,'ei names mapping'!$B$3:$BK$3,0))</f>
        <v>air</v>
      </c>
      <c r="F268" s="12" t="s">
        <v>173</v>
      </c>
      <c r="G268" s="12" t="s">
        <v>63</v>
      </c>
      <c r="H268" s="12"/>
    </row>
    <row r="269" spans="1:8" s="21" customFormat="1" x14ac:dyDescent="0.3">
      <c r="A269" s="12" t="str">
        <f>INDEX('ei names mapping'!$B$4:$BK$33,MATCH(B$229,'ei names mapping'!$A$4:$A$33,0),MATCH(G269,'ei names mapping'!$B$3:$BK$3,0))</f>
        <v>NMVOC, non-methane volatile organic compounds, unspecified origin</v>
      </c>
      <c r="B269" s="15">
        <f>INDEX('vehicles specifications'!$B$3:$CK$86,MATCH(B$232,'vehicles specifications'!$A$3:$A$86,0),MATCH(G269,'vehicles specifications'!$B$2:$CK$2,0))*INDEX('ei names mapping'!$B$137:$BK$220,MATCH(B$232,'ei names mapping'!$A$137:$A$220,0),MATCH(G269,'ei names mapping'!$B$136:$BK$136,0))</f>
        <v>8.3141932216628021E-4</v>
      </c>
      <c r="C269" s="12"/>
      <c r="D269" s="12" t="str">
        <f>INDEX('ei names mapping'!$B$104:$BK$133,MATCH(B$229,'ei names mapping'!$A$4:$A$33,0),MATCH(G269,'ei names mapping'!$B$3:$BK$3,0))</f>
        <v>kilogram</v>
      </c>
      <c r="E269" s="12" t="str">
        <f>INDEX('ei names mapping'!$B$225:$BK$255,MATCH(B$229,'ei names mapping'!$A$4:$A$33,0),MATCH(G269,'ei names mapping'!$B$3:$BK$3,0))</f>
        <v>air</v>
      </c>
      <c r="F269" s="12" t="s">
        <v>173</v>
      </c>
      <c r="G269" s="12" t="s">
        <v>659</v>
      </c>
      <c r="H269" s="12"/>
    </row>
    <row r="270" spans="1:8" s="21" customFormat="1" x14ac:dyDescent="0.3">
      <c r="A270" s="12" t="str">
        <f>INDEX('ei names mapping'!$B$4:$BK$33,MATCH(B$229,'ei names mapping'!$A$4:$A$33,0),MATCH(G270,'ei names mapping'!$B$3:$BK$3,0))</f>
        <v>Ethane</v>
      </c>
      <c r="B270" s="15">
        <f>INDEX('vehicles specifications'!$B$3:$CK$86,MATCH(B$232,'vehicles specifications'!$A$3:$A$86,0),MATCH(G270,'vehicles specifications'!$B$2:$CK$2,0))*INDEX('ei names mapping'!$B$137:$BK$220,MATCH(B$232,'ei names mapping'!$A$137:$A$220,0),MATCH(G270,'ei names mapping'!$B$136:$BK$136,0))</f>
        <v>5.8625721434801813E-5</v>
      </c>
      <c r="C270" s="12"/>
      <c r="D270" s="12" t="str">
        <f>INDEX('ei names mapping'!$B$104:$BK$133,MATCH(B$229,'ei names mapping'!$A$4:$A$33,0),MATCH(G270,'ei names mapping'!$B$3:$BK$3,0))</f>
        <v>kilogram</v>
      </c>
      <c r="E270" s="12" t="str">
        <f>INDEX('ei names mapping'!$B$225:$BK$255,MATCH(B$229,'ei names mapping'!$A$4:$A$33,0),MATCH(G270,'ei names mapping'!$B$3:$BK$3,0))</f>
        <v>air</v>
      </c>
      <c r="F270" s="12" t="s">
        <v>173</v>
      </c>
      <c r="G270" s="12" t="s">
        <v>603</v>
      </c>
      <c r="H270" s="12"/>
    </row>
    <row r="271" spans="1:8" s="21" customFormat="1" x14ac:dyDescent="0.3">
      <c r="A271" s="12" t="str">
        <f>INDEX('ei names mapping'!$B$4:$BK$33,MATCH(B$229,'ei names mapping'!$A$4:$A$33,0),MATCH(G271,'ei names mapping'!$B$3:$BK$3,0))</f>
        <v>Propane</v>
      </c>
      <c r="B271" s="15">
        <f>INDEX('vehicles specifications'!$B$3:$CK$86,MATCH(B$232,'vehicles specifications'!$A$3:$A$86,0),MATCH(G271,'vehicles specifications'!$B$2:$CK$2,0))*INDEX('ei names mapping'!$B$137:$BK$220,MATCH(B$232,'ei names mapping'!$A$137:$A$220,0),MATCH(G271,'ei names mapping'!$B$136:$BK$136,0))</f>
        <v>1.1945679916182187E-5</v>
      </c>
      <c r="C271" s="12"/>
      <c r="D271" s="12" t="str">
        <f>INDEX('ei names mapping'!$B$104:$BK$133,MATCH(B$229,'ei names mapping'!$A$4:$A$33,0),MATCH(G271,'ei names mapping'!$B$3:$BK$3,0))</f>
        <v>kilogram</v>
      </c>
      <c r="E271" s="12" t="str">
        <f>INDEX('ei names mapping'!$B$225:$BK$255,MATCH(B$229,'ei names mapping'!$A$4:$A$33,0),MATCH(G271,'ei names mapping'!$B$3:$BK$3,0))</f>
        <v>air</v>
      </c>
      <c r="F271" s="12" t="s">
        <v>173</v>
      </c>
      <c r="G271" s="12" t="s">
        <v>604</v>
      </c>
      <c r="H271" s="12"/>
    </row>
    <row r="272" spans="1:8" s="21" customFormat="1" x14ac:dyDescent="0.3">
      <c r="A272" s="12" t="str">
        <f>INDEX('ei names mapping'!$B$4:$BK$33,MATCH(B$229,'ei names mapping'!$A$4:$A$33,0),MATCH(G272,'ei names mapping'!$B$3:$BK$3,0))</f>
        <v>Butane</v>
      </c>
      <c r="B272" s="15">
        <f>INDEX('vehicles specifications'!$B$3:$CK$86,MATCH(B$232,'vehicles specifications'!$A$3:$A$86,0),MATCH(G272,'vehicles specifications'!$B$2:$CK$2,0))*INDEX('ei names mapping'!$B$137:$BK$220,MATCH(B$232,'ei names mapping'!$A$137:$A$220,0),MATCH(G272,'ei names mapping'!$B$136:$BK$136,0))</f>
        <v>9.6300558093530248E-5</v>
      </c>
      <c r="C272" s="12"/>
      <c r="D272" s="12" t="str">
        <f>INDEX('ei names mapping'!$B$104:$BK$133,MATCH(B$229,'ei names mapping'!$A$4:$A$33,0),MATCH(G272,'ei names mapping'!$B$3:$BK$3,0))</f>
        <v>kilogram</v>
      </c>
      <c r="E272" s="12" t="str">
        <f>INDEX('ei names mapping'!$B$225:$BK$255,MATCH(B$229,'ei names mapping'!$A$4:$A$33,0),MATCH(G272,'ei names mapping'!$B$3:$BK$3,0))</f>
        <v>air</v>
      </c>
      <c r="F272" s="12" t="s">
        <v>173</v>
      </c>
      <c r="G272" s="12" t="s">
        <v>605</v>
      </c>
      <c r="H272" s="12"/>
    </row>
    <row r="273" spans="1:8" s="21" customFormat="1" x14ac:dyDescent="0.3">
      <c r="A273" s="12" t="str">
        <f>INDEX('ei names mapping'!$B$4:$BK$33,MATCH(B$229,'ei names mapping'!$A$4:$A$33,0),MATCH(G273,'ei names mapping'!$B$3:$BK$3,0))</f>
        <v>Pentane</v>
      </c>
      <c r="B273" s="15">
        <f>INDEX('vehicles specifications'!$B$3:$CK$86,MATCH(B$232,'vehicles specifications'!$A$3:$A$86,0),MATCH(G273,'vehicles specifications'!$B$2:$CK$2,0))*INDEX('ei names mapping'!$B$137:$BK$220,MATCH(B$232,'ei names mapping'!$A$137:$A$220,0),MATCH(G273,'ei names mapping'!$B$136:$BK$136,0))</f>
        <v>3.9512633568910311E-5</v>
      </c>
      <c r="C273" s="12"/>
      <c r="D273" s="12" t="str">
        <f>INDEX('ei names mapping'!$B$104:$BK$133,MATCH(B$229,'ei names mapping'!$A$4:$A$33,0),MATCH(G273,'ei names mapping'!$B$3:$BK$3,0))</f>
        <v>kilogram</v>
      </c>
      <c r="E273" s="12" t="str">
        <f>INDEX('ei names mapping'!$B$225:$BK$255,MATCH(B$229,'ei names mapping'!$A$4:$A$33,0),MATCH(G273,'ei names mapping'!$B$3:$BK$3,0))</f>
        <v>air</v>
      </c>
      <c r="F273" s="12" t="s">
        <v>173</v>
      </c>
      <c r="G273" s="12" t="s">
        <v>606</v>
      </c>
      <c r="H273" s="12"/>
    </row>
    <row r="274" spans="1:8" s="21" customFormat="1" x14ac:dyDescent="0.3">
      <c r="A274" s="12" t="str">
        <f>INDEX('ei names mapping'!$B$4:$BK$33,MATCH(B$229,'ei names mapping'!$A$4:$A$33,0),MATCH(G274,'ei names mapping'!$B$3:$BK$3,0))</f>
        <v>Hexane</v>
      </c>
      <c r="B274" s="15">
        <f>INDEX('vehicles specifications'!$B$3:$CK$86,MATCH(B$232,'vehicles specifications'!$A$3:$A$86,0),MATCH(G274,'vehicles specifications'!$B$2:$CK$2,0))*INDEX('ei names mapping'!$B$137:$BK$220,MATCH(B$232,'ei names mapping'!$A$137:$A$220,0),MATCH(G274,'ei names mapping'!$B$136:$BK$136,0))</f>
        <v>2.9588530253928191E-5</v>
      </c>
      <c r="C274" s="12"/>
      <c r="D274" s="12" t="str">
        <f>INDEX('ei names mapping'!$B$104:$BK$133,MATCH(B$229,'ei names mapping'!$A$4:$A$33,0),MATCH(G274,'ei names mapping'!$B$3:$BK$3,0))</f>
        <v>kilogram</v>
      </c>
      <c r="E274" s="12" t="str">
        <f>INDEX('ei names mapping'!$B$225:$BK$255,MATCH(B$229,'ei names mapping'!$A$4:$A$33,0),MATCH(G274,'ei names mapping'!$B$3:$BK$3,0))</f>
        <v>air</v>
      </c>
      <c r="F274" s="12" t="s">
        <v>173</v>
      </c>
      <c r="G274" s="12" t="s">
        <v>607</v>
      </c>
      <c r="H274" s="12"/>
    </row>
    <row r="275" spans="1:8" s="21" customFormat="1" x14ac:dyDescent="0.3">
      <c r="A275" s="12" t="str">
        <f>INDEX('ei names mapping'!$B$4:$BK$33,MATCH(B$229,'ei names mapping'!$A$4:$A$33,0),MATCH(G275,'ei names mapping'!$B$3:$BK$3,0))</f>
        <v>Cyclohexane</v>
      </c>
      <c r="B275" s="15">
        <f>INDEX('vehicles specifications'!$B$3:$CK$86,MATCH(B$232,'vehicles specifications'!$A$3:$A$86,0),MATCH(G275,'vehicles specifications'!$B$2:$CK$2,0))*INDEX('ei names mapping'!$B$137:$BK$220,MATCH(B$232,'ei names mapping'!$A$137:$A$220,0),MATCH(G275,'ei names mapping'!$B$136:$BK$136,0))</f>
        <v>2.0950884776073375E-5</v>
      </c>
      <c r="C275" s="12"/>
      <c r="D275" s="12" t="str">
        <f>INDEX('ei names mapping'!$B$104:$BK$133,MATCH(B$229,'ei names mapping'!$A$4:$A$33,0),MATCH(G275,'ei names mapping'!$B$3:$BK$3,0))</f>
        <v>kilogram</v>
      </c>
      <c r="E275" s="12" t="str">
        <f>INDEX('ei names mapping'!$B$225:$BK$255,MATCH(B$229,'ei names mapping'!$A$4:$A$33,0),MATCH(G275,'ei names mapping'!$B$3:$BK$3,0))</f>
        <v>air</v>
      </c>
      <c r="F275" s="12" t="s">
        <v>173</v>
      </c>
      <c r="G275" s="12" t="s">
        <v>608</v>
      </c>
      <c r="H275" s="12"/>
    </row>
    <row r="276" spans="1:8" s="21" customFormat="1" x14ac:dyDescent="0.3">
      <c r="A276" s="12" t="str">
        <f>INDEX('ei names mapping'!$B$4:$BK$33,MATCH(B$229,'ei names mapping'!$A$4:$A$33,0),MATCH(G276,'ei names mapping'!$B$3:$BK$3,0))</f>
        <v>Heptane</v>
      </c>
      <c r="B276" s="15">
        <f>INDEX('vehicles specifications'!$B$3:$CK$86,MATCH(B$232,'vehicles specifications'!$A$3:$A$86,0),MATCH(G276,'vehicles specifications'!$B$2:$CK$2,0))*INDEX('ei names mapping'!$B$137:$BK$220,MATCH(B$232,'ei names mapping'!$A$137:$A$220,0),MATCH(G276,'ei names mapping'!$B$136:$BK$136,0))</f>
        <v>1.3599697135345875E-5</v>
      </c>
      <c r="C276" s="12"/>
      <c r="D276" s="12" t="str">
        <f>INDEX('ei names mapping'!$B$104:$BK$133,MATCH(B$229,'ei names mapping'!$A$4:$A$33,0),MATCH(G276,'ei names mapping'!$B$3:$BK$3,0))</f>
        <v>kilogram</v>
      </c>
      <c r="E276" s="12" t="str">
        <f>INDEX('ei names mapping'!$B$225:$BK$255,MATCH(B$229,'ei names mapping'!$A$4:$A$33,0),MATCH(G276,'ei names mapping'!$B$3:$BK$3,0))</f>
        <v>air</v>
      </c>
      <c r="F276" s="12" t="s">
        <v>173</v>
      </c>
      <c r="G276" s="12" t="s">
        <v>609</v>
      </c>
      <c r="H276" s="12"/>
    </row>
    <row r="277" spans="1:8" s="21" customFormat="1" x14ac:dyDescent="0.3">
      <c r="A277" s="12" t="str">
        <f>INDEX('ei names mapping'!$B$4:$BK$33,MATCH(B$229,'ei names mapping'!$A$4:$A$33,0),MATCH(G277,'ei names mapping'!$B$3:$BK$3,0))</f>
        <v>Ethene</v>
      </c>
      <c r="B277" s="15">
        <f>INDEX('vehicles specifications'!$B$3:$CK$86,MATCH(B$232,'vehicles specifications'!$A$3:$A$86,0),MATCH(G277,'vehicles specifications'!$B$2:$CK$2,0))*INDEX('ei names mapping'!$B$137:$BK$220,MATCH(B$232,'ei names mapping'!$A$137:$A$220,0),MATCH(G277,'ei names mapping'!$B$136:$BK$136,0))</f>
        <v>1.3415917444327687E-4</v>
      </c>
      <c r="C277" s="12"/>
      <c r="D277" s="12" t="str">
        <f>INDEX('ei names mapping'!$B$104:$BK$133,MATCH(B$229,'ei names mapping'!$A$4:$A$33,0),MATCH(G277,'ei names mapping'!$B$3:$BK$3,0))</f>
        <v>kilogram</v>
      </c>
      <c r="E277" s="12" t="str">
        <f>INDEX('ei names mapping'!$B$225:$BK$255,MATCH(B$229,'ei names mapping'!$A$4:$A$33,0),MATCH(G277,'ei names mapping'!$B$3:$BK$3,0))</f>
        <v>air</v>
      </c>
      <c r="F277" s="12" t="s">
        <v>173</v>
      </c>
      <c r="G277" s="12" t="s">
        <v>610</v>
      </c>
      <c r="H277" s="12"/>
    </row>
    <row r="278" spans="1:8" s="21" customFormat="1" x14ac:dyDescent="0.3">
      <c r="A278" s="12" t="str">
        <f>INDEX('ei names mapping'!$B$4:$BK$33,MATCH(B$229,'ei names mapping'!$A$4:$A$33,0),MATCH(G278,'ei names mapping'!$B$3:$BK$3,0))</f>
        <v>Propene</v>
      </c>
      <c r="B278" s="15">
        <f>INDEX('vehicles specifications'!$B$3:$CK$86,MATCH(B$232,'vehicles specifications'!$A$3:$A$86,0),MATCH(G278,'vehicles specifications'!$B$2:$CK$2,0))*INDEX('ei names mapping'!$B$137:$BK$220,MATCH(B$232,'ei names mapping'!$A$137:$A$220,0),MATCH(G278,'ei names mapping'!$B$136:$BK$136,0))</f>
        <v>7.0203841968947625E-5</v>
      </c>
      <c r="C278" s="12"/>
      <c r="D278" s="12" t="str">
        <f>INDEX('ei names mapping'!$B$104:$BK$133,MATCH(B$229,'ei names mapping'!$A$4:$A$33,0),MATCH(G278,'ei names mapping'!$B$3:$BK$3,0))</f>
        <v>kilogram</v>
      </c>
      <c r="E278" s="12" t="str">
        <f>INDEX('ei names mapping'!$B$225:$BK$255,MATCH(B$229,'ei names mapping'!$A$4:$A$33,0),MATCH(G278,'ei names mapping'!$B$3:$BK$3,0))</f>
        <v>air</v>
      </c>
      <c r="F278" s="12" t="s">
        <v>173</v>
      </c>
      <c r="G278" s="12" t="s">
        <v>611</v>
      </c>
      <c r="H278" s="12"/>
    </row>
    <row r="279" spans="1:8" s="21" customFormat="1" x14ac:dyDescent="0.3">
      <c r="A279" s="12" t="str">
        <f>INDEX('ei names mapping'!$B$4:$BK$33,MATCH(B$229,'ei names mapping'!$A$4:$A$33,0),MATCH(G279,'ei names mapping'!$B$3:$BK$3,0))</f>
        <v>1-Pentene</v>
      </c>
      <c r="B279" s="15">
        <f>INDEX('vehicles specifications'!$B$3:$CK$86,MATCH(B$232,'vehicles specifications'!$A$3:$A$86,0),MATCH(G279,'vehicles specifications'!$B$2:$CK$2,0))*INDEX('ei names mapping'!$B$137:$BK$220,MATCH(B$232,'ei names mapping'!$A$137:$A$220,0),MATCH(G279,'ei names mapping'!$B$136:$BK$136,0))</f>
        <v>2.0215766012000624E-6</v>
      </c>
      <c r="C279" s="12"/>
      <c r="D279" s="12" t="str">
        <f>INDEX('ei names mapping'!$B$104:$BK$133,MATCH(B$229,'ei names mapping'!$A$4:$A$33,0),MATCH(G279,'ei names mapping'!$B$3:$BK$3,0))</f>
        <v>kilogram</v>
      </c>
      <c r="E279" s="12" t="str">
        <f>INDEX('ei names mapping'!$B$225:$BK$255,MATCH(B$229,'ei names mapping'!$A$4:$A$33,0),MATCH(G279,'ei names mapping'!$B$3:$BK$3,0))</f>
        <v>air</v>
      </c>
      <c r="F279" s="12" t="s">
        <v>173</v>
      </c>
      <c r="G279" s="12" t="s">
        <v>612</v>
      </c>
      <c r="H279" s="12"/>
    </row>
    <row r="280" spans="1:8" s="21" customFormat="1" x14ac:dyDescent="0.3">
      <c r="A280" s="12" t="str">
        <f>INDEX('ei names mapping'!$B$4:$BK$33,MATCH(B$229,'ei names mapping'!$A$4:$A$33,0),MATCH(G280,'ei names mapping'!$B$3:$BK$3,0))</f>
        <v>Toluene</v>
      </c>
      <c r="B280" s="15">
        <f>INDEX('vehicles specifications'!$B$3:$CK$86,MATCH(B$232,'vehicles specifications'!$A$3:$A$86,0),MATCH(G280,'vehicles specifications'!$B$2:$CK$2,0))*INDEX('ei names mapping'!$B$137:$BK$220,MATCH(B$232,'ei names mapping'!$A$137:$A$220,0),MATCH(G280,'ei names mapping'!$B$136:$BK$136,0))</f>
        <v>2.0179010073796986E-4</v>
      </c>
      <c r="C280" s="12"/>
      <c r="D280" s="12" t="str">
        <f>INDEX('ei names mapping'!$B$104:$BK$133,MATCH(B$229,'ei names mapping'!$A$4:$A$33,0),MATCH(G280,'ei names mapping'!$B$3:$BK$3,0))</f>
        <v>kilogram</v>
      </c>
      <c r="E280" s="12" t="str">
        <f>INDEX('ei names mapping'!$B$225:$BK$255,MATCH(B$229,'ei names mapping'!$A$4:$A$33,0),MATCH(G280,'ei names mapping'!$B$3:$BK$3,0))</f>
        <v>air</v>
      </c>
      <c r="F280" s="12" t="s">
        <v>173</v>
      </c>
      <c r="G280" s="12" t="s">
        <v>613</v>
      </c>
      <c r="H280" s="12"/>
    </row>
    <row r="281" spans="1:8" s="21" customFormat="1" x14ac:dyDescent="0.3">
      <c r="A281" s="12" t="str">
        <f>INDEX('ei names mapping'!$B$4:$BK$33,MATCH(B$229,'ei names mapping'!$A$4:$A$33,0),MATCH(G281,'ei names mapping'!$B$3:$BK$3,0))</f>
        <v>m-Xylene</v>
      </c>
      <c r="B281" s="15">
        <f>INDEX('vehicles specifications'!$B$3:$CK$86,MATCH(B$232,'vehicles specifications'!$A$3:$A$86,0),MATCH(G281,'vehicles specifications'!$B$2:$CK$2,0))*INDEX('ei names mapping'!$B$137:$BK$220,MATCH(B$232,'ei names mapping'!$A$137:$A$220,0),MATCH(G281,'ei names mapping'!$B$136:$BK$136,0))</f>
        <v>9.9792372222875822E-5</v>
      </c>
      <c r="C281" s="12"/>
      <c r="D281" s="12" t="str">
        <f>INDEX('ei names mapping'!$B$104:$BK$133,MATCH(B$229,'ei names mapping'!$A$4:$A$33,0),MATCH(G281,'ei names mapping'!$B$3:$BK$3,0))</f>
        <v>kilogram</v>
      </c>
      <c r="E281" s="12" t="str">
        <f>INDEX('ei names mapping'!$B$225:$BK$255,MATCH(B$229,'ei names mapping'!$A$4:$A$33,0),MATCH(G281,'ei names mapping'!$B$3:$BK$3,0))</f>
        <v>air</v>
      </c>
      <c r="F281" s="12" t="s">
        <v>173</v>
      </c>
      <c r="G281" s="12" t="s">
        <v>614</v>
      </c>
      <c r="H281" s="12"/>
    </row>
    <row r="282" spans="1:8" s="21" customFormat="1" x14ac:dyDescent="0.3">
      <c r="A282" s="12" t="str">
        <f>INDEX('ei names mapping'!$B$4:$BK$33,MATCH(B$229,'ei names mapping'!$A$4:$A$33,0),MATCH(G282,'ei names mapping'!$B$3:$BK$3,0))</f>
        <v>o-Xylene</v>
      </c>
      <c r="B282" s="15">
        <f>INDEX('vehicles specifications'!$B$3:$CK$86,MATCH(B$232,'vehicles specifications'!$A$3:$A$86,0),MATCH(G282,'vehicles specifications'!$B$2:$CK$2,0))*INDEX('ei names mapping'!$B$137:$BK$220,MATCH(B$232,'ei names mapping'!$A$137:$A$220,0),MATCH(G282,'ei names mapping'!$B$136:$BK$136,0))</f>
        <v>4.1534210170110372E-5</v>
      </c>
      <c r="C282" s="12"/>
      <c r="D282" s="12" t="str">
        <f>INDEX('ei names mapping'!$B$104:$BK$133,MATCH(B$229,'ei names mapping'!$A$4:$A$33,0),MATCH(G282,'ei names mapping'!$B$3:$BK$3,0))</f>
        <v>kilogram</v>
      </c>
      <c r="E282" s="12" t="str">
        <f>INDEX('ei names mapping'!$B$225:$BK$255,MATCH(B$229,'ei names mapping'!$A$4:$A$33,0),MATCH(G282,'ei names mapping'!$B$3:$BK$3,0))</f>
        <v>air</v>
      </c>
      <c r="F282" s="12" t="s">
        <v>173</v>
      </c>
      <c r="G282" s="12" t="s">
        <v>615</v>
      </c>
      <c r="H282" s="12"/>
    </row>
    <row r="283" spans="1:8" s="21" customFormat="1" x14ac:dyDescent="0.3">
      <c r="A283" s="12" t="str">
        <f>INDEX('ei names mapping'!$B$4:$BK$33,MATCH(B$229,'ei names mapping'!$A$4:$A$33,0),MATCH(G283,'ei names mapping'!$B$3:$BK$3,0))</f>
        <v>Formaldehyde</v>
      </c>
      <c r="B283" s="15">
        <f>INDEX('vehicles specifications'!$B$3:$CK$86,MATCH(B$232,'vehicles specifications'!$A$3:$A$86,0),MATCH(G283,'vehicles specifications'!$B$2:$CK$2,0))*INDEX('ei names mapping'!$B$137:$BK$220,MATCH(B$232,'ei names mapping'!$A$137:$A$220,0),MATCH(G283,'ei names mapping'!$B$136:$BK$136,0))</f>
        <v>3.1242547473091882E-5</v>
      </c>
      <c r="C283" s="12"/>
      <c r="D283" s="12" t="str">
        <f>INDEX('ei names mapping'!$B$104:$BK$133,MATCH(B$229,'ei names mapping'!$A$4:$A$33,0),MATCH(G283,'ei names mapping'!$B$3:$BK$3,0))</f>
        <v>kilogram</v>
      </c>
      <c r="E283" s="12" t="str">
        <f>INDEX('ei names mapping'!$B$225:$BK$255,MATCH(B$229,'ei names mapping'!$A$4:$A$33,0),MATCH(G283,'ei names mapping'!$B$3:$BK$3,0))</f>
        <v>air</v>
      </c>
      <c r="F283" s="12" t="s">
        <v>173</v>
      </c>
      <c r="G283" s="12" t="s">
        <v>616</v>
      </c>
      <c r="H283" s="12"/>
    </row>
    <row r="284" spans="1:8" s="21" customFormat="1" x14ac:dyDescent="0.3">
      <c r="A284" s="12" t="str">
        <f>INDEX('ei names mapping'!$B$4:$BK$33,MATCH(B$229,'ei names mapping'!$A$4:$A$33,0),MATCH(G284,'ei names mapping'!$B$3:$BK$3,0))</f>
        <v>Acetaldehyde</v>
      </c>
      <c r="B284" s="15">
        <f>INDEX('vehicles specifications'!$B$3:$CK$86,MATCH(B$232,'vehicles specifications'!$A$3:$A$86,0),MATCH(G284,'vehicles specifications'!$B$2:$CK$2,0))*INDEX('ei names mapping'!$B$137:$BK$220,MATCH(B$232,'ei names mapping'!$A$137:$A$220,0),MATCH(G284,'ei names mapping'!$B$136:$BK$136,0))</f>
        <v>1.3783476826364063E-5</v>
      </c>
      <c r="C284" s="12"/>
      <c r="D284" s="12" t="str">
        <f>INDEX('ei names mapping'!$B$104:$BK$133,MATCH(B$229,'ei names mapping'!$A$4:$A$33,0),MATCH(G284,'ei names mapping'!$B$3:$BK$3,0))</f>
        <v>kilogram</v>
      </c>
      <c r="E284" s="12" t="str">
        <f>INDEX('ei names mapping'!$B$225:$BK$255,MATCH(B$229,'ei names mapping'!$A$4:$A$33,0),MATCH(G284,'ei names mapping'!$B$3:$BK$3,0))</f>
        <v>air</v>
      </c>
      <c r="F284" s="12" t="s">
        <v>173</v>
      </c>
      <c r="G284" s="12" t="s">
        <v>617</v>
      </c>
      <c r="H284" s="12"/>
    </row>
    <row r="285" spans="1:8" s="21" customFormat="1" x14ac:dyDescent="0.3">
      <c r="A285" s="12" t="str">
        <f>INDEX('ei names mapping'!$B$4:$BK$33,MATCH(B$229,'ei names mapping'!$A$4:$A$33,0),MATCH(G285,'ei names mapping'!$B$3:$BK$3,0))</f>
        <v>Benzaldehyde</v>
      </c>
      <c r="B285" s="15">
        <f>INDEX('vehicles specifications'!$B$3:$CK$86,MATCH(B$232,'vehicles specifications'!$A$3:$A$86,0),MATCH(G285,'vehicles specifications'!$B$2:$CK$2,0))*INDEX('ei names mapping'!$B$137:$BK$220,MATCH(B$232,'ei names mapping'!$A$137:$A$220,0),MATCH(G285,'ei names mapping'!$B$136:$BK$136,0))</f>
        <v>4.0431532024001248E-6</v>
      </c>
      <c r="C285" s="12"/>
      <c r="D285" s="12" t="str">
        <f>INDEX('ei names mapping'!$B$104:$BK$133,MATCH(B$229,'ei names mapping'!$A$4:$A$33,0),MATCH(G285,'ei names mapping'!$B$3:$BK$3,0))</f>
        <v>kilogram</v>
      </c>
      <c r="E285" s="12" t="str">
        <f>INDEX('ei names mapping'!$B$225:$BK$255,MATCH(B$229,'ei names mapping'!$A$4:$A$33,0),MATCH(G285,'ei names mapping'!$B$3:$BK$3,0))</f>
        <v>air</v>
      </c>
      <c r="F285" s="12" t="s">
        <v>173</v>
      </c>
      <c r="G285" s="12" t="s">
        <v>618</v>
      </c>
      <c r="H285" s="12"/>
    </row>
    <row r="286" spans="1:8" s="21" customFormat="1" x14ac:dyDescent="0.3">
      <c r="A286" s="12" t="str">
        <f>INDEX('ei names mapping'!$B$4:$BK$33,MATCH(B$229,'ei names mapping'!$A$4:$A$33,0),MATCH(G286,'ei names mapping'!$B$3:$BK$3,0))</f>
        <v>Acetone</v>
      </c>
      <c r="B286" s="15">
        <f>INDEX('vehicles specifications'!$B$3:$CK$86,MATCH(B$232,'vehicles specifications'!$A$3:$A$86,0),MATCH(G286,'vehicles specifications'!$B$2:$CK$2,0))*INDEX('ei names mapping'!$B$137:$BK$220,MATCH(B$232,'ei names mapping'!$A$137:$A$220,0),MATCH(G286,'ei names mapping'!$B$136:$BK$136,0))</f>
        <v>1.1210561152109439E-5</v>
      </c>
      <c r="C286" s="12"/>
      <c r="D286" s="12" t="str">
        <f>INDEX('ei names mapping'!$B$104:$BK$133,MATCH(B$229,'ei names mapping'!$A$4:$A$33,0),MATCH(G286,'ei names mapping'!$B$3:$BK$3,0))</f>
        <v>kilogram</v>
      </c>
      <c r="E286" s="12" t="str">
        <f>INDEX('ei names mapping'!$B$225:$BK$255,MATCH(B$229,'ei names mapping'!$A$4:$A$33,0),MATCH(G286,'ei names mapping'!$B$3:$BK$3,0))</f>
        <v>air</v>
      </c>
      <c r="F286" s="12" t="s">
        <v>173</v>
      </c>
      <c r="G286" s="12" t="s">
        <v>619</v>
      </c>
      <c r="H286" s="12"/>
    </row>
    <row r="287" spans="1:8" s="21" customFormat="1" x14ac:dyDescent="0.3">
      <c r="A287" s="12" t="str">
        <f>INDEX('ei names mapping'!$B$4:$BK$33,MATCH(B$229,'ei names mapping'!$A$4:$A$33,0),MATCH(G287,'ei names mapping'!$B$3:$BK$3,0))</f>
        <v>Methyl ethyl ketone</v>
      </c>
      <c r="B287" s="15">
        <f>INDEX('vehicles specifications'!$B$3:$CK$86,MATCH(B$232,'vehicles specifications'!$A$3:$A$86,0),MATCH(G287,'vehicles specifications'!$B$2:$CK$2,0))*INDEX('ei names mapping'!$B$137:$BK$220,MATCH(B$232,'ei names mapping'!$A$137:$A$220,0),MATCH(G287,'ei names mapping'!$B$136:$BK$136,0))</f>
        <v>9.1889845509093757E-7</v>
      </c>
      <c r="C287" s="12"/>
      <c r="D287" s="12" t="str">
        <f>INDEX('ei names mapping'!$B$104:$BK$133,MATCH(B$229,'ei names mapping'!$A$4:$A$33,0),MATCH(G287,'ei names mapping'!$B$3:$BK$3,0))</f>
        <v>kilogram</v>
      </c>
      <c r="E287" s="12" t="str">
        <f>INDEX('ei names mapping'!$B$225:$BK$255,MATCH(B$229,'ei names mapping'!$A$4:$A$33,0),MATCH(G287,'ei names mapping'!$B$3:$BK$3,0))</f>
        <v>air</v>
      </c>
      <c r="F287" s="12" t="s">
        <v>173</v>
      </c>
      <c r="G287" s="12" t="s">
        <v>622</v>
      </c>
      <c r="H287" s="12"/>
    </row>
    <row r="288" spans="1:8" s="21" customFormat="1" x14ac:dyDescent="0.3">
      <c r="A288" s="12" t="str">
        <f>INDEX('ei names mapping'!$B$4:$BK$33,MATCH(B$229,'ei names mapping'!$A$4:$A$33,0),MATCH(G288,'ei names mapping'!$B$3:$BK$3,0))</f>
        <v>Acrolein</v>
      </c>
      <c r="B288" s="15">
        <f>INDEX('vehicles specifications'!$B$3:$CK$86,MATCH(B$232,'vehicles specifications'!$A$3:$A$86,0),MATCH(G288,'vehicles specifications'!$B$2:$CK$2,0))*INDEX('ei names mapping'!$B$137:$BK$220,MATCH(B$232,'ei names mapping'!$A$137:$A$220,0),MATCH(G288,'ei names mapping'!$B$136:$BK$136,0))</f>
        <v>3.4918141293455624E-6</v>
      </c>
      <c r="C288" s="12"/>
      <c r="D288" s="12" t="str">
        <f>INDEX('ei names mapping'!$B$104:$BK$133,MATCH(B$229,'ei names mapping'!$A$4:$A$33,0),MATCH(G288,'ei names mapping'!$B$3:$BK$3,0))</f>
        <v>kilogram</v>
      </c>
      <c r="E288" s="12" t="str">
        <f>INDEX('ei names mapping'!$B$225:$BK$255,MATCH(B$229,'ei names mapping'!$A$4:$A$33,0),MATCH(G288,'ei names mapping'!$B$3:$BK$3,0))</f>
        <v>air</v>
      </c>
      <c r="F288" s="12" t="s">
        <v>173</v>
      </c>
      <c r="G288" s="12" t="s">
        <v>620</v>
      </c>
      <c r="H288" s="12"/>
    </row>
    <row r="289" spans="1:8" s="21" customFormat="1" x14ac:dyDescent="0.3">
      <c r="A289" s="12" t="str">
        <f>INDEX('ei names mapping'!$B$4:$BK$33,MATCH(B$229,'ei names mapping'!$A$4:$A$33,0),MATCH(G289,'ei names mapping'!$B$3:$BK$3,0))</f>
        <v>Styrene</v>
      </c>
      <c r="B289" s="15">
        <f>INDEX('vehicles specifications'!$B$3:$CK$86,MATCH(B$232,'vehicles specifications'!$A$3:$A$86,0),MATCH(G289,'vehicles specifications'!$B$2:$CK$2,0))*INDEX('ei names mapping'!$B$137:$BK$220,MATCH(B$232,'ei names mapping'!$A$137:$A$220,0),MATCH(G289,'ei names mapping'!$B$136:$BK$136,0))</f>
        <v>1.8561748792836937E-5</v>
      </c>
      <c r="C289" s="12"/>
      <c r="D289" s="12" t="str">
        <f>INDEX('ei names mapping'!$B$104:$BK$133,MATCH(B$229,'ei names mapping'!$A$4:$A$33,0),MATCH(G289,'ei names mapping'!$B$3:$BK$3,0))</f>
        <v>kilogram</v>
      </c>
      <c r="E289" s="12" t="str">
        <f>INDEX('ei names mapping'!$B$225:$BK$255,MATCH(B$229,'ei names mapping'!$A$4:$A$33,0),MATCH(G289,'ei names mapping'!$B$3:$BK$3,0))</f>
        <v>air</v>
      </c>
      <c r="F289" s="12" t="s">
        <v>173</v>
      </c>
      <c r="G289" s="12" t="s">
        <v>621</v>
      </c>
      <c r="H289" s="12"/>
    </row>
    <row r="290" spans="1:8" s="21" customFormat="1" x14ac:dyDescent="0.3">
      <c r="A290" s="12" t="str">
        <f>INDEX('ei names mapping'!$B$4:$BK$33,MATCH(B$229,'ei names mapping'!$A$4:$A$33,0),MATCH(G290,'ei names mapping'!$B$3:$BK$3,0))</f>
        <v>PAH, polycyclic aromatic hydrocarbons</v>
      </c>
      <c r="B290" s="15">
        <f>INDEX('vehicles specifications'!$B$3:$CK$86,MATCH(B$232,'vehicles specifications'!$A$3:$A$86,0),MATCH(G290,'vehicles specifications'!$B$2:$CK$2,0))*INDEX('ei names mapping'!$B$137:$BK$220,MATCH(B$232,'ei names mapping'!$A$137:$A$220,0),MATCH(G290,'ei names mapping'!$B$136:$BK$136,0))</f>
        <v>2.9214674238634691E-8</v>
      </c>
      <c r="C290" s="12"/>
      <c r="D290" s="12" t="str">
        <f>INDEX('ei names mapping'!$B$104:$BK$133,MATCH(B$229,'ei names mapping'!$A$4:$A$33,0),MATCH(G290,'ei names mapping'!$B$3:$BK$3,0))</f>
        <v>kilogram</v>
      </c>
      <c r="E290" s="12" t="str">
        <f>INDEX('ei names mapping'!$B$225:$BK$255,MATCH(B$229,'ei names mapping'!$A$4:$A$33,0),MATCH(G290,'ei names mapping'!$B$3:$BK$3,0))</f>
        <v>air</v>
      </c>
      <c r="F290" s="12" t="s">
        <v>173</v>
      </c>
      <c r="G290" s="12" t="s">
        <v>623</v>
      </c>
      <c r="H290" s="12"/>
    </row>
    <row r="291" spans="1:8" s="21" customFormat="1" x14ac:dyDescent="0.3">
      <c r="A291" s="12" t="str">
        <f>INDEX('ei names mapping'!$B$4:$BK$33,MATCH(B$229,'ei names mapping'!$A$4:$A$33,0),MATCH(G291,'ei names mapping'!$B$3:$BK$3,0))</f>
        <v>Arsenic</v>
      </c>
      <c r="B291" s="15">
        <f>INDEX('vehicles specifications'!$B$3:$CK$86,MATCH(B$232,'vehicles specifications'!$A$3:$A$86,0),MATCH(G291,'vehicles specifications'!$B$2:$CK$2,0))*INDEX('ei names mapping'!$B$137:$BK$220,MATCH(B$232,'ei names mapping'!$A$137:$A$220,0),MATCH(G291,'ei names mapping'!$B$136:$BK$136,0))</f>
        <v>2.5185063998823007E-10</v>
      </c>
      <c r="C291" s="12"/>
      <c r="D291" s="12" t="str">
        <f>INDEX('ei names mapping'!$B$104:$BK$133,MATCH(B$229,'ei names mapping'!$A$4:$A$33,0),MATCH(G291,'ei names mapping'!$B$3:$BK$3,0))</f>
        <v>kilogram</v>
      </c>
      <c r="E291" s="12" t="str">
        <f>INDEX('ei names mapping'!$B$225:$BK$255,MATCH(B$229,'ei names mapping'!$A$4:$A$33,0),MATCH(G291,'ei names mapping'!$B$3:$BK$3,0))</f>
        <v>air</v>
      </c>
      <c r="F291" s="12" t="s">
        <v>173</v>
      </c>
      <c r="G291" s="12" t="s">
        <v>624</v>
      </c>
      <c r="H291" s="12"/>
    </row>
    <row r="292" spans="1:8" s="21" customFormat="1" x14ac:dyDescent="0.3">
      <c r="A292" s="12" t="str">
        <f>INDEX('ei names mapping'!$B$4:$BK$33,MATCH(B$229,'ei names mapping'!$A$4:$A$33,0),MATCH(G292,'ei names mapping'!$B$3:$BK$3,0))</f>
        <v>Selenium</v>
      </c>
      <c r="B292" s="15">
        <f>INDEX('vehicles specifications'!$B$3:$CK$86,MATCH(B$232,'vehicles specifications'!$A$3:$A$86,0),MATCH(G292,'vehicles specifications'!$B$2:$CK$2,0))*INDEX('ei names mapping'!$B$137:$BK$220,MATCH(B$232,'ei names mapping'!$A$137:$A$220,0),MATCH(G292,'ei names mapping'!$B$136:$BK$136,0))</f>
        <v>1.6790042665882005E-10</v>
      </c>
      <c r="C292" s="12"/>
      <c r="D292" s="12" t="str">
        <f>INDEX('ei names mapping'!$B$104:$BK$133,MATCH(B$229,'ei names mapping'!$A$4:$A$33,0),MATCH(G292,'ei names mapping'!$B$3:$BK$3,0))</f>
        <v>kilogram</v>
      </c>
      <c r="E292" s="12" t="str">
        <f>INDEX('ei names mapping'!$B$225:$BK$255,MATCH(B$229,'ei names mapping'!$A$4:$A$33,0),MATCH(G292,'ei names mapping'!$B$3:$BK$3,0))</f>
        <v>air</v>
      </c>
      <c r="F292" s="12" t="s">
        <v>173</v>
      </c>
      <c r="G292" s="12" t="s">
        <v>625</v>
      </c>
      <c r="H292" s="12"/>
    </row>
    <row r="293" spans="1:8" s="21" customFormat="1" x14ac:dyDescent="0.3">
      <c r="A293" s="12" t="str">
        <f>INDEX('ei names mapping'!$B$4:$BK$33,MATCH(B$229,'ei names mapping'!$A$4:$A$33,0),MATCH(G293,'ei names mapping'!$B$3:$BK$3,0))</f>
        <v>Zinc</v>
      </c>
      <c r="B293" s="15">
        <f>INDEX('vehicles specifications'!$B$3:$CK$86,MATCH(B$232,'vehicles specifications'!$A$3:$A$86,0),MATCH(G293,'vehicles specifications'!$B$2:$CK$2,0))*INDEX('ei names mapping'!$B$137:$BK$220,MATCH(B$232,'ei names mapping'!$A$137:$A$220,0),MATCH(G293,'ei names mapping'!$B$136:$BK$136,0))</f>
        <v>1.8133246079152567E-6</v>
      </c>
      <c r="C293" s="12"/>
      <c r="D293" s="12" t="str">
        <f>INDEX('ei names mapping'!$B$104:$BK$133,MATCH(B$229,'ei names mapping'!$A$4:$A$33,0),MATCH(G293,'ei names mapping'!$B$3:$BK$3,0))</f>
        <v>kilogram</v>
      </c>
      <c r="E293" s="12" t="str">
        <f>INDEX('ei names mapping'!$B$225:$BK$255,MATCH(B$229,'ei names mapping'!$A$4:$A$33,0),MATCH(G293,'ei names mapping'!$B$3:$BK$3,0))</f>
        <v>air</v>
      </c>
      <c r="F293" s="12" t="s">
        <v>173</v>
      </c>
      <c r="G293" s="12" t="s">
        <v>626</v>
      </c>
      <c r="H293" s="12"/>
    </row>
    <row r="294" spans="1:8" s="21" customFormat="1" x14ac:dyDescent="0.3">
      <c r="A294" s="12" t="str">
        <f>INDEX('ei names mapping'!$B$4:$BK$33,MATCH(B$229,'ei names mapping'!$A$4:$A$33,0),MATCH(G294,'ei names mapping'!$B$3:$BK$3,0))</f>
        <v>Copper</v>
      </c>
      <c r="B294" s="15">
        <f>INDEX('vehicles specifications'!$B$3:$CK$86,MATCH(B$232,'vehicles specifications'!$A$3:$A$86,0),MATCH(G294,'vehicles specifications'!$B$2:$CK$2,0))*INDEX('ei names mapping'!$B$137:$BK$220,MATCH(B$232,'ei names mapping'!$A$137:$A$220,0),MATCH(G294,'ei names mapping'!$B$136:$BK$136,0))</f>
        <v>3.525908959835221E-8</v>
      </c>
      <c r="C294" s="12"/>
      <c r="D294" s="12" t="str">
        <f>INDEX('ei names mapping'!$B$104:$BK$133,MATCH(B$229,'ei names mapping'!$A$4:$A$33,0),MATCH(G294,'ei names mapping'!$B$3:$BK$3,0))</f>
        <v>kilogram</v>
      </c>
      <c r="E294" s="12" t="str">
        <f>INDEX('ei names mapping'!$B$225:$BK$255,MATCH(B$229,'ei names mapping'!$A$4:$A$33,0),MATCH(G294,'ei names mapping'!$B$3:$BK$3,0))</f>
        <v>air</v>
      </c>
      <c r="F294" s="12" t="s">
        <v>173</v>
      </c>
      <c r="G294" s="12" t="s">
        <v>581</v>
      </c>
      <c r="H294" s="12"/>
    </row>
    <row r="295" spans="1:8" s="21" customFormat="1" x14ac:dyDescent="0.3">
      <c r="A295" s="12" t="str">
        <f>INDEX('ei names mapping'!$B$4:$BK$33,MATCH(B$229,'ei names mapping'!$A$4:$A$33,0),MATCH(G295,'ei names mapping'!$B$3:$BK$3,0))</f>
        <v>Nickel</v>
      </c>
      <c r="B295" s="15">
        <f>INDEX('vehicles specifications'!$B$3:$CK$86,MATCH(B$232,'vehicles specifications'!$A$3:$A$86,0),MATCH(G295,'vehicles specifications'!$B$2:$CK$2,0))*INDEX('ei names mapping'!$B$137:$BK$220,MATCH(B$232,'ei names mapping'!$A$137:$A$220,0),MATCH(G295,'ei names mapping'!$B$136:$BK$136,0))</f>
        <v>1.0913527732823304E-8</v>
      </c>
      <c r="C295" s="12"/>
      <c r="D295" s="12" t="str">
        <f>INDEX('ei names mapping'!$B$104:$BK$133,MATCH(B$229,'ei names mapping'!$A$4:$A$33,0),MATCH(G295,'ei names mapping'!$B$3:$BK$3,0))</f>
        <v>kilogram</v>
      </c>
      <c r="E295" s="12" t="str">
        <f>INDEX('ei names mapping'!$B$225:$BK$255,MATCH(B$229,'ei names mapping'!$A$4:$A$33,0),MATCH(G295,'ei names mapping'!$B$3:$BK$3,0))</f>
        <v>air</v>
      </c>
      <c r="F295" s="12" t="s">
        <v>173</v>
      </c>
      <c r="G295" s="12" t="s">
        <v>583</v>
      </c>
      <c r="H295" s="12"/>
    </row>
    <row r="296" spans="1:8" s="21" customFormat="1" x14ac:dyDescent="0.3">
      <c r="A296" s="12" t="str">
        <f>INDEX('ei names mapping'!$B$4:$BK$33,MATCH(B$229,'ei names mapping'!$A$4:$A$33,0),MATCH(G296,'ei names mapping'!$B$3:$BK$3,0))</f>
        <v>Chromium</v>
      </c>
      <c r="B296" s="15">
        <f>INDEX('vehicles specifications'!$B$3:$CK$86,MATCH(B$232,'vehicles specifications'!$A$3:$A$86,0),MATCH(G296,'vehicles specifications'!$B$2:$CK$2,0))*INDEX('ei names mapping'!$B$137:$BK$220,MATCH(B$232,'ei names mapping'!$A$137:$A$220,0),MATCH(G296,'ei names mapping'!$B$136:$BK$136,0))</f>
        <v>1.3432034132705608E-8</v>
      </c>
      <c r="C296" s="12"/>
      <c r="D296" s="12" t="str">
        <f>INDEX('ei names mapping'!$B$104:$BK$133,MATCH(B$229,'ei names mapping'!$A$4:$A$33,0),MATCH(G296,'ei names mapping'!$B$3:$BK$3,0))</f>
        <v>kilogram</v>
      </c>
      <c r="E296" s="12" t="str">
        <f>INDEX('ei names mapping'!$B$225:$BK$255,MATCH(B$229,'ei names mapping'!$A$4:$A$33,0),MATCH(G296,'ei names mapping'!$B$3:$BK$3,0))</f>
        <v>air</v>
      </c>
      <c r="F296" s="12" t="s">
        <v>173</v>
      </c>
      <c r="G296" s="12" t="s">
        <v>582</v>
      </c>
      <c r="H296" s="12"/>
    </row>
    <row r="297" spans="1:8" s="21" customFormat="1" x14ac:dyDescent="0.3">
      <c r="A297" s="12" t="str">
        <f>INDEX('ei names mapping'!$B$4:$BK$33,MATCH(B$229,'ei names mapping'!$A$4:$A$33,0),MATCH(G297,'ei names mapping'!$B$3:$BK$3,0))</f>
        <v>Chromium VI</v>
      </c>
      <c r="B297" s="15">
        <f>INDEX('vehicles specifications'!$B$3:$CK$86,MATCH(B$232,'vehicles specifications'!$A$3:$A$86,0),MATCH(G297,'vehicles specifications'!$B$2:$CK$2,0))*INDEX('ei names mapping'!$B$137:$BK$220,MATCH(B$232,'ei names mapping'!$A$137:$A$220,0),MATCH(G297,'ei names mapping'!$B$136:$BK$136,0))</f>
        <v>2.6864068265411208E-11</v>
      </c>
      <c r="C297" s="12"/>
      <c r="D297" s="12" t="str">
        <f>INDEX('ei names mapping'!$B$104:$BK$133,MATCH(B$229,'ei names mapping'!$A$4:$A$33,0),MATCH(G297,'ei names mapping'!$B$3:$BK$3,0))</f>
        <v>kilogram</v>
      </c>
      <c r="E297" s="12" t="str">
        <f>INDEX('ei names mapping'!$B$225:$BK$255,MATCH(B$229,'ei names mapping'!$A$4:$A$33,0),MATCH(G297,'ei names mapping'!$B$3:$BK$3,0))</f>
        <v>air</v>
      </c>
      <c r="F297" s="12" t="s">
        <v>173</v>
      </c>
      <c r="G297" s="12" t="s">
        <v>629</v>
      </c>
      <c r="H297" s="12"/>
    </row>
    <row r="298" spans="1:8" s="21" customFormat="1" x14ac:dyDescent="0.3">
      <c r="A298" s="12" t="str">
        <f>INDEX('ei names mapping'!$B$4:$BK$33,MATCH(B$229,'ei names mapping'!$A$4:$A$33,0),MATCH(G298,'ei names mapping'!$B$3:$BK$3,0))</f>
        <v>Mercury</v>
      </c>
      <c r="B298" s="15">
        <f>INDEX('vehicles specifications'!$B$3:$CK$86,MATCH(B$232,'vehicles specifications'!$A$3:$A$86,0),MATCH(G298,'vehicles specifications'!$B$2:$CK$2,0))*INDEX('ei names mapping'!$B$137:$BK$220,MATCH(B$232,'ei names mapping'!$A$137:$A$220,0),MATCH(G298,'ei names mapping'!$B$136:$BK$136,0))</f>
        <v>7.3036685596586727E-9</v>
      </c>
      <c r="C298" s="12"/>
      <c r="D298" s="12" t="str">
        <f>INDEX('ei names mapping'!$B$104:$BK$133,MATCH(B$229,'ei names mapping'!$A$4:$A$33,0),MATCH(G298,'ei names mapping'!$B$3:$BK$3,0))</f>
        <v>kilogram</v>
      </c>
      <c r="E298" s="12" t="str">
        <f>INDEX('ei names mapping'!$B$225:$BK$255,MATCH(B$229,'ei names mapping'!$A$4:$A$33,0),MATCH(G298,'ei names mapping'!$B$3:$BK$3,0))</f>
        <v>air</v>
      </c>
      <c r="F298" s="12" t="s">
        <v>173</v>
      </c>
      <c r="G298" s="12" t="s">
        <v>627</v>
      </c>
      <c r="H298" s="12"/>
    </row>
    <row r="299" spans="1:8" s="21" customFormat="1" x14ac:dyDescent="0.3">
      <c r="A299" s="12" t="str">
        <f>INDEX('ei names mapping'!$B$4:$BK$33,MATCH(B$229,'ei names mapping'!$A$4:$A$33,0),MATCH(G299,'ei names mapping'!$B$3:$BK$3,0))</f>
        <v>Cadmium</v>
      </c>
      <c r="B299" s="15">
        <f>INDEX('vehicles specifications'!$B$3:$CK$86,MATCH(B$232,'vehicles specifications'!$A$3:$A$86,0),MATCH(G299,'vehicles specifications'!$B$2:$CK$2,0))*INDEX('ei names mapping'!$B$137:$BK$220,MATCH(B$232,'ei names mapping'!$A$137:$A$220,0),MATCH(G299,'ei names mapping'!$B$136:$BK$136,0))</f>
        <v>9.0666230395762843E-9</v>
      </c>
      <c r="C299" s="12"/>
      <c r="D299" s="12" t="str">
        <f>INDEX('ei names mapping'!$B$104:$BK$133,MATCH(B$229,'ei names mapping'!$A$4:$A$33,0),MATCH(G299,'ei names mapping'!$B$3:$BK$3,0))</f>
        <v>kilogram</v>
      </c>
      <c r="E299" s="12" t="str">
        <f>INDEX('ei names mapping'!$B$225:$BK$255,MATCH(B$229,'ei names mapping'!$A$4:$A$33,0),MATCH(G299,'ei names mapping'!$B$3:$BK$3,0))</f>
        <v>air</v>
      </c>
      <c r="F299" s="12" t="s">
        <v>173</v>
      </c>
      <c r="G299" s="12" t="s">
        <v>628</v>
      </c>
      <c r="H299" s="12"/>
    </row>
    <row r="300" spans="1:8" x14ac:dyDescent="0.3">
      <c r="A300" s="12" t="str">
        <f>INDEX('ei names mapping'!$B$4:$BK$33,MATCH(B229,'ei names mapping'!$A$4:$A$33,0),MATCH(G300,'ei names mapping'!$B$3:$BK$3,0))</f>
        <v>treatment of road wear emissions, passenger car</v>
      </c>
      <c r="B300" s="16">
        <f>INDEX('vehicles specifications'!$B$3:$CK$86,MATCH(B232,'vehicles specifications'!$A$3:$A$86,0),MATCH(G300,'vehicles specifications'!$B$2:$CK$2,0))*INDEX('ei names mapping'!$B$137:$BK$220,MATCH(B232,'ei names mapping'!$A$137:$A$220,0),MATCH(G300,'ei names mapping'!$B$136:$BK$136,0))</f>
        <v>-6.0000000000000002E-6</v>
      </c>
      <c r="C300" s="12" t="str">
        <f>INDEX('ei names mapping'!$B$38:$BK$67,MATCH(B229,'ei names mapping'!$A$4:$A$33,0),MATCH(G300,'ei names mapping'!$B$3:$BK$3,0))</f>
        <v>RER</v>
      </c>
      <c r="D300" s="12" t="str">
        <f>INDEX('ei names mapping'!$B$104:$BK$133,MATCH(B229,'ei names mapping'!$A$4:$A$33,0),MATCH(G300,'ei names mapping'!$B$3:$BK$3,0))</f>
        <v>kilogram</v>
      </c>
      <c r="E300" s="12"/>
      <c r="F300" s="12" t="s">
        <v>91</v>
      </c>
      <c r="G300" t="s">
        <v>29</v>
      </c>
      <c r="H300" s="12" t="str">
        <f>INDEX('ei names mapping'!$B$71:$BK$100,MATCH(B229,'ei names mapping'!$A$4:$A$33,0),MATCH(G300,'ei names mapping'!$B$3:$BK$3,0))</f>
        <v>road wear emissions, passenger car</v>
      </c>
    </row>
    <row r="301" spans="1:8" x14ac:dyDescent="0.3">
      <c r="A301" s="12" t="str">
        <f>INDEX('ei names mapping'!$B$4:$BK$33,MATCH(B229,'ei names mapping'!$A$4:$A$33,0),MATCH(G301,'ei names mapping'!$B$3:$BK$3,0))</f>
        <v>treatment of tyre wear emissions, passenger car</v>
      </c>
      <c r="B301" s="16">
        <f>INDEX('vehicles specifications'!$B$3:$CK$86,MATCH(B232,'vehicles specifications'!$A$3:$A$86,0),MATCH(G301,'vehicles specifications'!$B$2:$CK$2,0))*INDEX('ei names mapping'!$B$137:$BK$220,MATCH(B232,'ei names mapping'!$A$137:$A$220,0),MATCH(G301,'ei names mapping'!$B$136:$BK$136,0))</f>
        <v>-5.8379999999999998E-6</v>
      </c>
      <c r="C301" s="12" t="str">
        <f>INDEX('ei names mapping'!$B$38:$BK$67,MATCH(B229,'ei names mapping'!$A$4:$A$33,0),MATCH(G301,'ei names mapping'!$B$3:$BK$3,0))</f>
        <v>RER</v>
      </c>
      <c r="D301" s="12" t="str">
        <f>INDEX('ei names mapping'!$B$104:$BK$133,MATCH(B229,'ei names mapping'!$A$4:$A$33,0),MATCH(G301,'ei names mapping'!$B$3:$BK$3,0))</f>
        <v>kilogram</v>
      </c>
      <c r="E301" s="12"/>
      <c r="F301" s="12" t="s">
        <v>91</v>
      </c>
      <c r="G301" t="s">
        <v>30</v>
      </c>
      <c r="H301" s="12" t="str">
        <f>INDEX('ei names mapping'!$B$71:$BK$100,MATCH(B229,'ei names mapping'!$A$4:$A$33,0),MATCH(G301,'ei names mapping'!$B$3:$BK$3,0))</f>
        <v>tyre wear emissions, passenger car</v>
      </c>
    </row>
    <row r="302" spans="1:8" x14ac:dyDescent="0.3">
      <c r="A302" s="12" t="str">
        <f>INDEX('ei names mapping'!$B$4:$BK$33,MATCH(B229,'ei names mapping'!$A$4:$A$33,0),MATCH(G302,'ei names mapping'!$B$3:$BK$3,0))</f>
        <v>treatment of brake wear emissions, passenger car</v>
      </c>
      <c r="B302" s="16">
        <f>INDEX('vehicles specifications'!$B$3:$CK$86,MATCH(B232,'vehicles specifications'!$A$3:$A$86,0),MATCH(G302,'vehicles specifications'!$B$2:$CK$2,0))*INDEX('ei names mapping'!$B$137:$BK$220,MATCH(B232,'ei names mapping'!$A$137:$A$220,0),MATCH(G302,'ei names mapping'!$B$136:$BK$136,0))</f>
        <v>-3.6740000000000003E-6</v>
      </c>
      <c r="C302" s="12" t="str">
        <f>INDEX('ei names mapping'!$B$38:$BK$67,MATCH(B229,'ei names mapping'!$A$4:$A$33,0),MATCH(G302,'ei names mapping'!$B$3:$BK$3,0))</f>
        <v>RER</v>
      </c>
      <c r="D302" s="12" t="str">
        <f>INDEX('ei names mapping'!$B$104:$BK$133,MATCH(B229,'ei names mapping'!$A$4:$A$33,0),MATCH(G302,'ei names mapping'!$B$3:$BK$3,0))</f>
        <v>kilogram</v>
      </c>
      <c r="E302" s="12"/>
      <c r="F302" s="12" t="s">
        <v>91</v>
      </c>
      <c r="G302" t="s">
        <v>31</v>
      </c>
      <c r="H302" s="12" t="str">
        <f>INDEX('ei names mapping'!$B$71:$BK$100,MATCH(B229,'ei names mapping'!$A$4:$A$33,0),MATCH(G302,'ei names mapping'!$B$3:$BK$3,0))</f>
        <v>brake wear emissions, passenger car</v>
      </c>
    </row>
    <row r="304" spans="1:8" ht="15.6" x14ac:dyDescent="0.3">
      <c r="A304" s="11" t="s">
        <v>72</v>
      </c>
      <c r="B304" s="9" t="str">
        <f>"transport, "&amp;B306&amp;", "&amp;B308</f>
        <v>transport, Moped, gasoline, &lt;4kW, EURO-4, 2016</v>
      </c>
    </row>
    <row r="305" spans="1:2" x14ac:dyDescent="0.3">
      <c r="A305" t="s">
        <v>73</v>
      </c>
      <c r="B305" t="s">
        <v>37</v>
      </c>
    </row>
    <row r="306" spans="1:2" x14ac:dyDescent="0.3">
      <c r="A306" t="s">
        <v>87</v>
      </c>
      <c r="B306" t="s">
        <v>646</v>
      </c>
    </row>
    <row r="307" spans="1:2" x14ac:dyDescent="0.3">
      <c r="A307" t="s">
        <v>88</v>
      </c>
      <c r="B307" s="12"/>
    </row>
    <row r="308" spans="1:2" x14ac:dyDescent="0.3">
      <c r="A308" t="s">
        <v>89</v>
      </c>
      <c r="B308" s="12">
        <v>2016</v>
      </c>
    </row>
    <row r="309" spans="1:2" x14ac:dyDescent="0.3">
      <c r="A309" t="s">
        <v>131</v>
      </c>
      <c r="B309" s="12" t="str">
        <f>B306&amp;" - "&amp;B308&amp;" - "&amp;B305</f>
        <v>Moped, gasoline, &lt;4kW, EURO-4 - 2016 - CH</v>
      </c>
    </row>
    <row r="310" spans="1:2" x14ac:dyDescent="0.3">
      <c r="A310" t="s">
        <v>74</v>
      </c>
      <c r="B310" s="12" t="str">
        <f>"transport, "&amp;B306</f>
        <v>transport, Moped, gasoline, &lt;4kW, EURO-4</v>
      </c>
    </row>
    <row r="311" spans="1:2" x14ac:dyDescent="0.3">
      <c r="A311" t="s">
        <v>75</v>
      </c>
      <c r="B311" t="s">
        <v>76</v>
      </c>
    </row>
    <row r="312" spans="1:2" x14ac:dyDescent="0.3">
      <c r="A312" t="s">
        <v>77</v>
      </c>
      <c r="B312" t="s">
        <v>172</v>
      </c>
    </row>
    <row r="313" spans="1:2" x14ac:dyDescent="0.3">
      <c r="A313" t="s">
        <v>79</v>
      </c>
      <c r="B313" t="s">
        <v>90</v>
      </c>
    </row>
    <row r="314" spans="1:2" x14ac:dyDescent="0.3">
      <c r="A314" t="s">
        <v>132</v>
      </c>
      <c r="B314">
        <f>INDEX('vehicles specifications'!$B$3:$CK$86,MATCH(B309,'vehicles specifications'!$A$3:$A$86,0),MATCH("Lifetime [km]",'vehicles specifications'!$B$2:$CK$2,0))</f>
        <v>33400</v>
      </c>
    </row>
    <row r="315" spans="1:2" x14ac:dyDescent="0.3">
      <c r="A315" t="s">
        <v>133</v>
      </c>
      <c r="B315">
        <f>INDEX('vehicles specifications'!$B$3:$CK$86,MATCH(B309,'vehicles specifications'!$A$3:$A$86,0),MATCH("Passengers [unit]",'vehicles specifications'!$B$2:$CK$2,0))</f>
        <v>1</v>
      </c>
    </row>
    <row r="316" spans="1:2" x14ac:dyDescent="0.3">
      <c r="A316" t="s">
        <v>134</v>
      </c>
      <c r="B316">
        <f>INDEX('vehicles specifications'!$B$3:$CK$86,MATCH(B309,'vehicles specifications'!$A$3:$A$86,0),MATCH("Servicing [unit]",'vehicles specifications'!$B$2:$CK$2,0))</f>
        <v>1</v>
      </c>
    </row>
    <row r="317" spans="1:2" x14ac:dyDescent="0.3">
      <c r="A317" t="s">
        <v>135</v>
      </c>
      <c r="B317">
        <f>INDEX('vehicles specifications'!$B$3:$CK$86,MATCH(B309,'vehicles specifications'!$A$3:$A$86,0),MATCH("Energy battery replacement [unit]",'vehicles specifications'!$B$2:$CK$2,0))</f>
        <v>0</v>
      </c>
    </row>
    <row r="318" spans="1:2" x14ac:dyDescent="0.3">
      <c r="A318" t="s">
        <v>136</v>
      </c>
      <c r="B318">
        <f>INDEX('vehicles specifications'!$B$3:$CK$86,MATCH(B309,'vehicles specifications'!$A$3:$A$86,0),MATCH("Annual kilometers [km]",'vehicles specifications'!$B$2:$CK$2,0))</f>
        <v>2553</v>
      </c>
    </row>
    <row r="319" spans="1:2" x14ac:dyDescent="0.3">
      <c r="A319" t="s">
        <v>137</v>
      </c>
      <c r="B319" s="2">
        <f>INDEX('vehicles specifications'!$B$3:$CK$86,MATCH(B309,'vehicles specifications'!$A$3:$A$86,0),MATCH("Curb mass [kg]",'vehicles specifications'!$B$2:$CK$2,0))</f>
        <v>63.83925</v>
      </c>
    </row>
    <row r="320" spans="1:2" x14ac:dyDescent="0.3">
      <c r="A320" t="s">
        <v>138</v>
      </c>
      <c r="B320">
        <f>INDEX('vehicles specifications'!$B$3:$CK$86,MATCH(B309,'vehicles specifications'!$A$3:$A$86,0),MATCH("Power [kW]",'vehicles specifications'!$B$2:$CK$2,0))</f>
        <v>2.5</v>
      </c>
    </row>
    <row r="321" spans="1:8" x14ac:dyDescent="0.3">
      <c r="A321" t="s">
        <v>139</v>
      </c>
      <c r="B321">
        <f>INDEX('vehicles specifications'!$B$3:$CK$86,MATCH(B309,'vehicles specifications'!$A$3:$A$86,0),MATCH("Energy battery mass [kg]",'vehicles specifications'!$B$2:$CK$2,0))</f>
        <v>0</v>
      </c>
    </row>
    <row r="322" spans="1:8" x14ac:dyDescent="0.3">
      <c r="A322" t="s">
        <v>140</v>
      </c>
      <c r="B322">
        <f>INDEX('vehicles specifications'!$B$3:$CK$86,MATCH(B309,'vehicles specifications'!$A$3:$A$86,0),MATCH("Electric energy available [kWh]",'vehicles specifications'!$B$2:$CK$2,0))</f>
        <v>0</v>
      </c>
    </row>
    <row r="323" spans="1:8" x14ac:dyDescent="0.3">
      <c r="A323" t="s">
        <v>143</v>
      </c>
      <c r="B323" s="2">
        <f>INDEX('vehicles specifications'!$B$3:$CK$86,MATCH(B309,'vehicles specifications'!$A$3:$A$86,0),MATCH("Oxydation energy stored [kWh]",'vehicles specifications'!$B$2:$CK$2,0))</f>
        <v>61.833333333333329</v>
      </c>
    </row>
    <row r="324" spans="1:8" x14ac:dyDescent="0.3">
      <c r="A324" t="s">
        <v>145</v>
      </c>
      <c r="B324">
        <f>INDEX('vehicles specifications'!$B$3:$CK$86,MATCH(B309,'vehicles specifications'!$A$3:$A$86,0),MATCH("Fuel mass [kg]",'vehicles specifications'!$B$2:$CK$2,0))</f>
        <v>5.25</v>
      </c>
    </row>
    <row r="325" spans="1:8" x14ac:dyDescent="0.3">
      <c r="A325" t="s">
        <v>141</v>
      </c>
      <c r="B325" s="2">
        <f>INDEX('vehicles specifications'!$B$3:$CK$86,MATCH(B309,'vehicles specifications'!$A$3:$A$86,0),MATCH("Range [km]",'vehicles specifications'!$B$2:$CK$2,0))</f>
        <v>267.8087298215803</v>
      </c>
    </row>
    <row r="326" spans="1:8" x14ac:dyDescent="0.3">
      <c r="A326" t="s">
        <v>142</v>
      </c>
      <c r="B326" t="str">
        <f>INDEX('vehicles specifications'!$B$3:$CK$86,MATCH(B309,'vehicles specifications'!$A$3:$A$86,0),MATCH("Emission standard",'vehicles specifications'!$B$2:$CK$2,0))</f>
        <v>EURO-4</v>
      </c>
    </row>
    <row r="327" spans="1:8" x14ac:dyDescent="0.3">
      <c r="A327" t="s">
        <v>144</v>
      </c>
      <c r="B327" s="6">
        <f>INDEX('vehicles specifications'!$B$3:$CK$86,MATCH(B309,'vehicles specifications'!$A$3:$A$86,0),MATCH("Lightweighting rate [%]",'vehicles specifications'!$B$2:$CK$2,0))</f>
        <v>-0.02</v>
      </c>
    </row>
    <row r="328" spans="1:8" x14ac:dyDescent="0.3">
      <c r="A328" t="s">
        <v>84</v>
      </c>
      <c r="B328" s="21" t="str">
        <f>"Power: "&amp;B320&amp;" kW. Lifetime: "&amp;B314&amp;" km. Annual kilometers: "&amp;B318&amp;" km. Number of passengers: "&amp;B315&amp;". Curb mass: "&amp;ROUND(B319,1)&amp;" kg. Lightweighting of glider: "&amp;ROUND(B327*100,0)&amp;"%. Emission standard: "&amp;B326&amp;". Service visits throughout lifetime: "&amp;ROUND(B316,1)&amp;". Range: "&amp;ROUND(B325,0)&amp;" km. Battery capacity: "&amp;ROUND(B322,1)&amp;" kWh. Battery mass: "&amp;ROUND(B321,1)&amp; " kg. Battery replacement throughout lifetime: "&amp;ROUND(B317,1)&amp;". Fuel tank capacity: "&amp;ROUND(B323,1)&amp;" kWh. Fuel mass: "&amp;ROUND(B324,1)&amp;" kg. Documentation: "&amp;Readmefirst!$B$2&amp;", "&amp;Readmefirst!$B$3&amp;". "&amp;B313</f>
        <v>Power: 2.5 kW. Lifetime: 33400 km. Annual kilometers: 2553 km. Number of passengers: 1. Curb mass: 63.8 kg. Lightweighting of glider: -2%. Emission standard: EURO-4. Service visits throughout lifetime: 1. Range: 268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9" spans="1:8" ht="15.6" x14ac:dyDescent="0.3">
      <c r="A329" s="11" t="s">
        <v>80</v>
      </c>
    </row>
    <row r="330" spans="1:8" x14ac:dyDescent="0.3">
      <c r="A330" t="s">
        <v>81</v>
      </c>
      <c r="B330" t="s">
        <v>82</v>
      </c>
      <c r="C330" t="s">
        <v>73</v>
      </c>
      <c r="D330" t="s">
        <v>77</v>
      </c>
      <c r="E330" t="s">
        <v>83</v>
      </c>
      <c r="F330" t="s">
        <v>75</v>
      </c>
      <c r="G330" t="s">
        <v>84</v>
      </c>
      <c r="H330" t="s">
        <v>74</v>
      </c>
    </row>
    <row r="331" spans="1:8" x14ac:dyDescent="0.3">
      <c r="A331" s="12" t="str">
        <f>B304</f>
        <v>transport, Moped, gasoline, &lt;4kW, EURO-4, 2016</v>
      </c>
      <c r="B331" s="12">
        <v>1</v>
      </c>
      <c r="C331" s="12" t="str">
        <f>B305</f>
        <v>CH</v>
      </c>
      <c r="D331" s="12" t="s">
        <v>172</v>
      </c>
      <c r="E331" s="12"/>
      <c r="F331" s="12" t="s">
        <v>85</v>
      </c>
      <c r="G331" s="12" t="s">
        <v>86</v>
      </c>
      <c r="H331" s="12" t="str">
        <f>B310</f>
        <v>transport, Moped, gasoline, &lt;4kW, EURO-4</v>
      </c>
    </row>
    <row r="332" spans="1:8" x14ac:dyDescent="0.3">
      <c r="A332" s="12" t="str">
        <f>RIGHT(A331,LEN(A331)-11)</f>
        <v>Moped, gasoline, &lt;4kW, EURO-4, 2016</v>
      </c>
      <c r="B332" s="12">
        <f>1/B314</f>
        <v>2.9940119760479042E-5</v>
      </c>
      <c r="C332" s="12" t="str">
        <f>B305</f>
        <v>CH</v>
      </c>
      <c r="D332" s="12" t="s">
        <v>77</v>
      </c>
      <c r="E332" s="12"/>
      <c r="F332" s="12" t="s">
        <v>91</v>
      </c>
      <c r="G332" s="12"/>
      <c r="H332" s="12" t="str">
        <f>RIGHT(H331,LEN(H331)-11)</f>
        <v>Moped, gasoline, &lt;4kW, EURO-4</v>
      </c>
    </row>
    <row r="333" spans="1:8" s="21" customFormat="1" x14ac:dyDescent="0.3">
      <c r="A333" s="12" t="str">
        <f>INDEX('ei names mapping'!$B$4:$R$33,MATCH(B306,'ei names mapping'!$A$4:$A$33,0),MATCH(G333,'ei names mapping'!$B$3:$R$3,0))</f>
        <v>road construction</v>
      </c>
      <c r="B333" s="16">
        <f>INDEX('vehicles specifications'!$B$3:$CK$86,MATCH(B309,'vehicles specifications'!$A$3:$A$86,0),MATCH(G333,'vehicles specifications'!$B$2:$CK$2,0))*INDEX('ei names mapping'!$B$137:$BK$220,MATCH(B309,'ei names mapping'!$A$137:$A$220,0),MATCH(G333,'ei names mapping'!$B$136:$BK$136,0))</f>
        <v>7.2945677249999991E-5</v>
      </c>
      <c r="C333" s="12" t="str">
        <f>INDEX('ei names mapping'!$B$38:$R$67,MATCH(B306,'ei names mapping'!$A$4:$A$33,0),MATCH(G333,'ei names mapping'!$B$3:$R$3,0))</f>
        <v>CH</v>
      </c>
      <c r="D333" s="12" t="str">
        <f>INDEX('ei names mapping'!$B$104:$BK$133,MATCH(B306,'ei names mapping'!$A$4:$A$33,0),MATCH(G333,'ei names mapping'!$B$3:$BK$3,0))</f>
        <v>meter-year</v>
      </c>
      <c r="E333" s="12"/>
      <c r="F333" s="12" t="s">
        <v>91</v>
      </c>
      <c r="G333" s="21" t="s">
        <v>108</v>
      </c>
      <c r="H333" s="12" t="str">
        <f>INDEX('ei names mapping'!$B$71:$BK$100,MATCH(B306,'ei names mapping'!$A$4:$A$33,0),MATCH(G333,'ei names mapping'!$B$3:$BK$3,0))</f>
        <v>road</v>
      </c>
    </row>
    <row r="334" spans="1:8" x14ac:dyDescent="0.3">
      <c r="A334" s="12" t="str">
        <f>INDEX('ei names mapping'!$B$4:$R$33,MATCH(B306,'ei names mapping'!$A$4:$A$33,0),MATCH(G334,'ei names mapping'!$B$3:$R$3,0))</f>
        <v>road maintenance</v>
      </c>
      <c r="B334" s="16">
        <f>INDEX('vehicles specifications'!$B$3:$CK$86,MATCH(B309,'vehicles specifications'!$A$3:$A$86,0),MATCH(G334,'vehicles specifications'!$B$2:$CK$2,0))*INDEX('ei names mapping'!$B$137:$BK$220,MATCH(B309,'ei names mapping'!$A$137:$A$220,0),MATCH(G334,'ei names mapping'!$B$136:$BK$136,0))</f>
        <v>1.2899999999999999E-3</v>
      </c>
      <c r="C334" s="12" t="str">
        <f>INDEX('ei names mapping'!$B$38:$R$67,MATCH(B306,'ei names mapping'!$A$4:$A$33,0),MATCH(G334,'ei names mapping'!$B$3:$R$3,0))</f>
        <v>CH</v>
      </c>
      <c r="D334" s="12" t="str">
        <f>INDEX('ei names mapping'!$B$104:$BK$133,MATCH(B306,'ei names mapping'!$A$4:$A$33,0),MATCH(G334,'ei names mapping'!$B$3:$BK$3,0))</f>
        <v>meter-year</v>
      </c>
      <c r="E334" s="12"/>
      <c r="F334" s="12" t="s">
        <v>91</v>
      </c>
      <c r="G334" t="s">
        <v>117</v>
      </c>
      <c r="H334" s="12" t="str">
        <f>INDEX('ei names mapping'!$B$71:$BK$100,MATCH(B306,'ei names mapping'!$A$4:$A$33,0),MATCH(G334,'ei names mapping'!$B$3:$BK$3,0))</f>
        <v>road maintenance</v>
      </c>
    </row>
    <row r="335" spans="1:8" x14ac:dyDescent="0.3">
      <c r="A335" s="12" t="str">
        <f>INDEX('ei names mapping'!$B$4:$R$33,MATCH(B306,'ei names mapping'!$A$4:$A$33,0),MATCH(G335,'ei names mapping'!$B$3:$R$3,0))</f>
        <v>maintenance, motor scooter</v>
      </c>
      <c r="B335" s="16">
        <f>INDEX('vehicles specifications'!$B$3:$CK$86,MATCH(B309,'vehicles specifications'!$A$3:$A$86,0),MATCH(G335,'vehicles specifications'!$B$2:$CK$2,0))*INDEX('ei names mapping'!$B$137:$BK$220,MATCH(B309,'ei names mapping'!$A$137:$A$220,0),MATCH(G335,'ei names mapping'!$B$136:$BK$136,0))</f>
        <v>2.9940119760479042E-5</v>
      </c>
      <c r="C335" s="12" t="str">
        <f>INDEX('ei names mapping'!$B$38:$BK$67,MATCH(B306,'ei names mapping'!$A$4:$A$33,0),MATCH(G335,'ei names mapping'!$B$3:$BK$3,0))</f>
        <v>CH</v>
      </c>
      <c r="D335" s="12" t="str">
        <f>INDEX('ei names mapping'!$B$104:$BK$133,MATCH(B306,'ei names mapping'!$A$4:$A$33,0),MATCH(G335,'ei names mapping'!$B$3:$BK$3,0))</f>
        <v>unit</v>
      </c>
      <c r="F335" s="12" t="s">
        <v>91</v>
      </c>
      <c r="G335" s="12" t="s">
        <v>123</v>
      </c>
      <c r="H335" s="12" t="str">
        <f>INDEX('ei names mapping'!$B$71:$BK$100,MATCH(B306,'ei names mapping'!$A$4:$A$33,0),MATCH(G335,'ei names mapping'!$B$3:$BK$3,0))</f>
        <v>maintenance, motor scooter</v>
      </c>
    </row>
    <row r="336" spans="1:8" x14ac:dyDescent="0.3">
      <c r="A336" s="12" t="str">
        <f>INDEX('ei names mapping'!$B$4:$R$33,MATCH(B306,'ei names mapping'!$A$4:$A$33,0),MATCH(G336,'ei names mapping'!$B$3:$R$3,0))</f>
        <v>petrol blending for two-stroke engines</v>
      </c>
      <c r="B336" s="16">
        <f>INDEX('vehicles specifications'!$B$3:$CK$86,MATCH(B309,'vehicles specifications'!$A$3:$A$86,0),MATCH(G336,'vehicles specifications'!$B$2:$CK$2,0))*INDEX('ei names mapping'!$B$137:$BK$220,MATCH(B309,'ei names mapping'!$A$137:$A$220,0),MATCH(G336,'ei names mapping'!$B$136:$BK$136,0))</f>
        <v>1.9603543183590984E-2</v>
      </c>
      <c r="C336" s="12" t="str">
        <f>INDEX('ei names mapping'!$B$38:$BK$67,MATCH(B306,'ei names mapping'!$A$4:$A$33,0),MATCH(G336,'ei names mapping'!$B$3:$BK$3,0))</f>
        <v>CH</v>
      </c>
      <c r="D336" s="12" t="str">
        <f>INDEX('ei names mapping'!$B$104:$BK$133,MATCH(B306,'ei names mapping'!$A$4:$A$33,0),MATCH(G336,'ei names mapping'!$B$3:$BK$3,0))</f>
        <v>kilogram</v>
      </c>
      <c r="F336" s="12" t="s">
        <v>91</v>
      </c>
      <c r="G336" s="12" t="s">
        <v>27</v>
      </c>
      <c r="H336" s="12" t="str">
        <f>INDEX('ei names mapping'!$B$71:$BK$100,MATCH(B306,'ei names mapping'!$A$4:$A$33,0),MATCH(G336,'ei names mapping'!$B$3:$BK$3,0))</f>
        <v>petrol, two-stroke blend</v>
      </c>
    </row>
    <row r="337" spans="1:8" x14ac:dyDescent="0.3">
      <c r="A337" s="12" t="str">
        <f>INDEX('ei names mapping'!$B$4:$BK$33,MATCH(B306,'ei names mapping'!$A$4:$A$33,0),MATCH(G337,'ei names mapping'!$B$3:$BK$3,0))</f>
        <v>Carbon dioxide, fossil</v>
      </c>
      <c r="B337" s="16">
        <f>INDEX('vehicles specifications'!$B$3:$CK$86,MATCH(B309,'vehicles specifications'!$A$3:$A$86,0),MATCH(G337,'vehicles specifications'!$B$2:$CK$2,0))*INDEX('ei names mapping'!$B$137:$BK$220,MATCH(B309,'ei names mapping'!$A$137:$A$220,0),MATCH(G337,'ei names mapping'!$B$136:$BK$136,0))</f>
        <v>6.2339267323819329E-2</v>
      </c>
      <c r="C337" s="12"/>
      <c r="D337" s="12" t="str">
        <f>INDEX('ei names mapping'!$B$104:$BK$133,MATCH(B306,'ei names mapping'!$A$4:$A$33,0),MATCH(G337,'ei names mapping'!$B$3:$BK$3,0))</f>
        <v>kilogram</v>
      </c>
      <c r="E337" s="12" t="str">
        <f>INDEX('ei names mapping'!$B$225:$BK$255,MATCH(B306,'ei names mapping'!$A$4:$A$33,0),MATCH(G337,'ei names mapping'!$B$3:$BK$3,0))</f>
        <v>air</v>
      </c>
      <c r="F337" s="12" t="s">
        <v>173</v>
      </c>
      <c r="G337" t="s">
        <v>67</v>
      </c>
      <c r="H337" s="12"/>
    </row>
    <row r="338" spans="1:8" x14ac:dyDescent="0.3">
      <c r="A338" s="12" t="str">
        <f>INDEX('ei names mapping'!$B$4:$BK$33,MATCH(B306,'ei names mapping'!$A$4:$A$33,0),MATCH(G338,'ei names mapping'!$B$3:$BK$3,0))</f>
        <v>Sulfur dioxide</v>
      </c>
      <c r="B338" s="15">
        <f>INDEX('vehicles specifications'!$B$3:$CK$86,MATCH(B309,'vehicles specifications'!$A$3:$A$86,0),MATCH(G338,'vehicles specifications'!$B$2:$CK$2,0))*INDEX('ei names mapping'!$B$137:$BK$220,MATCH(B309,'ei names mapping'!$A$137:$A$220,0),MATCH(G338,'ei names mapping'!$B$136:$BK$136,0))</f>
        <v>3.136566909374557E-7</v>
      </c>
      <c r="C338" s="12"/>
      <c r="D338" s="12" t="str">
        <f>INDEX('ei names mapping'!$B$104:$BK$133,MATCH(B306,'ei names mapping'!$A$4:$A$33,0),MATCH(G338,'ei names mapping'!$B$3:$BK$3,0))</f>
        <v>kilogram</v>
      </c>
      <c r="E338" s="12" t="str">
        <f>INDEX('ei names mapping'!$B$225:$BK$255,MATCH(B306,'ei names mapping'!$A$4:$A$33,0),MATCH(G338,'ei names mapping'!$B$3:$BK$3,0))</f>
        <v>air</v>
      </c>
      <c r="F338" s="12" t="s">
        <v>173</v>
      </c>
      <c r="G338" t="s">
        <v>68</v>
      </c>
      <c r="H338" s="12"/>
    </row>
    <row r="339" spans="1:8" x14ac:dyDescent="0.3">
      <c r="A339" s="12" t="str">
        <f>INDEX('ei names mapping'!$B$4:$BK$33,MATCH(B306,'ei names mapping'!$A$4:$A$33,0),MATCH(G339,'ei names mapping'!$B$3:$BK$3,0))</f>
        <v>Benzene</v>
      </c>
      <c r="B339" s="15">
        <f>INDEX('vehicles specifications'!$B$3:$CK$86,MATCH(B309,'vehicles specifications'!$A$3:$A$86,0),MATCH(G339,'vehicles specifications'!$B$2:$CK$2,0))*INDEX('ei names mapping'!$B$137:$BK$220,MATCH(B309,'ei names mapping'!$A$137:$A$220,0),MATCH(G339,'ei names mapping'!$B$136:$BK$136,0))</f>
        <v>5.0538174149900782E-5</v>
      </c>
      <c r="C339" s="12"/>
      <c r="D339" s="12" t="str">
        <f>INDEX('ei names mapping'!$B$104:$BK$133,MATCH(B306,'ei names mapping'!$A$4:$A$33,0),MATCH(G339,'ei names mapping'!$B$3:$BK$3,0))</f>
        <v>kilogram</v>
      </c>
      <c r="E339" s="12" t="str">
        <f>INDEX('ei names mapping'!$B$225:$BK$255,MATCH(B306,'ei names mapping'!$A$4:$A$33,0),MATCH(G339,'ei names mapping'!$B$3:$BK$3,0))</f>
        <v>air</v>
      </c>
      <c r="F339" s="12" t="s">
        <v>173</v>
      </c>
      <c r="G339" t="s">
        <v>56</v>
      </c>
      <c r="H339" s="12"/>
    </row>
    <row r="340" spans="1:8" x14ac:dyDescent="0.3">
      <c r="A340" s="12" t="str">
        <f>INDEX('ei names mapping'!$B$4:$BK$33,MATCH(B306,'ei names mapping'!$A$4:$A$33,0),MATCH(G340,'ei names mapping'!$B$3:$BK$3,0))</f>
        <v>Methane, fossil</v>
      </c>
      <c r="B340" s="15">
        <f>INDEX('vehicles specifications'!$B$3:$CK$86,MATCH(B309,'vehicles specifications'!$A$3:$A$86,0),MATCH(G340,'vehicles specifications'!$B$2:$CK$2,0))*INDEX('ei names mapping'!$B$137:$BK$220,MATCH(B309,'ei names mapping'!$A$137:$A$220,0),MATCH(G340,'ei names mapping'!$B$136:$BK$136,0))</f>
        <v>2.2915507072459244E-5</v>
      </c>
      <c r="C340" s="12"/>
      <c r="D340" s="12" t="str">
        <f>INDEX('ei names mapping'!$B$104:$BK$133,MATCH(B306,'ei names mapping'!$A$4:$A$33,0),MATCH(G340,'ei names mapping'!$B$3:$BK$3,0))</f>
        <v>kilogram</v>
      </c>
      <c r="E340" s="12" t="str">
        <f>INDEX('ei names mapping'!$B$225:$BK$255,MATCH(B306,'ei names mapping'!$A$4:$A$33,0),MATCH(G340,'ei names mapping'!$B$3:$BK$3,0))</f>
        <v>air</v>
      </c>
      <c r="F340" s="12" t="s">
        <v>173</v>
      </c>
      <c r="G340" t="s">
        <v>57</v>
      </c>
      <c r="H340" s="12"/>
    </row>
    <row r="341" spans="1:8" x14ac:dyDescent="0.3">
      <c r="A341" s="12" t="str">
        <f>INDEX('ei names mapping'!$B$4:$BK$33,MATCH(B306,'ei names mapping'!$A$4:$A$33,0),MATCH(G341,'ei names mapping'!$B$3:$BK$3,0))</f>
        <v>Carbon monoxide, fossil</v>
      </c>
      <c r="B341" s="15">
        <f>INDEX('vehicles specifications'!$B$3:$CK$86,MATCH(B309,'vehicles specifications'!$A$3:$A$86,0),MATCH(G341,'vehicles specifications'!$B$2:$CK$2,0))*INDEX('ei names mapping'!$B$137:$BK$220,MATCH(B309,'ei names mapping'!$A$137:$A$220,0),MATCH(G341,'ei names mapping'!$B$136:$BK$136,0))</f>
        <v>2.4230819782310601E-3</v>
      </c>
      <c r="C341" s="12"/>
      <c r="D341" s="12" t="str">
        <f>INDEX('ei names mapping'!$B$104:$BK$133,MATCH(B306,'ei names mapping'!$A$4:$A$33,0),MATCH(G341,'ei names mapping'!$B$3:$BK$3,0))</f>
        <v>kilogram</v>
      </c>
      <c r="E341" s="12" t="str">
        <f>INDEX('ei names mapping'!$B$225:$BK$255,MATCH(B306,'ei names mapping'!$A$4:$A$33,0),MATCH(G341,'ei names mapping'!$B$3:$BK$3,0))</f>
        <v>air</v>
      </c>
      <c r="F341" s="12" t="s">
        <v>173</v>
      </c>
      <c r="G341" t="s">
        <v>58</v>
      </c>
      <c r="H341" s="12"/>
    </row>
    <row r="342" spans="1:8" x14ac:dyDescent="0.3">
      <c r="A342" s="12" t="str">
        <f>INDEX('ei names mapping'!$B$4:$BK$33,MATCH(B306,'ei names mapping'!$A$4:$A$33,0),MATCH(G342,'ei names mapping'!$B$3:$BK$3,0))</f>
        <v>Dinitrogen monoxide</v>
      </c>
      <c r="B342" s="15">
        <f>INDEX('vehicles specifications'!$B$3:$CK$86,MATCH(B309,'vehicles specifications'!$A$3:$A$86,0),MATCH(G342,'vehicles specifications'!$B$2:$CK$2,0))*INDEX('ei names mapping'!$B$137:$BK$220,MATCH(B309,'ei names mapping'!$A$137:$A$220,0),MATCH(G342,'ei names mapping'!$B$136:$BK$136,0))</f>
        <v>1.1626335399522705E-6</v>
      </c>
      <c r="C342" s="12"/>
      <c r="D342" s="12" t="str">
        <f>INDEX('ei names mapping'!$B$104:$BK$133,MATCH(B306,'ei names mapping'!$A$4:$A$33,0),MATCH(G342,'ei names mapping'!$B$3:$BK$3,0))</f>
        <v>kilogram</v>
      </c>
      <c r="E342" s="12" t="str">
        <f>INDEX('ei names mapping'!$B$225:$BK$255,MATCH(B306,'ei names mapping'!$A$4:$A$33,0),MATCH(G342,'ei names mapping'!$B$3:$BK$3,0))</f>
        <v>air</v>
      </c>
      <c r="F342" s="12" t="s">
        <v>173</v>
      </c>
      <c r="G342" t="s">
        <v>59</v>
      </c>
      <c r="H342" s="12"/>
    </row>
    <row r="343" spans="1:8" x14ac:dyDescent="0.3">
      <c r="A343" s="12" t="str">
        <f>INDEX('ei names mapping'!$B$4:$BK$33,MATCH(B306,'ei names mapping'!$A$4:$A$33,0),MATCH(G343,'ei names mapping'!$B$3:$BK$3,0))</f>
        <v>Ammonia</v>
      </c>
      <c r="B343" s="15">
        <f>INDEX('vehicles specifications'!$B$3:$CK$86,MATCH(B309,'vehicles specifications'!$A$3:$A$86,0),MATCH(G343,'vehicles specifications'!$B$2:$CK$2,0))*INDEX('ei names mapping'!$B$137:$BK$220,MATCH(B309,'ei names mapping'!$A$137:$A$220,0),MATCH(G343,'ei names mapping'!$B$136:$BK$136,0))</f>
        <v>1.1626335399522705E-6</v>
      </c>
      <c r="C343" s="12"/>
      <c r="D343" s="12" t="str">
        <f>INDEX('ei names mapping'!$B$104:$BK$133,MATCH(B306,'ei names mapping'!$A$4:$A$33,0),MATCH(G343,'ei names mapping'!$B$3:$BK$3,0))</f>
        <v>kilogram</v>
      </c>
      <c r="E343" s="12" t="str">
        <f>INDEX('ei names mapping'!$B$225:$BK$255,MATCH(B306,'ei names mapping'!$A$4:$A$33,0),MATCH(G343,'ei names mapping'!$B$3:$BK$3,0))</f>
        <v>air</v>
      </c>
      <c r="F343" s="12" t="s">
        <v>173</v>
      </c>
      <c r="G343" t="s">
        <v>60</v>
      </c>
      <c r="H343" s="12"/>
    </row>
    <row r="344" spans="1:8" x14ac:dyDescent="0.3">
      <c r="A344" s="12" t="str">
        <f>INDEX('ei names mapping'!$B$4:$BK$33,MATCH(B306,'ei names mapping'!$A$4:$A$33,0),MATCH(G344,'ei names mapping'!$B$3:$BK$3,0))</f>
        <v>Nitrogen oxides</v>
      </c>
      <c r="B344" s="15">
        <f>INDEX('vehicles specifications'!$B$3:$CK$86,MATCH(B309,'vehicles specifications'!$A$3:$A$86,0),MATCH(G344,'vehicles specifications'!$B$2:$CK$2,0))*INDEX('ei names mapping'!$B$137:$BK$220,MATCH(B309,'ei names mapping'!$A$137:$A$220,0),MATCH(G344,'ei names mapping'!$B$136:$BK$136,0))</f>
        <v>8.7186713305431907E-5</v>
      </c>
      <c r="C344" s="12"/>
      <c r="D344" s="12" t="str">
        <f>INDEX('ei names mapping'!$B$104:$BK$133,MATCH(B306,'ei names mapping'!$A$4:$A$33,0),MATCH(G344,'ei names mapping'!$B$3:$BK$3,0))</f>
        <v>kilogram</v>
      </c>
      <c r="E344" s="12" t="str">
        <f>INDEX('ei names mapping'!$B$225:$BK$255,MATCH(B306,'ei names mapping'!$A$4:$A$33,0),MATCH(G344,'ei names mapping'!$B$3:$BK$3,0))</f>
        <v>air</v>
      </c>
      <c r="F344" s="12" t="s">
        <v>173</v>
      </c>
      <c r="G344" s="12" t="s">
        <v>61</v>
      </c>
      <c r="H344" s="12"/>
    </row>
    <row r="345" spans="1:8" x14ac:dyDescent="0.3">
      <c r="A345" s="12" t="str">
        <f>INDEX('ei names mapping'!$B$4:$BK$33,MATCH(B306,'ei names mapping'!$A$4:$A$33,0),MATCH(G345,'ei names mapping'!$B$3:$BK$3,0))</f>
        <v>Particulates, &lt; 2.5 um</v>
      </c>
      <c r="B345" s="15">
        <f>INDEX('vehicles specifications'!$B$3:$CK$86,MATCH(B$309,'vehicles specifications'!$A$3:$A$86,0),MATCH(G345,'vehicles specifications'!$B$2:$CK$2,0))*INDEX('ei names mapping'!$B$137:$BK$220,MATCH(B$309,'ei names mapping'!$A$137:$A$220,0),MATCH(G345,'ei names mapping'!$B$136:$BK$136,0))</f>
        <v>6.6770044199458891E-6</v>
      </c>
      <c r="C345" s="12"/>
      <c r="D345" s="12" t="str">
        <f>INDEX('ei names mapping'!$B$104:$BK$133,MATCH(B306,'ei names mapping'!$A$4:$A$33,0),MATCH(G345,'ei names mapping'!$B$3:$BK$3,0))</f>
        <v>kilogram</v>
      </c>
      <c r="E345" s="12" t="str">
        <f>INDEX('ei names mapping'!$B$225:$BK$255,MATCH(B306,'ei names mapping'!$A$4:$A$33,0),MATCH(G345,'ei names mapping'!$B$3:$BK$3,0))</f>
        <v>air</v>
      </c>
      <c r="F345" s="12" t="s">
        <v>173</v>
      </c>
      <c r="G345" s="12" t="s">
        <v>63</v>
      </c>
      <c r="H345" s="12"/>
    </row>
    <row r="346" spans="1:8" s="21" customFormat="1" x14ac:dyDescent="0.3">
      <c r="A346" s="12" t="str">
        <f>INDEX('ei names mapping'!$B$4:$BK$33,MATCH(B$229,'ei names mapping'!$A$4:$A$33,0),MATCH(G346,'ei names mapping'!$B$3:$BK$3,0))</f>
        <v>NMVOC, non-methane volatile organic compounds, unspecified origin</v>
      </c>
      <c r="B346" s="15">
        <f>INDEX('vehicles specifications'!$B$3:$CK$86,MATCH(B$309,'vehicles specifications'!$A$3:$A$86,0),MATCH(G346,'vehicles specifications'!$B$2:$CK$2,0))*INDEX('ei names mapping'!$B$137:$BK$220,MATCH(B$309,'ei names mapping'!$A$137:$A$220,0),MATCH(G346,'ei names mapping'!$B$136:$BK$136,0))</f>
        <v>4.0754848458850478E-4</v>
      </c>
      <c r="C346" s="12"/>
      <c r="D346" s="12" t="str">
        <f>INDEX('ei names mapping'!$B$104:$BK$133,MATCH(B$229,'ei names mapping'!$A$4:$A$33,0),MATCH(G346,'ei names mapping'!$B$3:$BK$3,0))</f>
        <v>kilogram</v>
      </c>
      <c r="E346" s="12" t="str">
        <f>INDEX('ei names mapping'!$B$225:$BK$255,MATCH(B$229,'ei names mapping'!$A$4:$A$33,0),MATCH(G346,'ei names mapping'!$B$3:$BK$3,0))</f>
        <v>air</v>
      </c>
      <c r="F346" s="12" t="s">
        <v>173</v>
      </c>
      <c r="G346" s="12" t="s">
        <v>659</v>
      </c>
      <c r="H346" s="12"/>
    </row>
    <row r="347" spans="1:8" s="21" customFormat="1" x14ac:dyDescent="0.3">
      <c r="A347" s="12" t="str">
        <f>INDEX('ei names mapping'!$B$4:$BK$33,MATCH(B$229,'ei names mapping'!$A$4:$A$33,0),MATCH(G347,'ei names mapping'!$B$3:$BK$3,0))</f>
        <v>Ethane</v>
      </c>
      <c r="B347" s="15">
        <f>INDEX('vehicles specifications'!$B$3:$CK$86,MATCH(B$309,'vehicles specifications'!$A$3:$A$86,0),MATCH(G347,'vehicles specifications'!$B$2:$CK$2,0))*INDEX('ei names mapping'!$B$137:$BK$220,MATCH(B$309,'ei names mapping'!$A$137:$A$220,0),MATCH(G347,'ei names mapping'!$B$136:$BK$136,0))</f>
        <v>2.873739314406123E-5</v>
      </c>
      <c r="C347" s="12"/>
      <c r="D347" s="12" t="str">
        <f>INDEX('ei names mapping'!$B$104:$BK$133,MATCH(B$229,'ei names mapping'!$A$4:$A$33,0),MATCH(G347,'ei names mapping'!$B$3:$BK$3,0))</f>
        <v>kilogram</v>
      </c>
      <c r="E347" s="12" t="str">
        <f>INDEX('ei names mapping'!$B$225:$BK$255,MATCH(B$229,'ei names mapping'!$A$4:$A$33,0),MATCH(G347,'ei names mapping'!$B$3:$BK$3,0))</f>
        <v>air</v>
      </c>
      <c r="F347" s="12" t="s">
        <v>173</v>
      </c>
      <c r="G347" s="12" t="s">
        <v>603</v>
      </c>
      <c r="H347" s="12"/>
    </row>
    <row r="348" spans="1:8" s="21" customFormat="1" x14ac:dyDescent="0.3">
      <c r="A348" s="12" t="str">
        <f>INDEX('ei names mapping'!$B$4:$BK$33,MATCH(B$229,'ei names mapping'!$A$4:$A$33,0),MATCH(G348,'ei names mapping'!$B$3:$BK$3,0))</f>
        <v>Propane</v>
      </c>
      <c r="B348" s="15">
        <f>INDEX('vehicles specifications'!$B$3:$CK$86,MATCH(B$309,'vehicles specifications'!$A$3:$A$86,0),MATCH(G348,'vehicles specifications'!$B$2:$CK$2,0))*INDEX('ei names mapping'!$B$137:$BK$220,MATCH(B$309,'ei names mapping'!$A$137:$A$220,0),MATCH(G348,'ei names mapping'!$B$136:$BK$136,0))</f>
        <v>5.8555816751221947E-6</v>
      </c>
      <c r="C348" s="12"/>
      <c r="D348" s="12" t="str">
        <f>INDEX('ei names mapping'!$B$104:$BK$133,MATCH(B$229,'ei names mapping'!$A$4:$A$33,0),MATCH(G348,'ei names mapping'!$B$3:$BK$3,0))</f>
        <v>kilogram</v>
      </c>
      <c r="E348" s="12" t="str">
        <f>INDEX('ei names mapping'!$B$225:$BK$255,MATCH(B$229,'ei names mapping'!$A$4:$A$33,0),MATCH(G348,'ei names mapping'!$B$3:$BK$3,0))</f>
        <v>air</v>
      </c>
      <c r="F348" s="12" t="s">
        <v>173</v>
      </c>
      <c r="G348" s="12" t="s">
        <v>604</v>
      </c>
      <c r="H348" s="12"/>
    </row>
    <row r="349" spans="1:8" s="21" customFormat="1" x14ac:dyDescent="0.3">
      <c r="A349" s="12" t="str">
        <f>INDEX('ei names mapping'!$B$4:$BK$33,MATCH(B$229,'ei names mapping'!$A$4:$A$33,0),MATCH(G349,'ei names mapping'!$B$3:$BK$3,0))</f>
        <v>Butane</v>
      </c>
      <c r="B349" s="15">
        <f>INDEX('vehicles specifications'!$B$3:$CK$86,MATCH(B$309,'vehicles specifications'!$A$3:$A$86,0),MATCH(G349,'vehicles specifications'!$B$2:$CK$2,0))*INDEX('ei names mapping'!$B$137:$BK$220,MATCH(B$309,'ei names mapping'!$A$137:$A$220,0),MATCH(G349,'ei names mapping'!$B$136:$BK$136,0))</f>
        <v>4.7204996888677385E-5</v>
      </c>
      <c r="C349" s="12"/>
      <c r="D349" s="12" t="str">
        <f>INDEX('ei names mapping'!$B$104:$BK$133,MATCH(B$229,'ei names mapping'!$A$4:$A$33,0),MATCH(G349,'ei names mapping'!$B$3:$BK$3,0))</f>
        <v>kilogram</v>
      </c>
      <c r="E349" s="12" t="str">
        <f>INDEX('ei names mapping'!$B$225:$BK$255,MATCH(B$229,'ei names mapping'!$A$4:$A$33,0),MATCH(G349,'ei names mapping'!$B$3:$BK$3,0))</f>
        <v>air</v>
      </c>
      <c r="F349" s="12" t="s">
        <v>173</v>
      </c>
      <c r="G349" s="12" t="s">
        <v>605</v>
      </c>
      <c r="H349" s="12"/>
    </row>
    <row r="350" spans="1:8" s="21" customFormat="1" x14ac:dyDescent="0.3">
      <c r="A350" s="12" t="str">
        <f>INDEX('ei names mapping'!$B$4:$BK$33,MATCH(B$229,'ei names mapping'!$A$4:$A$33,0),MATCH(G350,'ei names mapping'!$B$3:$BK$3,0))</f>
        <v>Pentane</v>
      </c>
      <c r="B350" s="15">
        <f>INDEX('vehicles specifications'!$B$3:$CK$86,MATCH(B$309,'vehicles specifications'!$A$3:$A$86,0),MATCH(G350,'vehicles specifications'!$B$2:$CK$2,0))*INDEX('ei names mapping'!$B$137:$BK$220,MATCH(B$309,'ei names mapping'!$A$137:$A$220,0),MATCH(G350,'ei names mapping'!$B$136:$BK$136,0))</f>
        <v>1.936846246386572E-5</v>
      </c>
      <c r="C350" s="12"/>
      <c r="D350" s="12" t="str">
        <f>INDEX('ei names mapping'!$B$104:$BK$133,MATCH(B$229,'ei names mapping'!$A$4:$A$33,0),MATCH(G350,'ei names mapping'!$B$3:$BK$3,0))</f>
        <v>kilogram</v>
      </c>
      <c r="E350" s="12" t="str">
        <f>INDEX('ei names mapping'!$B$225:$BK$255,MATCH(B$229,'ei names mapping'!$A$4:$A$33,0),MATCH(G350,'ei names mapping'!$B$3:$BK$3,0))</f>
        <v>air</v>
      </c>
      <c r="F350" s="12" t="s">
        <v>173</v>
      </c>
      <c r="G350" s="12" t="s">
        <v>606</v>
      </c>
      <c r="H350" s="12"/>
    </row>
    <row r="351" spans="1:8" s="21" customFormat="1" x14ac:dyDescent="0.3">
      <c r="A351" s="12" t="str">
        <f>INDEX('ei names mapping'!$B$4:$BK$33,MATCH(B$229,'ei names mapping'!$A$4:$A$33,0),MATCH(G351,'ei names mapping'!$B$3:$BK$3,0))</f>
        <v>Hexane</v>
      </c>
      <c r="B351" s="15">
        <f>INDEX('vehicles specifications'!$B$3:$CK$86,MATCH(B$309,'vehicles specifications'!$A$3:$A$86,0),MATCH(G351,'vehicles specifications'!$B$2:$CK$2,0))*INDEX('ei names mapping'!$B$137:$BK$220,MATCH(B$309,'ei names mapping'!$A$137:$A$220,0),MATCH(G351,'ei names mapping'!$B$136:$BK$136,0))</f>
        <v>1.4503825379918051E-5</v>
      </c>
      <c r="C351" s="12"/>
      <c r="D351" s="12" t="str">
        <f>INDEX('ei names mapping'!$B$104:$BK$133,MATCH(B$229,'ei names mapping'!$A$4:$A$33,0),MATCH(G351,'ei names mapping'!$B$3:$BK$3,0))</f>
        <v>kilogram</v>
      </c>
      <c r="E351" s="12" t="str">
        <f>INDEX('ei names mapping'!$B$225:$BK$255,MATCH(B$229,'ei names mapping'!$A$4:$A$33,0),MATCH(G351,'ei names mapping'!$B$3:$BK$3,0))</f>
        <v>air</v>
      </c>
      <c r="F351" s="12" t="s">
        <v>173</v>
      </c>
      <c r="G351" s="12" t="s">
        <v>607</v>
      </c>
      <c r="H351" s="12"/>
    </row>
    <row r="352" spans="1:8" s="21" customFormat="1" x14ac:dyDescent="0.3">
      <c r="A352" s="12" t="str">
        <f>INDEX('ei names mapping'!$B$4:$BK$33,MATCH(B$229,'ei names mapping'!$A$4:$A$33,0),MATCH(G352,'ei names mapping'!$B$3:$BK$3,0))</f>
        <v>Cyclohexane</v>
      </c>
      <c r="B352" s="15">
        <f>INDEX('vehicles specifications'!$B$3:$CK$86,MATCH(B$309,'vehicles specifications'!$A$3:$A$86,0),MATCH(G352,'vehicles specifications'!$B$2:$CK$2,0))*INDEX('ei names mapping'!$B$137:$BK$220,MATCH(B$309,'ei names mapping'!$A$137:$A$220,0),MATCH(G352,'ei names mapping'!$B$136:$BK$136,0))</f>
        <v>1.0269789399445079E-5</v>
      </c>
      <c r="C352" s="12"/>
      <c r="D352" s="12" t="str">
        <f>INDEX('ei names mapping'!$B$104:$BK$133,MATCH(B$229,'ei names mapping'!$A$4:$A$33,0),MATCH(G352,'ei names mapping'!$B$3:$BK$3,0))</f>
        <v>kilogram</v>
      </c>
      <c r="E352" s="12" t="str">
        <f>INDEX('ei names mapping'!$B$225:$BK$255,MATCH(B$229,'ei names mapping'!$A$4:$A$33,0),MATCH(G352,'ei names mapping'!$B$3:$BK$3,0))</f>
        <v>air</v>
      </c>
      <c r="F352" s="12" t="s">
        <v>173</v>
      </c>
      <c r="G352" s="12" t="s">
        <v>608</v>
      </c>
      <c r="H352" s="12"/>
    </row>
    <row r="353" spans="1:8" s="21" customFormat="1" x14ac:dyDescent="0.3">
      <c r="A353" s="12" t="str">
        <f>INDEX('ei names mapping'!$B$4:$BK$33,MATCH(B$229,'ei names mapping'!$A$4:$A$33,0),MATCH(G353,'ei names mapping'!$B$3:$BK$3,0))</f>
        <v>Heptane</v>
      </c>
      <c r="B353" s="15">
        <f>INDEX('vehicles specifications'!$B$3:$CK$86,MATCH(B$309,'vehicles specifications'!$A$3:$A$86,0),MATCH(G353,'vehicles specifications'!$B$2:$CK$2,0))*INDEX('ei names mapping'!$B$137:$BK$220,MATCH(B$309,'ei names mapping'!$A$137:$A$220,0),MATCH(G353,'ei names mapping'!$B$136:$BK$136,0))</f>
        <v>6.6663545224468059E-6</v>
      </c>
      <c r="C353" s="12"/>
      <c r="D353" s="12" t="str">
        <f>INDEX('ei names mapping'!$B$104:$BK$133,MATCH(B$229,'ei names mapping'!$A$4:$A$33,0),MATCH(G353,'ei names mapping'!$B$3:$BK$3,0))</f>
        <v>kilogram</v>
      </c>
      <c r="E353" s="12" t="str">
        <f>INDEX('ei names mapping'!$B$225:$BK$255,MATCH(B$229,'ei names mapping'!$A$4:$A$33,0),MATCH(G353,'ei names mapping'!$B$3:$BK$3,0))</f>
        <v>air</v>
      </c>
      <c r="F353" s="12" t="s">
        <v>173</v>
      </c>
      <c r="G353" s="12" t="s">
        <v>609</v>
      </c>
      <c r="H353" s="12"/>
    </row>
    <row r="354" spans="1:8" s="21" customFormat="1" x14ac:dyDescent="0.3">
      <c r="A354" s="12" t="str">
        <f>INDEX('ei names mapping'!$B$4:$BK$33,MATCH(B$229,'ei names mapping'!$A$4:$A$33,0),MATCH(G354,'ei names mapping'!$B$3:$BK$3,0))</f>
        <v>Ethene</v>
      </c>
      <c r="B354" s="15">
        <f>INDEX('vehicles specifications'!$B$3:$CK$86,MATCH(B$309,'vehicles specifications'!$A$3:$A$86,0),MATCH(G354,'vehicles specifications'!$B$2:$CK$2,0))*INDEX('ei names mapping'!$B$137:$BK$220,MATCH(B$309,'ei names mapping'!$A$137:$A$220,0),MATCH(G354,'ei names mapping'!$B$136:$BK$136,0))</f>
        <v>6.5762686505218488E-5</v>
      </c>
      <c r="C354" s="12"/>
      <c r="D354" s="12" t="str">
        <f>INDEX('ei names mapping'!$B$104:$BK$133,MATCH(B$229,'ei names mapping'!$A$4:$A$33,0),MATCH(G354,'ei names mapping'!$B$3:$BK$3,0))</f>
        <v>kilogram</v>
      </c>
      <c r="E354" s="12" t="str">
        <f>INDEX('ei names mapping'!$B$225:$BK$255,MATCH(B$229,'ei names mapping'!$A$4:$A$33,0),MATCH(G354,'ei names mapping'!$B$3:$BK$3,0))</f>
        <v>air</v>
      </c>
      <c r="F354" s="12" t="s">
        <v>173</v>
      </c>
      <c r="G354" s="12" t="s">
        <v>610</v>
      </c>
      <c r="H354" s="12"/>
    </row>
    <row r="355" spans="1:8" s="21" customFormat="1" x14ac:dyDescent="0.3">
      <c r="A355" s="12" t="str">
        <f>INDEX('ei names mapping'!$B$4:$BK$33,MATCH(B$229,'ei names mapping'!$A$4:$A$33,0),MATCH(G355,'ei names mapping'!$B$3:$BK$3,0))</f>
        <v>Propene</v>
      </c>
      <c r="B355" s="15">
        <f>INDEX('vehicles specifications'!$B$3:$CK$86,MATCH(B$309,'vehicles specifications'!$A$3:$A$86,0),MATCH(G355,'vehicles specifications'!$B$2:$CK$2,0))*INDEX('ei names mapping'!$B$137:$BK$220,MATCH(B$309,'ei names mapping'!$A$137:$A$220,0),MATCH(G355,'ei names mapping'!$B$136:$BK$136,0))</f>
        <v>3.441280307533351E-5</v>
      </c>
      <c r="C355" s="12"/>
      <c r="D355" s="12" t="str">
        <f>INDEX('ei names mapping'!$B$104:$BK$133,MATCH(B$229,'ei names mapping'!$A$4:$A$33,0),MATCH(G355,'ei names mapping'!$B$3:$BK$3,0))</f>
        <v>kilogram</v>
      </c>
      <c r="E355" s="12" t="str">
        <f>INDEX('ei names mapping'!$B$225:$BK$255,MATCH(B$229,'ei names mapping'!$A$4:$A$33,0),MATCH(G355,'ei names mapping'!$B$3:$BK$3,0))</f>
        <v>air</v>
      </c>
      <c r="F355" s="12" t="s">
        <v>173</v>
      </c>
      <c r="G355" s="12" t="s">
        <v>611</v>
      </c>
      <c r="H355" s="12"/>
    </row>
    <row r="356" spans="1:8" s="21" customFormat="1" x14ac:dyDescent="0.3">
      <c r="A356" s="12" t="str">
        <f>INDEX('ei names mapping'!$B$4:$BK$33,MATCH(B$229,'ei names mapping'!$A$4:$A$33,0),MATCH(G356,'ei names mapping'!$B$3:$BK$3,0))</f>
        <v>1-Pentene</v>
      </c>
      <c r="B356" s="15">
        <f>INDEX('vehicles specifications'!$B$3:$CK$86,MATCH(B$309,'vehicles specifications'!$A$3:$A$86,0),MATCH(G356,'vehicles specifications'!$B$2:$CK$2,0))*INDEX('ei names mapping'!$B$137:$BK$220,MATCH(B$309,'ei names mapping'!$A$137:$A$220,0),MATCH(G356,'ei names mapping'!$B$136:$BK$136,0))</f>
        <v>9.9094459117452519E-7</v>
      </c>
      <c r="C356" s="12"/>
      <c r="D356" s="12" t="str">
        <f>INDEX('ei names mapping'!$B$104:$BK$133,MATCH(B$229,'ei names mapping'!$A$4:$A$33,0),MATCH(G356,'ei names mapping'!$B$3:$BK$3,0))</f>
        <v>kilogram</v>
      </c>
      <c r="E356" s="12" t="str">
        <f>INDEX('ei names mapping'!$B$225:$BK$255,MATCH(B$229,'ei names mapping'!$A$4:$A$33,0),MATCH(G356,'ei names mapping'!$B$3:$BK$3,0))</f>
        <v>air</v>
      </c>
      <c r="F356" s="12" t="s">
        <v>173</v>
      </c>
      <c r="G356" s="12" t="s">
        <v>612</v>
      </c>
      <c r="H356" s="12"/>
    </row>
    <row r="357" spans="1:8" s="21" customFormat="1" x14ac:dyDescent="0.3">
      <c r="A357" s="12" t="str">
        <f>INDEX('ei names mapping'!$B$4:$BK$33,MATCH(B$229,'ei names mapping'!$A$4:$A$33,0),MATCH(G357,'ei names mapping'!$B$3:$BK$3,0))</f>
        <v>Toluene</v>
      </c>
      <c r="B357" s="15">
        <f>INDEX('vehicles specifications'!$B$3:$CK$86,MATCH(B$309,'vehicles specifications'!$A$3:$A$86,0),MATCH(G357,'vehicles specifications'!$B$2:$CK$2,0))*INDEX('ei names mapping'!$B$137:$BK$220,MATCH(B$309,'ei names mapping'!$A$137:$A$220,0),MATCH(G357,'ei names mapping'!$B$136:$BK$136,0))</f>
        <v>9.8914287373602611E-5</v>
      </c>
      <c r="C357" s="12"/>
      <c r="D357" s="12" t="str">
        <f>INDEX('ei names mapping'!$B$104:$BK$133,MATCH(B$229,'ei names mapping'!$A$4:$A$33,0),MATCH(G357,'ei names mapping'!$B$3:$BK$3,0))</f>
        <v>kilogram</v>
      </c>
      <c r="E357" s="12" t="str">
        <f>INDEX('ei names mapping'!$B$225:$BK$255,MATCH(B$229,'ei names mapping'!$A$4:$A$33,0),MATCH(G357,'ei names mapping'!$B$3:$BK$3,0))</f>
        <v>air</v>
      </c>
      <c r="F357" s="12" t="s">
        <v>173</v>
      </c>
      <c r="G357" s="12" t="s">
        <v>613</v>
      </c>
      <c r="H357" s="12"/>
    </row>
    <row r="358" spans="1:8" s="21" customFormat="1" x14ac:dyDescent="0.3">
      <c r="A358" s="12" t="str">
        <f>INDEX('ei names mapping'!$B$4:$BK$33,MATCH(B$229,'ei names mapping'!$A$4:$A$33,0),MATCH(G358,'ei names mapping'!$B$3:$BK$3,0))</f>
        <v>m-Xylene</v>
      </c>
      <c r="B358" s="15">
        <f>INDEX('vehicles specifications'!$B$3:$CK$86,MATCH(B$309,'vehicles specifications'!$A$3:$A$86,0),MATCH(G358,'vehicles specifications'!$B$2:$CK$2,0))*INDEX('ei names mapping'!$B$137:$BK$220,MATCH(B$309,'ei names mapping'!$A$137:$A$220,0),MATCH(G358,'ei names mapping'!$B$136:$BK$136,0))</f>
        <v>4.8916628455251568E-5</v>
      </c>
      <c r="C358" s="12"/>
      <c r="D358" s="12" t="str">
        <f>INDEX('ei names mapping'!$B$104:$BK$133,MATCH(B$229,'ei names mapping'!$A$4:$A$33,0),MATCH(G358,'ei names mapping'!$B$3:$BK$3,0))</f>
        <v>kilogram</v>
      </c>
      <c r="E358" s="12" t="str">
        <f>INDEX('ei names mapping'!$B$225:$BK$255,MATCH(B$229,'ei names mapping'!$A$4:$A$33,0),MATCH(G358,'ei names mapping'!$B$3:$BK$3,0))</f>
        <v>air</v>
      </c>
      <c r="F358" s="12" t="s">
        <v>173</v>
      </c>
      <c r="G358" s="12" t="s">
        <v>614</v>
      </c>
      <c r="H358" s="12"/>
    </row>
    <row r="359" spans="1:8" s="21" customFormat="1" x14ac:dyDescent="0.3">
      <c r="A359" s="12" t="str">
        <f>INDEX('ei names mapping'!$B$4:$BK$33,MATCH(B$229,'ei names mapping'!$A$4:$A$33,0),MATCH(G359,'ei names mapping'!$B$3:$BK$3,0))</f>
        <v>o-Xylene</v>
      </c>
      <c r="B359" s="15">
        <f>INDEX('vehicles specifications'!$B$3:$CK$86,MATCH(B$309,'vehicles specifications'!$A$3:$A$86,0),MATCH(G359,'vehicles specifications'!$B$2:$CK$2,0))*INDEX('ei names mapping'!$B$137:$BK$220,MATCH(B$309,'ei names mapping'!$A$137:$A$220,0),MATCH(G359,'ei names mapping'!$B$136:$BK$136,0))</f>
        <v>2.0359407055040244E-5</v>
      </c>
      <c r="C359" s="12"/>
      <c r="D359" s="12" t="str">
        <f>INDEX('ei names mapping'!$B$104:$BK$133,MATCH(B$229,'ei names mapping'!$A$4:$A$33,0),MATCH(G359,'ei names mapping'!$B$3:$BK$3,0))</f>
        <v>kilogram</v>
      </c>
      <c r="E359" s="12" t="str">
        <f>INDEX('ei names mapping'!$B$225:$BK$255,MATCH(B$229,'ei names mapping'!$A$4:$A$33,0),MATCH(G359,'ei names mapping'!$B$3:$BK$3,0))</f>
        <v>air</v>
      </c>
      <c r="F359" s="12" t="s">
        <v>173</v>
      </c>
      <c r="G359" s="12" t="s">
        <v>615</v>
      </c>
      <c r="H359" s="12"/>
    </row>
    <row r="360" spans="1:8" s="21" customFormat="1" x14ac:dyDescent="0.3">
      <c r="A360" s="12" t="str">
        <f>INDEX('ei names mapping'!$B$4:$BK$33,MATCH(B$229,'ei names mapping'!$A$4:$A$33,0),MATCH(G360,'ei names mapping'!$B$3:$BK$3,0))</f>
        <v>Formaldehyde</v>
      </c>
      <c r="B360" s="15">
        <f>INDEX('vehicles specifications'!$B$3:$CK$86,MATCH(B$309,'vehicles specifications'!$A$3:$A$86,0),MATCH(G360,'vehicles specifications'!$B$2:$CK$2,0))*INDEX('ei names mapping'!$B$137:$BK$220,MATCH(B$309,'ei names mapping'!$A$137:$A$220,0),MATCH(G360,'ei names mapping'!$B$136:$BK$136,0))</f>
        <v>1.5314598227242665E-5</v>
      </c>
      <c r="C360" s="12"/>
      <c r="D360" s="12" t="str">
        <f>INDEX('ei names mapping'!$B$104:$BK$133,MATCH(B$229,'ei names mapping'!$A$4:$A$33,0),MATCH(G360,'ei names mapping'!$B$3:$BK$3,0))</f>
        <v>kilogram</v>
      </c>
      <c r="E360" s="12" t="str">
        <f>INDEX('ei names mapping'!$B$225:$BK$255,MATCH(B$229,'ei names mapping'!$A$4:$A$33,0),MATCH(G360,'ei names mapping'!$B$3:$BK$3,0))</f>
        <v>air</v>
      </c>
      <c r="F360" s="12" t="s">
        <v>173</v>
      </c>
      <c r="G360" s="12" t="s">
        <v>616</v>
      </c>
      <c r="H360" s="12"/>
    </row>
    <row r="361" spans="1:8" s="21" customFormat="1" x14ac:dyDescent="0.3">
      <c r="A361" s="12" t="str">
        <f>INDEX('ei names mapping'!$B$4:$BK$33,MATCH(B$229,'ei names mapping'!$A$4:$A$33,0),MATCH(G361,'ei names mapping'!$B$3:$BK$3,0))</f>
        <v>Acetaldehyde</v>
      </c>
      <c r="B361" s="15">
        <f>INDEX('vehicles specifications'!$B$3:$CK$86,MATCH(B$309,'vehicles specifications'!$A$3:$A$86,0),MATCH(G361,'vehicles specifications'!$B$2:$CK$2,0))*INDEX('ei names mapping'!$B$137:$BK$220,MATCH(B$309,'ei names mapping'!$A$137:$A$220,0),MATCH(G361,'ei names mapping'!$B$136:$BK$136,0))</f>
        <v>6.7564403943717619E-6</v>
      </c>
      <c r="C361" s="12"/>
      <c r="D361" s="12" t="str">
        <f>INDEX('ei names mapping'!$B$104:$BK$133,MATCH(B$229,'ei names mapping'!$A$4:$A$33,0),MATCH(G361,'ei names mapping'!$B$3:$BK$3,0))</f>
        <v>kilogram</v>
      </c>
      <c r="E361" s="12" t="str">
        <f>INDEX('ei names mapping'!$B$225:$BK$255,MATCH(B$229,'ei names mapping'!$A$4:$A$33,0),MATCH(G361,'ei names mapping'!$B$3:$BK$3,0))</f>
        <v>air</v>
      </c>
      <c r="F361" s="12" t="s">
        <v>173</v>
      </c>
      <c r="G361" s="12" t="s">
        <v>617</v>
      </c>
      <c r="H361" s="12"/>
    </row>
    <row r="362" spans="1:8" s="21" customFormat="1" x14ac:dyDescent="0.3">
      <c r="A362" s="12" t="str">
        <f>INDEX('ei names mapping'!$B$4:$BK$33,MATCH(B$229,'ei names mapping'!$A$4:$A$33,0),MATCH(G362,'ei names mapping'!$B$3:$BK$3,0))</f>
        <v>Benzaldehyde</v>
      </c>
      <c r="B362" s="15">
        <f>INDEX('vehicles specifications'!$B$3:$CK$86,MATCH(B$309,'vehicles specifications'!$A$3:$A$86,0),MATCH(G362,'vehicles specifications'!$B$2:$CK$2,0))*INDEX('ei names mapping'!$B$137:$BK$220,MATCH(B$309,'ei names mapping'!$A$137:$A$220,0),MATCH(G362,'ei names mapping'!$B$136:$BK$136,0))</f>
        <v>1.9818891823490504E-6</v>
      </c>
      <c r="C362" s="12"/>
      <c r="D362" s="12" t="str">
        <f>INDEX('ei names mapping'!$B$104:$BK$133,MATCH(B$229,'ei names mapping'!$A$4:$A$33,0),MATCH(G362,'ei names mapping'!$B$3:$BK$3,0))</f>
        <v>kilogram</v>
      </c>
      <c r="E362" s="12" t="str">
        <f>INDEX('ei names mapping'!$B$225:$BK$255,MATCH(B$229,'ei names mapping'!$A$4:$A$33,0),MATCH(G362,'ei names mapping'!$B$3:$BK$3,0))</f>
        <v>air</v>
      </c>
      <c r="F362" s="12" t="s">
        <v>173</v>
      </c>
      <c r="G362" s="12" t="s">
        <v>618</v>
      </c>
      <c r="H362" s="12"/>
    </row>
    <row r="363" spans="1:8" s="21" customFormat="1" x14ac:dyDescent="0.3">
      <c r="A363" s="12" t="str">
        <f>INDEX('ei names mapping'!$B$4:$BK$33,MATCH(B$229,'ei names mapping'!$A$4:$A$33,0),MATCH(G363,'ei names mapping'!$B$3:$BK$3,0))</f>
        <v>Acetone</v>
      </c>
      <c r="B363" s="15">
        <f>INDEX('vehicles specifications'!$B$3:$CK$86,MATCH(B$309,'vehicles specifications'!$A$3:$A$86,0),MATCH(G363,'vehicles specifications'!$B$2:$CK$2,0))*INDEX('ei names mapping'!$B$137:$BK$220,MATCH(B$309,'ei names mapping'!$A$137:$A$220,0),MATCH(G363,'ei names mapping'!$B$136:$BK$136,0))</f>
        <v>5.495238187422368E-6</v>
      </c>
      <c r="C363" s="12"/>
      <c r="D363" s="12" t="str">
        <f>INDEX('ei names mapping'!$B$104:$BK$133,MATCH(B$229,'ei names mapping'!$A$4:$A$33,0),MATCH(G363,'ei names mapping'!$B$3:$BK$3,0))</f>
        <v>kilogram</v>
      </c>
      <c r="E363" s="12" t="str">
        <f>INDEX('ei names mapping'!$B$225:$BK$255,MATCH(B$229,'ei names mapping'!$A$4:$A$33,0),MATCH(G363,'ei names mapping'!$B$3:$BK$3,0))</f>
        <v>air</v>
      </c>
      <c r="F363" s="12" t="s">
        <v>173</v>
      </c>
      <c r="G363" s="12" t="s">
        <v>619</v>
      </c>
      <c r="H363" s="12"/>
    </row>
    <row r="364" spans="1:8" s="21" customFormat="1" x14ac:dyDescent="0.3">
      <c r="A364" s="12" t="str">
        <f>INDEX('ei names mapping'!$B$4:$BK$33,MATCH(B$229,'ei names mapping'!$A$4:$A$33,0),MATCH(G364,'ei names mapping'!$B$3:$BK$3,0))</f>
        <v>Methyl ethyl ketone</v>
      </c>
      <c r="B364" s="15">
        <f>INDEX('vehicles specifications'!$B$3:$CK$86,MATCH(B$309,'vehicles specifications'!$A$3:$A$86,0),MATCH(G364,'vehicles specifications'!$B$2:$CK$2,0))*INDEX('ei names mapping'!$B$137:$BK$220,MATCH(B$309,'ei names mapping'!$A$137:$A$220,0),MATCH(G364,'ei names mapping'!$B$136:$BK$136,0))</f>
        <v>0</v>
      </c>
      <c r="C364" s="12"/>
      <c r="D364" s="12" t="str">
        <f>INDEX('ei names mapping'!$B$104:$BK$133,MATCH(B$229,'ei names mapping'!$A$4:$A$33,0),MATCH(G364,'ei names mapping'!$B$3:$BK$3,0))</f>
        <v>kilogram</v>
      </c>
      <c r="E364" s="12" t="str">
        <f>INDEX('ei names mapping'!$B$225:$BK$255,MATCH(B$229,'ei names mapping'!$A$4:$A$33,0),MATCH(G364,'ei names mapping'!$B$3:$BK$3,0))</f>
        <v>air</v>
      </c>
      <c r="F364" s="12" t="s">
        <v>173</v>
      </c>
      <c r="G364" s="12" t="s">
        <v>622</v>
      </c>
      <c r="H364" s="12"/>
    </row>
    <row r="365" spans="1:8" s="21" customFormat="1" x14ac:dyDescent="0.3">
      <c r="A365" s="12" t="str">
        <f>INDEX('ei names mapping'!$B$4:$BK$33,MATCH(B$229,'ei names mapping'!$A$4:$A$33,0),MATCH(G365,'ei names mapping'!$B$3:$BK$3,0))</f>
        <v>Acrolein</v>
      </c>
      <c r="B365" s="15">
        <f>INDEX('vehicles specifications'!$B$3:$CK$86,MATCH(B$309,'vehicles specifications'!$A$3:$A$86,0),MATCH(G365,'vehicles specifications'!$B$2:$CK$2,0))*INDEX('ei names mapping'!$B$137:$BK$220,MATCH(B$309,'ei names mapping'!$A$137:$A$220,0),MATCH(G365,'ei names mapping'!$B$136:$BK$136,0))</f>
        <v>1.7116315665741799E-6</v>
      </c>
      <c r="C365" s="12"/>
      <c r="D365" s="12" t="str">
        <f>INDEX('ei names mapping'!$B$104:$BK$133,MATCH(B$229,'ei names mapping'!$A$4:$A$33,0),MATCH(G365,'ei names mapping'!$B$3:$BK$3,0))</f>
        <v>kilogram</v>
      </c>
      <c r="E365" s="12" t="str">
        <f>INDEX('ei names mapping'!$B$225:$BK$255,MATCH(B$229,'ei names mapping'!$A$4:$A$33,0),MATCH(G365,'ei names mapping'!$B$3:$BK$3,0))</f>
        <v>air</v>
      </c>
      <c r="F365" s="12" t="s">
        <v>173</v>
      </c>
      <c r="G365" s="12" t="s">
        <v>620</v>
      </c>
      <c r="H365" s="12"/>
    </row>
    <row r="366" spans="1:8" s="21" customFormat="1" x14ac:dyDescent="0.3">
      <c r="A366" s="12" t="str">
        <f>INDEX('ei names mapping'!$B$4:$BK$33,MATCH(B$229,'ei names mapping'!$A$4:$A$33,0),MATCH(G366,'ei names mapping'!$B$3:$BK$3,0))</f>
        <v>Styrene</v>
      </c>
      <c r="B366" s="15">
        <f>INDEX('vehicles specifications'!$B$3:$CK$86,MATCH(B$309,'vehicles specifications'!$A$3:$A$86,0),MATCH(G366,'vehicles specifications'!$B$2:$CK$2,0))*INDEX('ei names mapping'!$B$137:$BK$220,MATCH(B$309,'ei names mapping'!$A$137:$A$220,0),MATCH(G366,'ei names mapping'!$B$136:$BK$136,0))</f>
        <v>9.0986730644206395E-6</v>
      </c>
      <c r="C366" s="12"/>
      <c r="D366" s="12" t="str">
        <f>INDEX('ei names mapping'!$B$104:$BK$133,MATCH(B$229,'ei names mapping'!$A$4:$A$33,0),MATCH(G366,'ei names mapping'!$B$3:$BK$3,0))</f>
        <v>kilogram</v>
      </c>
      <c r="E366" s="12" t="str">
        <f>INDEX('ei names mapping'!$B$225:$BK$255,MATCH(B$229,'ei names mapping'!$A$4:$A$33,0),MATCH(G366,'ei names mapping'!$B$3:$BK$3,0))</f>
        <v>air</v>
      </c>
      <c r="F366" s="12" t="s">
        <v>173</v>
      </c>
      <c r="G366" s="12" t="s">
        <v>621</v>
      </c>
      <c r="H366" s="12"/>
    </row>
    <row r="367" spans="1:8" s="21" customFormat="1" x14ac:dyDescent="0.3">
      <c r="A367" s="12" t="str">
        <f>INDEX('ei names mapping'!$B$4:$BK$33,MATCH(B$229,'ei names mapping'!$A$4:$A$33,0),MATCH(G367,'ei names mapping'!$B$3:$BK$3,0))</f>
        <v>PAH, polycyclic aromatic hydrocarbons</v>
      </c>
      <c r="B367" s="15">
        <f>INDEX('vehicles specifications'!$B$3:$CK$86,MATCH(B$309,'vehicles specifications'!$A$3:$A$86,0),MATCH(G367,'vehicles specifications'!$B$2:$CK$2,0))*INDEX('ei names mapping'!$B$137:$BK$220,MATCH(B$309,'ei names mapping'!$A$137:$A$220,0),MATCH(G367,'ei names mapping'!$B$136:$BK$136,0))</f>
        <v>2.8925420038252168E-8</v>
      </c>
      <c r="C367" s="12"/>
      <c r="D367" s="12" t="str">
        <f>INDEX('ei names mapping'!$B$104:$BK$133,MATCH(B$229,'ei names mapping'!$A$4:$A$33,0),MATCH(G367,'ei names mapping'!$B$3:$BK$3,0))</f>
        <v>kilogram</v>
      </c>
      <c r="E367" s="12" t="str">
        <f>INDEX('ei names mapping'!$B$225:$BK$255,MATCH(B$229,'ei names mapping'!$A$4:$A$33,0),MATCH(G367,'ei names mapping'!$B$3:$BK$3,0))</f>
        <v>air</v>
      </c>
      <c r="F367" s="12" t="s">
        <v>173</v>
      </c>
      <c r="G367" s="12" t="s">
        <v>623</v>
      </c>
      <c r="H367" s="12"/>
    </row>
    <row r="368" spans="1:8" s="21" customFormat="1" x14ac:dyDescent="0.3">
      <c r="A368" s="12" t="str">
        <f>INDEX('ei names mapping'!$B$4:$BK$33,MATCH(B$229,'ei names mapping'!$A$4:$A$33,0),MATCH(G368,'ei names mapping'!$B$3:$BK$3,0))</f>
        <v>Arsenic</v>
      </c>
      <c r="B368" s="15">
        <f>INDEX('vehicles specifications'!$B$3:$CK$86,MATCH(B$309,'vehicles specifications'!$A$3:$A$86,0),MATCH(G368,'vehicles specifications'!$B$2:$CK$2,0))*INDEX('ei names mapping'!$B$137:$BK$220,MATCH(B$309,'ei names mapping'!$A$137:$A$220,0),MATCH(G368,'ei names mapping'!$B$136:$BK$136,0))</f>
        <v>2.4935706929527731E-10</v>
      </c>
      <c r="C368" s="12"/>
      <c r="D368" s="12" t="str">
        <f>INDEX('ei names mapping'!$B$104:$BK$133,MATCH(B$229,'ei names mapping'!$A$4:$A$33,0),MATCH(G368,'ei names mapping'!$B$3:$BK$3,0))</f>
        <v>kilogram</v>
      </c>
      <c r="E368" s="12" t="str">
        <f>INDEX('ei names mapping'!$B$225:$BK$255,MATCH(B$229,'ei names mapping'!$A$4:$A$33,0),MATCH(G368,'ei names mapping'!$B$3:$BK$3,0))</f>
        <v>air</v>
      </c>
      <c r="F368" s="12" t="s">
        <v>173</v>
      </c>
      <c r="G368" s="12" t="s">
        <v>624</v>
      </c>
      <c r="H368" s="12"/>
    </row>
    <row r="369" spans="1:8" s="21" customFormat="1" x14ac:dyDescent="0.3">
      <c r="A369" s="12" t="str">
        <f>INDEX('ei names mapping'!$B$4:$BK$33,MATCH(B$229,'ei names mapping'!$A$4:$A$33,0),MATCH(G369,'ei names mapping'!$B$3:$BK$3,0))</f>
        <v>Selenium</v>
      </c>
      <c r="B369" s="15">
        <f>INDEX('vehicles specifications'!$B$3:$CK$86,MATCH(B$309,'vehicles specifications'!$A$3:$A$86,0),MATCH(G369,'vehicles specifications'!$B$2:$CK$2,0))*INDEX('ei names mapping'!$B$137:$BK$220,MATCH(B$309,'ei names mapping'!$A$137:$A$220,0),MATCH(G369,'ei names mapping'!$B$136:$BK$136,0))</f>
        <v>1.6623804619685155E-10</v>
      </c>
      <c r="C369" s="12"/>
      <c r="D369" s="12" t="str">
        <f>INDEX('ei names mapping'!$B$104:$BK$133,MATCH(B$229,'ei names mapping'!$A$4:$A$33,0),MATCH(G369,'ei names mapping'!$B$3:$BK$3,0))</f>
        <v>kilogram</v>
      </c>
      <c r="E369" s="12" t="str">
        <f>INDEX('ei names mapping'!$B$225:$BK$255,MATCH(B$229,'ei names mapping'!$A$4:$A$33,0),MATCH(G369,'ei names mapping'!$B$3:$BK$3,0))</f>
        <v>air</v>
      </c>
      <c r="F369" s="12" t="s">
        <v>173</v>
      </c>
      <c r="G369" s="12" t="s">
        <v>625</v>
      </c>
      <c r="H369" s="12"/>
    </row>
    <row r="370" spans="1:8" s="21" customFormat="1" x14ac:dyDescent="0.3">
      <c r="A370" s="12" t="str">
        <f>INDEX('ei names mapping'!$B$4:$BK$33,MATCH(B$229,'ei names mapping'!$A$4:$A$33,0),MATCH(G370,'ei names mapping'!$B$3:$BK$3,0))</f>
        <v>Zinc</v>
      </c>
      <c r="B370" s="15">
        <f>INDEX('vehicles specifications'!$B$3:$CK$86,MATCH(B$309,'vehicles specifications'!$A$3:$A$86,0),MATCH(G370,'vehicles specifications'!$B$2:$CK$2,0))*INDEX('ei names mapping'!$B$137:$BK$220,MATCH(B$309,'ei names mapping'!$A$137:$A$220,0),MATCH(G370,'ei names mapping'!$B$136:$BK$136,0))</f>
        <v>1.7953708989259966E-6</v>
      </c>
      <c r="C370" s="12"/>
      <c r="D370" s="12" t="str">
        <f>INDEX('ei names mapping'!$B$104:$BK$133,MATCH(B$229,'ei names mapping'!$A$4:$A$33,0),MATCH(G370,'ei names mapping'!$B$3:$BK$3,0))</f>
        <v>kilogram</v>
      </c>
      <c r="E370" s="12" t="str">
        <f>INDEX('ei names mapping'!$B$225:$BK$255,MATCH(B$229,'ei names mapping'!$A$4:$A$33,0),MATCH(G370,'ei names mapping'!$B$3:$BK$3,0))</f>
        <v>air</v>
      </c>
      <c r="F370" s="12" t="s">
        <v>173</v>
      </c>
      <c r="G370" s="12" t="s">
        <v>626</v>
      </c>
      <c r="H370" s="12"/>
    </row>
    <row r="371" spans="1:8" s="21" customFormat="1" x14ac:dyDescent="0.3">
      <c r="A371" s="12" t="str">
        <f>INDEX('ei names mapping'!$B$4:$BK$33,MATCH(B$229,'ei names mapping'!$A$4:$A$33,0),MATCH(G371,'ei names mapping'!$B$3:$BK$3,0))</f>
        <v>Copper</v>
      </c>
      <c r="B371" s="15">
        <f>INDEX('vehicles specifications'!$B$3:$CK$86,MATCH(B$309,'vehicles specifications'!$A$3:$A$86,0),MATCH(G371,'vehicles specifications'!$B$2:$CK$2,0))*INDEX('ei names mapping'!$B$137:$BK$220,MATCH(B$309,'ei names mapping'!$A$137:$A$220,0),MATCH(G371,'ei names mapping'!$B$136:$BK$136,0))</f>
        <v>3.490998970133882E-8</v>
      </c>
      <c r="C371" s="12"/>
      <c r="D371" s="12" t="str">
        <f>INDEX('ei names mapping'!$B$104:$BK$133,MATCH(B$229,'ei names mapping'!$A$4:$A$33,0),MATCH(G371,'ei names mapping'!$B$3:$BK$3,0))</f>
        <v>kilogram</v>
      </c>
      <c r="E371" s="12" t="str">
        <f>INDEX('ei names mapping'!$B$225:$BK$255,MATCH(B$229,'ei names mapping'!$A$4:$A$33,0),MATCH(G371,'ei names mapping'!$B$3:$BK$3,0))</f>
        <v>air</v>
      </c>
      <c r="F371" s="12" t="s">
        <v>173</v>
      </c>
      <c r="G371" s="12" t="s">
        <v>581</v>
      </c>
      <c r="H371" s="12"/>
    </row>
    <row r="372" spans="1:8" s="21" customFormat="1" x14ac:dyDescent="0.3">
      <c r="A372" s="12" t="str">
        <f>INDEX('ei names mapping'!$B$4:$BK$33,MATCH(B$229,'ei names mapping'!$A$4:$A$33,0),MATCH(G372,'ei names mapping'!$B$3:$BK$3,0))</f>
        <v>Nickel</v>
      </c>
      <c r="B372" s="15">
        <f>INDEX('vehicles specifications'!$B$3:$CK$86,MATCH(B$309,'vehicles specifications'!$A$3:$A$86,0),MATCH(G372,'vehicles specifications'!$B$2:$CK$2,0))*INDEX('ei names mapping'!$B$137:$BK$220,MATCH(B$309,'ei names mapping'!$A$137:$A$220,0),MATCH(G372,'ei names mapping'!$B$136:$BK$136,0))</f>
        <v>1.0805473002795351E-8</v>
      </c>
      <c r="C372" s="12"/>
      <c r="D372" s="12" t="str">
        <f>INDEX('ei names mapping'!$B$104:$BK$133,MATCH(B$229,'ei names mapping'!$A$4:$A$33,0),MATCH(G372,'ei names mapping'!$B$3:$BK$3,0))</f>
        <v>kilogram</v>
      </c>
      <c r="E372" s="12" t="str">
        <f>INDEX('ei names mapping'!$B$225:$BK$255,MATCH(B$229,'ei names mapping'!$A$4:$A$33,0),MATCH(G372,'ei names mapping'!$B$3:$BK$3,0))</f>
        <v>air</v>
      </c>
      <c r="F372" s="12" t="s">
        <v>173</v>
      </c>
      <c r="G372" s="12" t="s">
        <v>583</v>
      </c>
      <c r="H372" s="12"/>
    </row>
    <row r="373" spans="1:8" s="21" customFormat="1" x14ac:dyDescent="0.3">
      <c r="A373" s="12" t="str">
        <f>INDEX('ei names mapping'!$B$4:$BK$33,MATCH(B$229,'ei names mapping'!$A$4:$A$33,0),MATCH(G373,'ei names mapping'!$B$3:$BK$3,0))</f>
        <v>Chromium</v>
      </c>
      <c r="B373" s="15">
        <f>INDEX('vehicles specifications'!$B$3:$CK$86,MATCH(B$309,'vehicles specifications'!$A$3:$A$86,0),MATCH(G373,'vehicles specifications'!$B$2:$CK$2,0))*INDEX('ei names mapping'!$B$137:$BK$220,MATCH(B$309,'ei names mapping'!$A$137:$A$220,0),MATCH(G373,'ei names mapping'!$B$136:$BK$136,0))</f>
        <v>1.3299043695748127E-8</v>
      </c>
      <c r="C373" s="12"/>
      <c r="D373" s="12" t="str">
        <f>INDEX('ei names mapping'!$B$104:$BK$133,MATCH(B$229,'ei names mapping'!$A$4:$A$33,0),MATCH(G373,'ei names mapping'!$B$3:$BK$3,0))</f>
        <v>kilogram</v>
      </c>
      <c r="E373" s="12" t="str">
        <f>INDEX('ei names mapping'!$B$225:$BK$255,MATCH(B$229,'ei names mapping'!$A$4:$A$33,0),MATCH(G373,'ei names mapping'!$B$3:$BK$3,0))</f>
        <v>air</v>
      </c>
      <c r="F373" s="12" t="s">
        <v>173</v>
      </c>
      <c r="G373" s="12" t="s">
        <v>582</v>
      </c>
      <c r="H373" s="12"/>
    </row>
    <row r="374" spans="1:8" s="21" customFormat="1" x14ac:dyDescent="0.3">
      <c r="A374" s="12" t="str">
        <f>INDEX('ei names mapping'!$B$4:$BK$33,MATCH(B$229,'ei names mapping'!$A$4:$A$33,0),MATCH(G374,'ei names mapping'!$B$3:$BK$3,0))</f>
        <v>Chromium VI</v>
      </c>
      <c r="B374" s="15">
        <f>INDEX('vehicles specifications'!$B$3:$CK$86,MATCH(B$309,'vehicles specifications'!$A$3:$A$86,0),MATCH(G374,'vehicles specifications'!$B$2:$CK$2,0))*INDEX('ei names mapping'!$B$137:$BK$220,MATCH(B$309,'ei names mapping'!$A$137:$A$220,0),MATCH(G374,'ei names mapping'!$B$136:$BK$136,0))</f>
        <v>2.6598087391496246E-11</v>
      </c>
      <c r="C374" s="12"/>
      <c r="D374" s="12" t="str">
        <f>INDEX('ei names mapping'!$B$104:$BK$133,MATCH(B$229,'ei names mapping'!$A$4:$A$33,0),MATCH(G374,'ei names mapping'!$B$3:$BK$3,0))</f>
        <v>kilogram</v>
      </c>
      <c r="E374" s="12" t="str">
        <f>INDEX('ei names mapping'!$B$225:$BK$255,MATCH(B$229,'ei names mapping'!$A$4:$A$33,0),MATCH(G374,'ei names mapping'!$B$3:$BK$3,0))</f>
        <v>air</v>
      </c>
      <c r="F374" s="12" t="s">
        <v>173</v>
      </c>
      <c r="G374" s="12" t="s">
        <v>629</v>
      </c>
      <c r="H374" s="12"/>
    </row>
    <row r="375" spans="1:8" s="21" customFormat="1" x14ac:dyDescent="0.3">
      <c r="A375" s="12" t="str">
        <f>INDEX('ei names mapping'!$B$4:$BK$33,MATCH(B$229,'ei names mapping'!$A$4:$A$33,0),MATCH(G375,'ei names mapping'!$B$3:$BK$3,0))</f>
        <v>Mercury</v>
      </c>
      <c r="B375" s="15">
        <f>INDEX('vehicles specifications'!$B$3:$CK$86,MATCH(B$309,'vehicles specifications'!$A$3:$A$86,0),MATCH(G375,'vehicles specifications'!$B$2:$CK$2,0))*INDEX('ei names mapping'!$B$137:$BK$220,MATCH(B$309,'ei names mapping'!$A$137:$A$220,0),MATCH(G375,'ei names mapping'!$B$136:$BK$136,0))</f>
        <v>7.2313550095630419E-9</v>
      </c>
      <c r="C375" s="12"/>
      <c r="D375" s="12" t="str">
        <f>INDEX('ei names mapping'!$B$104:$BK$133,MATCH(B$229,'ei names mapping'!$A$4:$A$33,0),MATCH(G375,'ei names mapping'!$B$3:$BK$3,0))</f>
        <v>kilogram</v>
      </c>
      <c r="E375" s="12" t="str">
        <f>INDEX('ei names mapping'!$B$225:$BK$255,MATCH(B$229,'ei names mapping'!$A$4:$A$33,0),MATCH(G375,'ei names mapping'!$B$3:$BK$3,0))</f>
        <v>air</v>
      </c>
      <c r="F375" s="12" t="s">
        <v>173</v>
      </c>
      <c r="G375" s="12" t="s">
        <v>627</v>
      </c>
      <c r="H375" s="12"/>
    </row>
    <row r="376" spans="1:8" s="21" customFormat="1" x14ac:dyDescent="0.3">
      <c r="A376" s="12" t="str">
        <f>INDEX('ei names mapping'!$B$4:$BK$33,MATCH(B$229,'ei names mapping'!$A$4:$A$33,0),MATCH(G376,'ei names mapping'!$B$3:$BK$3,0))</f>
        <v>Cadmium</v>
      </c>
      <c r="B376" s="15">
        <f>INDEX('vehicles specifications'!$B$3:$CK$86,MATCH(B$309,'vehicles specifications'!$A$3:$A$86,0),MATCH(G376,'vehicles specifications'!$B$2:$CK$2,0))*INDEX('ei names mapping'!$B$137:$BK$220,MATCH(B$309,'ei names mapping'!$A$137:$A$220,0),MATCH(G376,'ei names mapping'!$B$136:$BK$136,0))</f>
        <v>8.976854494629983E-9</v>
      </c>
      <c r="C376" s="12"/>
      <c r="D376" s="12" t="str">
        <f>INDEX('ei names mapping'!$B$104:$BK$133,MATCH(B$229,'ei names mapping'!$A$4:$A$33,0),MATCH(G376,'ei names mapping'!$B$3:$BK$3,0))</f>
        <v>kilogram</v>
      </c>
      <c r="E376" s="12" t="str">
        <f>INDEX('ei names mapping'!$B$225:$BK$255,MATCH(B$229,'ei names mapping'!$A$4:$A$33,0),MATCH(G376,'ei names mapping'!$B$3:$BK$3,0))</f>
        <v>air</v>
      </c>
      <c r="F376" s="12" t="s">
        <v>173</v>
      </c>
      <c r="G376" s="12" t="s">
        <v>628</v>
      </c>
      <c r="H376" s="12"/>
    </row>
    <row r="377" spans="1:8" x14ac:dyDescent="0.3">
      <c r="A377" s="12" t="str">
        <f>INDEX('ei names mapping'!$B$4:$BK$33,MATCH(B306,'ei names mapping'!$A$4:$A$33,0),MATCH(G377,'ei names mapping'!$B$3:$BK$3,0))</f>
        <v>treatment of road wear emissions, passenger car</v>
      </c>
      <c r="B377" s="16">
        <f>INDEX('vehicles specifications'!$B$3:$CK$86,MATCH(B309,'vehicles specifications'!$A$3:$A$86,0),MATCH(G377,'vehicles specifications'!$B$2:$CK$2,0))*INDEX('ei names mapping'!$B$137:$BK$220,MATCH(B309,'ei names mapping'!$A$137:$A$220,0),MATCH(G377,'ei names mapping'!$B$136:$BK$136,0))</f>
        <v>-6.0000000000000002E-6</v>
      </c>
      <c r="C377" s="12" t="str">
        <f>INDEX('ei names mapping'!$B$38:$BK$67,MATCH(B306,'ei names mapping'!$A$4:$A$33,0),MATCH(G377,'ei names mapping'!$B$3:$BK$3,0))</f>
        <v>RER</v>
      </c>
      <c r="D377" s="12" t="str">
        <f>INDEX('ei names mapping'!$B$104:$BK$133,MATCH(B306,'ei names mapping'!$A$4:$A$33,0),MATCH(G377,'ei names mapping'!$B$3:$BK$3,0))</f>
        <v>kilogram</v>
      </c>
      <c r="E377" s="12"/>
      <c r="F377" s="12" t="s">
        <v>91</v>
      </c>
      <c r="G377" t="s">
        <v>29</v>
      </c>
      <c r="H377" s="12" t="str">
        <f>INDEX('ei names mapping'!$B$71:$BK$100,MATCH(B306,'ei names mapping'!$A$4:$A$33,0),MATCH(G377,'ei names mapping'!$B$3:$BK$3,0))</f>
        <v>road wear emissions, passenger car</v>
      </c>
    </row>
    <row r="378" spans="1:8" x14ac:dyDescent="0.3">
      <c r="A378" s="12" t="str">
        <f>INDEX('ei names mapping'!$B$4:$BK$33,MATCH(B306,'ei names mapping'!$A$4:$A$33,0),MATCH(G378,'ei names mapping'!$B$3:$BK$3,0))</f>
        <v>treatment of tyre wear emissions, passenger car</v>
      </c>
      <c r="B378" s="16">
        <f>INDEX('vehicles specifications'!$B$3:$CK$86,MATCH(B309,'vehicles specifications'!$A$3:$A$86,0),MATCH(G378,'vehicles specifications'!$B$2:$CK$2,0))*INDEX('ei names mapping'!$B$137:$BK$220,MATCH(B309,'ei names mapping'!$A$137:$A$220,0),MATCH(G378,'ei names mapping'!$B$136:$BK$136,0))</f>
        <v>-5.8379999999999998E-6</v>
      </c>
      <c r="C378" s="12" t="str">
        <f>INDEX('ei names mapping'!$B$38:$BK$67,MATCH(B306,'ei names mapping'!$A$4:$A$33,0),MATCH(G378,'ei names mapping'!$B$3:$BK$3,0))</f>
        <v>RER</v>
      </c>
      <c r="D378" s="12" t="str">
        <f>INDEX('ei names mapping'!$B$104:$BK$133,MATCH(B306,'ei names mapping'!$A$4:$A$33,0),MATCH(G378,'ei names mapping'!$B$3:$BK$3,0))</f>
        <v>kilogram</v>
      </c>
      <c r="E378" s="12"/>
      <c r="F378" s="12" t="s">
        <v>91</v>
      </c>
      <c r="G378" t="s">
        <v>30</v>
      </c>
      <c r="H378" s="12" t="str">
        <f>INDEX('ei names mapping'!$B$71:$BK$100,MATCH(B306,'ei names mapping'!$A$4:$A$33,0),MATCH(G378,'ei names mapping'!$B$3:$BK$3,0))</f>
        <v>tyre wear emissions, passenger car</v>
      </c>
    </row>
    <row r="379" spans="1:8" x14ac:dyDescent="0.3">
      <c r="A379" s="12" t="str">
        <f>INDEX('ei names mapping'!$B$4:$BK$33,MATCH(B306,'ei names mapping'!$A$4:$A$33,0),MATCH(G379,'ei names mapping'!$B$3:$BK$3,0))</f>
        <v>treatment of brake wear emissions, passenger car</v>
      </c>
      <c r="B379" s="16">
        <f>INDEX('vehicles specifications'!$B$3:$CK$86,MATCH(B309,'vehicles specifications'!$A$3:$A$86,0),MATCH(G379,'vehicles specifications'!$B$2:$CK$2,0))*INDEX('ei names mapping'!$B$137:$BK$220,MATCH(B309,'ei names mapping'!$A$137:$A$220,0),MATCH(G379,'ei names mapping'!$B$136:$BK$136,0))</f>
        <v>-3.6740000000000003E-6</v>
      </c>
      <c r="C379" s="12" t="str">
        <f>INDEX('ei names mapping'!$B$38:$BK$67,MATCH(B306,'ei names mapping'!$A$4:$A$33,0),MATCH(G379,'ei names mapping'!$B$3:$BK$3,0))</f>
        <v>RER</v>
      </c>
      <c r="D379" s="12" t="str">
        <f>INDEX('ei names mapping'!$B$104:$BK$133,MATCH(B306,'ei names mapping'!$A$4:$A$33,0),MATCH(G379,'ei names mapping'!$B$3:$BK$3,0))</f>
        <v>kilogram</v>
      </c>
      <c r="E379" s="12"/>
      <c r="F379" s="12" t="s">
        <v>91</v>
      </c>
      <c r="G379" t="s">
        <v>31</v>
      </c>
      <c r="H379" s="12" t="str">
        <f>INDEX('ei names mapping'!$B$71:$BK$100,MATCH(B306,'ei names mapping'!$A$4:$A$33,0),MATCH(G379,'ei names mapping'!$B$3:$BK$3,0))</f>
        <v>brake wear emissions, passenger car</v>
      </c>
    </row>
    <row r="381" spans="1:8" ht="15.6" x14ac:dyDescent="0.3">
      <c r="A381" s="11" t="s">
        <v>72</v>
      </c>
      <c r="B381" s="9" t="str">
        <f>"transport, "&amp;B383&amp;", "&amp;B385</f>
        <v>transport, Moped, gasoline, &lt;4kW, EURO-5, 2020</v>
      </c>
    </row>
    <row r="382" spans="1:8" x14ac:dyDescent="0.3">
      <c r="A382" t="s">
        <v>73</v>
      </c>
      <c r="B382" t="s">
        <v>37</v>
      </c>
    </row>
    <row r="383" spans="1:8" x14ac:dyDescent="0.3">
      <c r="A383" t="s">
        <v>87</v>
      </c>
      <c r="B383" t="s">
        <v>647</v>
      </c>
    </row>
    <row r="384" spans="1:8" x14ac:dyDescent="0.3">
      <c r="A384" t="s">
        <v>88</v>
      </c>
      <c r="B384" s="12"/>
    </row>
    <row r="385" spans="1:2" x14ac:dyDescent="0.3">
      <c r="A385" t="s">
        <v>89</v>
      </c>
      <c r="B385" s="12">
        <v>2020</v>
      </c>
    </row>
    <row r="386" spans="1:2" x14ac:dyDescent="0.3">
      <c r="A386" t="s">
        <v>131</v>
      </c>
      <c r="B386" s="12" t="str">
        <f>B383&amp;" - "&amp;B385&amp;" - "&amp;B382</f>
        <v>Moped, gasoline, &lt;4kW, EURO-5 - 2020 - CH</v>
      </c>
    </row>
    <row r="387" spans="1:2" x14ac:dyDescent="0.3">
      <c r="A387" t="s">
        <v>74</v>
      </c>
      <c r="B387" s="12" t="str">
        <f>"transport, "&amp;B383</f>
        <v>transport, Moped, gasoline, &lt;4kW, EURO-5</v>
      </c>
    </row>
    <row r="388" spans="1:2" x14ac:dyDescent="0.3">
      <c r="A388" t="s">
        <v>75</v>
      </c>
      <c r="B388" t="s">
        <v>76</v>
      </c>
    </row>
    <row r="389" spans="1:2" x14ac:dyDescent="0.3">
      <c r="A389" t="s">
        <v>77</v>
      </c>
      <c r="B389" t="s">
        <v>172</v>
      </c>
    </row>
    <row r="390" spans="1:2" x14ac:dyDescent="0.3">
      <c r="A390" t="s">
        <v>79</v>
      </c>
      <c r="B390" t="s">
        <v>90</v>
      </c>
    </row>
    <row r="391" spans="1:2" x14ac:dyDescent="0.3">
      <c r="A391" t="s">
        <v>132</v>
      </c>
      <c r="B391">
        <f>INDEX('vehicles specifications'!$B$3:$CK$86,MATCH(B386,'vehicles specifications'!$A$3:$A$86,0),MATCH("Lifetime [km]",'vehicles specifications'!$B$2:$CK$2,0))</f>
        <v>33400</v>
      </c>
    </row>
    <row r="392" spans="1:2" x14ac:dyDescent="0.3">
      <c r="A392" t="s">
        <v>133</v>
      </c>
      <c r="B392">
        <f>INDEX('vehicles specifications'!$B$3:$CK$86,MATCH(B386,'vehicles specifications'!$A$3:$A$86,0),MATCH("Passengers [unit]",'vehicles specifications'!$B$2:$CK$2,0))</f>
        <v>1</v>
      </c>
    </row>
    <row r="393" spans="1:2" x14ac:dyDescent="0.3">
      <c r="A393" t="s">
        <v>134</v>
      </c>
      <c r="B393">
        <f>INDEX('vehicles specifications'!$B$3:$CK$86,MATCH(B386,'vehicles specifications'!$A$3:$A$86,0),MATCH("Servicing [unit]",'vehicles specifications'!$B$2:$CK$2,0))</f>
        <v>1</v>
      </c>
    </row>
    <row r="394" spans="1:2" x14ac:dyDescent="0.3">
      <c r="A394" t="s">
        <v>135</v>
      </c>
      <c r="B394">
        <f>INDEX('vehicles specifications'!$B$3:$CK$86,MATCH(B386,'vehicles specifications'!$A$3:$A$86,0),MATCH("Energy battery replacement [unit]",'vehicles specifications'!$B$2:$CK$2,0))</f>
        <v>0</v>
      </c>
    </row>
    <row r="395" spans="1:2" x14ac:dyDescent="0.3">
      <c r="A395" t="s">
        <v>136</v>
      </c>
      <c r="B395">
        <f>INDEX('vehicles specifications'!$B$3:$CK$86,MATCH(B386,'vehicles specifications'!$A$3:$A$86,0),MATCH("Annual kilometers [km]",'vehicles specifications'!$B$2:$CK$2,0))</f>
        <v>2553</v>
      </c>
    </row>
    <row r="396" spans="1:2" x14ac:dyDescent="0.3">
      <c r="A396" t="s">
        <v>137</v>
      </c>
      <c r="B396" s="2">
        <f>INDEX('vehicles specifications'!$B$3:$CK$86,MATCH(B386,'vehicles specifications'!$A$3:$A$86,0),MATCH("Curb mass [kg]",'vehicles specifications'!$B$2:$CK$2,0))</f>
        <v>63</v>
      </c>
    </row>
    <row r="397" spans="1:2" x14ac:dyDescent="0.3">
      <c r="A397" t="s">
        <v>138</v>
      </c>
      <c r="B397">
        <f>INDEX('vehicles specifications'!$B$3:$CK$86,MATCH(B386,'vehicles specifications'!$A$3:$A$86,0),MATCH("Power [kW]",'vehicles specifications'!$B$2:$CK$2,0))</f>
        <v>2.5</v>
      </c>
    </row>
    <row r="398" spans="1:2" x14ac:dyDescent="0.3">
      <c r="A398" t="s">
        <v>139</v>
      </c>
      <c r="B398">
        <f>INDEX('vehicles specifications'!$B$3:$CK$86,MATCH(B386,'vehicles specifications'!$A$3:$A$86,0),MATCH("Energy battery mass [kg]",'vehicles specifications'!$B$2:$CK$2,0))</f>
        <v>0</v>
      </c>
    </row>
    <row r="399" spans="1:2" x14ac:dyDescent="0.3">
      <c r="A399" t="s">
        <v>140</v>
      </c>
      <c r="B399">
        <f>INDEX('vehicles specifications'!$B$3:$CK$86,MATCH(B386,'vehicles specifications'!$A$3:$A$86,0),MATCH("Electric energy available [kWh]",'vehicles specifications'!$B$2:$CK$2,0))</f>
        <v>0</v>
      </c>
    </row>
    <row r="400" spans="1:2" x14ac:dyDescent="0.3">
      <c r="A400" t="s">
        <v>143</v>
      </c>
      <c r="B400" s="2">
        <f>INDEX('vehicles specifications'!$B$3:$CK$86,MATCH(B386,'vehicles specifications'!$A$3:$A$86,0),MATCH("Oxydation energy stored [kWh]",'vehicles specifications'!$B$2:$CK$2,0))</f>
        <v>61.833333333333329</v>
      </c>
    </row>
    <row r="401" spans="1:8" x14ac:dyDescent="0.3">
      <c r="A401" t="s">
        <v>145</v>
      </c>
      <c r="B401">
        <f>INDEX('vehicles specifications'!$B$3:$CK$86,MATCH(B386,'vehicles specifications'!$A$3:$A$86,0),MATCH("Fuel mass [kg]",'vehicles specifications'!$B$2:$CK$2,0))</f>
        <v>5.25</v>
      </c>
    </row>
    <row r="402" spans="1:8" x14ac:dyDescent="0.3">
      <c r="A402" t="s">
        <v>141</v>
      </c>
      <c r="B402" s="2">
        <f>INDEX('vehicles specifications'!$B$3:$CK$86,MATCH(B386,'vehicles specifications'!$A$3:$A$86,0),MATCH("Range [km]",'vehicles specifications'!$B$2:$CK$2,0))</f>
        <v>270.51386850664676</v>
      </c>
    </row>
    <row r="403" spans="1:8" x14ac:dyDescent="0.3">
      <c r="A403" t="s">
        <v>142</v>
      </c>
      <c r="B403" t="str">
        <f>INDEX('vehicles specifications'!$B$3:$CK$86,MATCH(B386,'vehicles specifications'!$A$3:$A$86,0),MATCH("Emission standard",'vehicles specifications'!$B$2:$CK$2,0))</f>
        <v>EURO-5</v>
      </c>
    </row>
    <row r="404" spans="1:8" x14ac:dyDescent="0.3">
      <c r="A404" t="s">
        <v>144</v>
      </c>
      <c r="B404" s="6">
        <f>INDEX('vehicles specifications'!$B$3:$CK$86,MATCH(B386,'vehicles specifications'!$A$3:$A$86,0),MATCH("Lightweighting rate [%]",'vehicles specifications'!$B$2:$CK$2,0))</f>
        <v>0</v>
      </c>
    </row>
    <row r="405" spans="1:8" x14ac:dyDescent="0.3">
      <c r="A405" t="s">
        <v>84</v>
      </c>
      <c r="B405" s="21" t="str">
        <f>"Power: "&amp;B397&amp;" kW. Lifetime: "&amp;B391&amp;" km. Annual kilometers: "&amp;B395&amp;" km. Number of passengers: "&amp;B392&amp;". Curb mass: "&amp;ROUND(B396,1)&amp;" kg. Lightweighting of glider: "&amp;ROUND(B404*100,0)&amp;"%. Emission standard: "&amp;B403&amp;". Service visits throughout lifetime: "&amp;ROUND(B393,1)&amp;". Range: "&amp;ROUND(B402,0)&amp;" km. Battery capacity: "&amp;ROUND(B399,1)&amp;" kWh. Battery mass: "&amp;ROUND(B398,1)&amp; " kg. Battery replacement throughout lifetime: "&amp;ROUND(B394,1)&amp;". Fuel tank capacity: "&amp;ROUND(B400,1)&amp;" kWh. Fuel mass: "&amp;ROUND(B401,1)&amp;" kg. Documentation: "&amp;Readmefirst!$B$2&amp;", "&amp;Readmefirst!$B$3&amp;". "&amp;B390</f>
        <v>Power: 2.5 kW. Lifetime: 33400 km. Annual kilometers: 2553 km. Number of passengers: 1. Curb mass: 63 kg. Lightweighting of glider: 0%. Emission standard: EURO-5. Service visits throughout lifetime: 1. Range: 271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06" spans="1:8" ht="15.6" x14ac:dyDescent="0.3">
      <c r="A406" s="11" t="s">
        <v>80</v>
      </c>
    </row>
    <row r="407" spans="1:8" x14ac:dyDescent="0.3">
      <c r="A407" t="s">
        <v>81</v>
      </c>
      <c r="B407" t="s">
        <v>82</v>
      </c>
      <c r="C407" t="s">
        <v>73</v>
      </c>
      <c r="D407" t="s">
        <v>77</v>
      </c>
      <c r="E407" t="s">
        <v>83</v>
      </c>
      <c r="F407" t="s">
        <v>75</v>
      </c>
      <c r="G407" t="s">
        <v>84</v>
      </c>
      <c r="H407" t="s">
        <v>74</v>
      </c>
    </row>
    <row r="408" spans="1:8" x14ac:dyDescent="0.3">
      <c r="A408" s="12" t="str">
        <f>B381</f>
        <v>transport, Moped, gasoline, &lt;4kW, EURO-5, 2020</v>
      </c>
      <c r="B408" s="12">
        <v>1</v>
      </c>
      <c r="C408" s="12" t="str">
        <f>B382</f>
        <v>CH</v>
      </c>
      <c r="D408" s="12" t="s">
        <v>172</v>
      </c>
      <c r="E408" s="12"/>
      <c r="F408" s="12" t="s">
        <v>85</v>
      </c>
      <c r="G408" s="12" t="s">
        <v>86</v>
      </c>
      <c r="H408" s="12" t="str">
        <f>B387</f>
        <v>transport, Moped, gasoline, &lt;4kW, EURO-5</v>
      </c>
    </row>
    <row r="409" spans="1:8" x14ac:dyDescent="0.3">
      <c r="A409" s="12" t="str">
        <f>RIGHT(A408,LEN(A408)-11)</f>
        <v>Moped, gasoline, &lt;4kW, EURO-5, 2020</v>
      </c>
      <c r="B409" s="12">
        <f>1/B391</f>
        <v>2.9940119760479042E-5</v>
      </c>
      <c r="C409" s="12" t="str">
        <f>B382</f>
        <v>CH</v>
      </c>
      <c r="D409" s="12" t="s">
        <v>77</v>
      </c>
      <c r="E409" s="12"/>
      <c r="F409" s="12" t="s">
        <v>91</v>
      </c>
      <c r="G409" s="12"/>
      <c r="H409" s="12" t="str">
        <f>RIGHT(H408,LEN(H408)-11)</f>
        <v>Moped, gasoline, &lt;4kW, EURO-5</v>
      </c>
    </row>
    <row r="410" spans="1:8" s="21" customFormat="1" x14ac:dyDescent="0.3">
      <c r="A410" s="12" t="str">
        <f>INDEX('ei names mapping'!$B$4:$R$33,MATCH(B383,'ei names mapping'!$A$4:$A$33,0),MATCH(G410,'ei names mapping'!$B$3:$R$3,0))</f>
        <v>road construction</v>
      </c>
      <c r="B410" s="16">
        <f>INDEX('vehicles specifications'!$B$3:$CK$86,MATCH(B386,'vehicles specifications'!$A$3:$A$86,0),MATCH(G410,'vehicles specifications'!$B$2:$CK$2,0))*INDEX('ei names mapping'!$B$137:$BK$220,MATCH(B386,'ei names mapping'!$A$137:$A$220,0),MATCH(G410,'ei names mapping'!$B$136:$BK$136,0))</f>
        <v>7.2495000000000003E-5</v>
      </c>
      <c r="C410" s="12" t="str">
        <f>INDEX('ei names mapping'!$B$38:$R$67,MATCH(B383,'ei names mapping'!$A$4:$A$33,0),MATCH(G410,'ei names mapping'!$B$3:$R$3,0))</f>
        <v>CH</v>
      </c>
      <c r="D410" s="12" t="str">
        <f>INDEX('ei names mapping'!$B$104:$BK$133,MATCH(B383,'ei names mapping'!$A$4:$A$33,0),MATCH(G410,'ei names mapping'!$B$3:$BK$3,0))</f>
        <v>meter-year</v>
      </c>
      <c r="E410" s="12"/>
      <c r="F410" s="12" t="s">
        <v>91</v>
      </c>
      <c r="G410" s="21" t="s">
        <v>108</v>
      </c>
      <c r="H410" s="12" t="str">
        <f>INDEX('ei names mapping'!$B$71:$BK$100,MATCH(B383,'ei names mapping'!$A$4:$A$33,0),MATCH(G410,'ei names mapping'!$B$3:$BK$3,0))</f>
        <v>road</v>
      </c>
    </row>
    <row r="411" spans="1:8" x14ac:dyDescent="0.3">
      <c r="A411" s="12" t="str">
        <f>INDEX('ei names mapping'!$B$4:$R$33,MATCH(B383,'ei names mapping'!$A$4:$A$33,0),MATCH(G411,'ei names mapping'!$B$3:$R$3,0))</f>
        <v>road maintenance</v>
      </c>
      <c r="B411" s="16">
        <f>INDEX('vehicles specifications'!$B$3:$CK$86,MATCH(B386,'vehicles specifications'!$A$3:$A$86,0),MATCH(G411,'vehicles specifications'!$B$2:$CK$2,0))*INDEX('ei names mapping'!$B$137:$BK$220,MATCH(B386,'ei names mapping'!$A$137:$A$220,0),MATCH(G411,'ei names mapping'!$B$136:$BK$136,0))</f>
        <v>1.2899999999999999E-3</v>
      </c>
      <c r="C411" s="12" t="str">
        <f>INDEX('ei names mapping'!$B$38:$R$67,MATCH(B383,'ei names mapping'!$A$4:$A$33,0),MATCH(G411,'ei names mapping'!$B$3:$R$3,0))</f>
        <v>CH</v>
      </c>
      <c r="D411" s="12" t="str">
        <f>INDEX('ei names mapping'!$B$104:$BK$133,MATCH(B383,'ei names mapping'!$A$4:$A$33,0),MATCH(G411,'ei names mapping'!$B$3:$BK$3,0))</f>
        <v>meter-year</v>
      </c>
      <c r="E411" s="12"/>
      <c r="F411" s="12" t="s">
        <v>91</v>
      </c>
      <c r="G411" t="s">
        <v>117</v>
      </c>
      <c r="H411" s="12" t="str">
        <f>INDEX('ei names mapping'!$B$71:$BK$100,MATCH(B383,'ei names mapping'!$A$4:$A$33,0),MATCH(G411,'ei names mapping'!$B$3:$BK$3,0))</f>
        <v>road maintenance</v>
      </c>
    </row>
    <row r="412" spans="1:8" x14ac:dyDescent="0.3">
      <c r="A412" s="12" t="str">
        <f>INDEX('ei names mapping'!$B$4:$R$33,MATCH(B383,'ei names mapping'!$A$4:$A$33,0),MATCH(G412,'ei names mapping'!$B$3:$R$3,0))</f>
        <v>maintenance, motor scooter</v>
      </c>
      <c r="B412" s="16">
        <f>INDEX('vehicles specifications'!$B$3:$CK$86,MATCH(B386,'vehicles specifications'!$A$3:$A$86,0),MATCH(G412,'vehicles specifications'!$B$2:$CK$2,0))*INDEX('ei names mapping'!$B$137:$BK$220,MATCH(B386,'ei names mapping'!$A$137:$A$220,0),MATCH(G412,'ei names mapping'!$B$136:$BK$136,0))</f>
        <v>2.9940119760479042E-5</v>
      </c>
      <c r="C412" s="12" t="str">
        <f>INDEX('ei names mapping'!$B$38:$BK$67,MATCH(B383,'ei names mapping'!$A$4:$A$33,0),MATCH(G412,'ei names mapping'!$B$3:$BK$3,0))</f>
        <v>CH</v>
      </c>
      <c r="D412" s="12" t="str">
        <f>INDEX('ei names mapping'!$B$104:$BK$133,MATCH(B383,'ei names mapping'!$A$4:$A$33,0),MATCH(G412,'ei names mapping'!$B$3:$BK$3,0))</f>
        <v>unit</v>
      </c>
      <c r="F412" s="12" t="s">
        <v>91</v>
      </c>
      <c r="G412" s="12" t="s">
        <v>123</v>
      </c>
      <c r="H412" s="12" t="str">
        <f>INDEX('ei names mapping'!$B$71:$BK$100,MATCH(B383,'ei names mapping'!$A$4:$A$33,0),MATCH(G412,'ei names mapping'!$B$3:$BK$3,0))</f>
        <v>maintenance, motor scooter</v>
      </c>
    </row>
    <row r="413" spans="1:8" x14ac:dyDescent="0.3">
      <c r="A413" s="12" t="str">
        <f>INDEX('ei names mapping'!$B$4:$R$33,MATCH(B383,'ei names mapping'!$A$4:$A$33,0),MATCH(G413,'ei names mapping'!$B$3:$R$3,0))</f>
        <v>petrol blending for two-stroke engines</v>
      </c>
      <c r="B413" s="16">
        <f>INDEX('vehicles specifications'!$B$3:$CK$86,MATCH(B386,'vehicles specifications'!$A$3:$A$86,0),MATCH(G413,'vehicles specifications'!$B$2:$CK$2,0))*INDEX('ei names mapping'!$B$137:$BK$220,MATCH(B386,'ei names mapping'!$A$137:$A$220,0),MATCH(G413,'ei names mapping'!$B$136:$BK$136,0))</f>
        <v>1.9407507751755076E-2</v>
      </c>
      <c r="C413" s="12" t="str">
        <f>INDEX('ei names mapping'!$B$38:$BK$67,MATCH(B383,'ei names mapping'!$A$4:$A$33,0),MATCH(G413,'ei names mapping'!$B$3:$BK$3,0))</f>
        <v>CH</v>
      </c>
      <c r="D413" s="12" t="str">
        <f>INDEX('ei names mapping'!$B$104:$BK$133,MATCH(B383,'ei names mapping'!$A$4:$A$33,0),MATCH(G413,'ei names mapping'!$B$3:$BK$3,0))</f>
        <v>kilogram</v>
      </c>
      <c r="F413" s="12" t="s">
        <v>91</v>
      </c>
      <c r="G413" s="12" t="s">
        <v>27</v>
      </c>
      <c r="H413" s="12" t="str">
        <f>INDEX('ei names mapping'!$B$71:$BK$100,MATCH(B383,'ei names mapping'!$A$4:$A$33,0),MATCH(G413,'ei names mapping'!$B$3:$BK$3,0))</f>
        <v>petrol, two-stroke blend</v>
      </c>
    </row>
    <row r="414" spans="1:8" x14ac:dyDescent="0.3">
      <c r="A414" s="12" t="str">
        <f>INDEX('ei names mapping'!$B$4:$BK$33,MATCH(B383,'ei names mapping'!$A$4:$A$33,0),MATCH(G414,'ei names mapping'!$B$3:$BK$3,0))</f>
        <v>Carbon dioxide, fossil</v>
      </c>
      <c r="B414" s="16">
        <f>INDEX('vehicles specifications'!$B$3:$CK$86,MATCH(B386,'vehicles specifications'!$A$3:$A$86,0),MATCH(G414,'vehicles specifications'!$B$2:$CK$2,0))*INDEX('ei names mapping'!$B$137:$BK$220,MATCH(B386,'ei names mapping'!$A$137:$A$220,0),MATCH(G414,'ei names mapping'!$B$136:$BK$136,0))</f>
        <v>6.1715874650581141E-2</v>
      </c>
      <c r="C414" s="12"/>
      <c r="D414" s="12" t="str">
        <f>INDEX('ei names mapping'!$B$104:$BK$133,MATCH(B383,'ei names mapping'!$A$4:$A$33,0),MATCH(G414,'ei names mapping'!$B$3:$BK$3,0))</f>
        <v>kilogram</v>
      </c>
      <c r="E414" s="12" t="str">
        <f>INDEX('ei names mapping'!$B$225:$BK$255,MATCH(B383,'ei names mapping'!$A$4:$A$33,0),MATCH(G414,'ei names mapping'!$B$3:$BK$3,0))</f>
        <v>air</v>
      </c>
      <c r="F414" s="12" t="s">
        <v>173</v>
      </c>
      <c r="G414" t="s">
        <v>67</v>
      </c>
      <c r="H414" s="12"/>
    </row>
    <row r="415" spans="1:8" x14ac:dyDescent="0.3">
      <c r="A415" s="12" t="str">
        <f>INDEX('ei names mapping'!$B$4:$BK$33,MATCH(B383,'ei names mapping'!$A$4:$A$33,0),MATCH(G415,'ei names mapping'!$B$3:$BK$3,0))</f>
        <v>Sulfur dioxide</v>
      </c>
      <c r="B415" s="15">
        <f>INDEX('vehicles specifications'!$B$3:$CK$86,MATCH(B386,'vehicles specifications'!$A$3:$A$86,0),MATCH(G415,'vehicles specifications'!$B$2:$CK$2,0))*INDEX('ei names mapping'!$B$137:$BK$220,MATCH(B386,'ei names mapping'!$A$137:$A$220,0),MATCH(G415,'ei names mapping'!$B$136:$BK$136,0))</f>
        <v>3.1052012402808118E-7</v>
      </c>
      <c r="C415" s="12"/>
      <c r="D415" s="12" t="str">
        <f>INDEX('ei names mapping'!$B$104:$BK$133,MATCH(B383,'ei names mapping'!$A$4:$A$33,0),MATCH(G415,'ei names mapping'!$B$3:$BK$3,0))</f>
        <v>kilogram</v>
      </c>
      <c r="E415" s="12" t="str">
        <f>INDEX('ei names mapping'!$B$225:$BK$255,MATCH(B383,'ei names mapping'!$A$4:$A$33,0),MATCH(G415,'ei names mapping'!$B$3:$BK$3,0))</f>
        <v>air</v>
      </c>
      <c r="F415" s="12" t="s">
        <v>173</v>
      </c>
      <c r="G415" t="s">
        <v>68</v>
      </c>
      <c r="H415" s="12"/>
    </row>
    <row r="416" spans="1:8" x14ac:dyDescent="0.3">
      <c r="A416" s="12" t="str">
        <f>INDEX('ei names mapping'!$B$4:$BK$33,MATCH(B383,'ei names mapping'!$A$4:$A$33,0),MATCH(G416,'ei names mapping'!$B$3:$BK$3,0))</f>
        <v>Benzene</v>
      </c>
      <c r="B416" s="15">
        <f>INDEX('vehicles specifications'!$B$3:$CK$86,MATCH(B386,'vehicles specifications'!$A$3:$A$86,0),MATCH(G416,'vehicles specifications'!$B$2:$CK$2,0))*INDEX('ei names mapping'!$B$137:$BK$220,MATCH(B386,'ei names mapping'!$A$137:$A$220,0),MATCH(G416,'ei names mapping'!$B$136:$BK$136,0))</f>
        <v>5.0032792408401772E-5</v>
      </c>
      <c r="C416" s="12"/>
      <c r="D416" s="12" t="str">
        <f>INDEX('ei names mapping'!$B$104:$BK$133,MATCH(B383,'ei names mapping'!$A$4:$A$33,0),MATCH(G416,'ei names mapping'!$B$3:$BK$3,0))</f>
        <v>kilogram</v>
      </c>
      <c r="E416" s="12" t="str">
        <f>INDEX('ei names mapping'!$B$225:$BK$255,MATCH(B383,'ei names mapping'!$A$4:$A$33,0),MATCH(G416,'ei names mapping'!$B$3:$BK$3,0))</f>
        <v>air</v>
      </c>
      <c r="F416" s="12" t="s">
        <v>173</v>
      </c>
      <c r="G416" t="s">
        <v>56</v>
      </c>
      <c r="H416" s="12"/>
    </row>
    <row r="417" spans="1:8" x14ac:dyDescent="0.3">
      <c r="A417" s="12" t="str">
        <f>INDEX('ei names mapping'!$B$4:$BK$33,MATCH(B383,'ei names mapping'!$A$4:$A$33,0),MATCH(G417,'ei names mapping'!$B$3:$BK$3,0))</f>
        <v>Methane, fossil</v>
      </c>
      <c r="B417" s="15">
        <f>INDEX('vehicles specifications'!$B$3:$CK$86,MATCH(B386,'vehicles specifications'!$A$3:$A$86,0),MATCH(G417,'vehicles specifications'!$B$2:$CK$2,0))*INDEX('ei names mapping'!$B$137:$BK$220,MATCH(B386,'ei names mapping'!$A$137:$A$220,0),MATCH(G417,'ei names mapping'!$B$136:$BK$136,0))</f>
        <v>2.2686352001734651E-5</v>
      </c>
      <c r="C417" s="12"/>
      <c r="D417" s="12" t="str">
        <f>INDEX('ei names mapping'!$B$104:$BK$133,MATCH(B383,'ei names mapping'!$A$4:$A$33,0),MATCH(G417,'ei names mapping'!$B$3:$BK$3,0))</f>
        <v>kilogram</v>
      </c>
      <c r="E417" s="12" t="str">
        <f>INDEX('ei names mapping'!$B$225:$BK$255,MATCH(B383,'ei names mapping'!$A$4:$A$33,0),MATCH(G417,'ei names mapping'!$B$3:$BK$3,0))</f>
        <v>air</v>
      </c>
      <c r="F417" s="12" t="s">
        <v>173</v>
      </c>
      <c r="G417" t="s">
        <v>57</v>
      </c>
      <c r="H417" s="12"/>
    </row>
    <row r="418" spans="1:8" x14ac:dyDescent="0.3">
      <c r="A418" s="12" t="str">
        <f>INDEX('ei names mapping'!$B$4:$BK$33,MATCH(B383,'ei names mapping'!$A$4:$A$33,0),MATCH(G418,'ei names mapping'!$B$3:$BK$3,0))</f>
        <v>Carbon monoxide, fossil</v>
      </c>
      <c r="B418" s="15">
        <f>INDEX('vehicles specifications'!$B$3:$CK$86,MATCH(B386,'vehicles specifications'!$A$3:$A$86,0),MATCH(G418,'vehicles specifications'!$B$2:$CK$2,0))*INDEX('ei names mapping'!$B$137:$BK$220,MATCH(B386,'ei names mapping'!$A$137:$A$220,0),MATCH(G418,'ei names mapping'!$B$136:$BK$136,0))</f>
        <v>2.3988511584487494E-3</v>
      </c>
      <c r="C418" s="12"/>
      <c r="D418" s="12" t="str">
        <f>INDEX('ei names mapping'!$B$104:$BK$133,MATCH(B383,'ei names mapping'!$A$4:$A$33,0),MATCH(G418,'ei names mapping'!$B$3:$BK$3,0))</f>
        <v>kilogram</v>
      </c>
      <c r="E418" s="12" t="str">
        <f>INDEX('ei names mapping'!$B$225:$BK$255,MATCH(B383,'ei names mapping'!$A$4:$A$33,0),MATCH(G418,'ei names mapping'!$B$3:$BK$3,0))</f>
        <v>air</v>
      </c>
      <c r="F418" s="12" t="s">
        <v>173</v>
      </c>
      <c r="G418" t="s">
        <v>58</v>
      </c>
      <c r="H418" s="12"/>
    </row>
    <row r="419" spans="1:8" x14ac:dyDescent="0.3">
      <c r="A419" s="12" t="str">
        <f>INDEX('ei names mapping'!$B$4:$BK$33,MATCH(B383,'ei names mapping'!$A$4:$A$33,0),MATCH(G419,'ei names mapping'!$B$3:$BK$3,0))</f>
        <v>Dinitrogen monoxide</v>
      </c>
      <c r="B419" s="15">
        <f>INDEX('vehicles specifications'!$B$3:$CK$86,MATCH(B386,'vehicles specifications'!$A$3:$A$86,0),MATCH(G419,'vehicles specifications'!$B$2:$CK$2,0))*INDEX('ei names mapping'!$B$137:$BK$220,MATCH(B386,'ei names mapping'!$A$137:$A$220,0),MATCH(G419,'ei names mapping'!$B$136:$BK$136,0))</f>
        <v>1.1510072045527478E-6</v>
      </c>
      <c r="C419" s="12"/>
      <c r="D419" s="12" t="str">
        <f>INDEX('ei names mapping'!$B$104:$BK$133,MATCH(B383,'ei names mapping'!$A$4:$A$33,0),MATCH(G419,'ei names mapping'!$B$3:$BK$3,0))</f>
        <v>kilogram</v>
      </c>
      <c r="E419" s="12" t="str">
        <f>INDEX('ei names mapping'!$B$225:$BK$255,MATCH(B383,'ei names mapping'!$A$4:$A$33,0),MATCH(G419,'ei names mapping'!$B$3:$BK$3,0))</f>
        <v>air</v>
      </c>
      <c r="F419" s="12" t="s">
        <v>173</v>
      </c>
      <c r="G419" t="s">
        <v>59</v>
      </c>
      <c r="H419" s="12"/>
    </row>
    <row r="420" spans="1:8" x14ac:dyDescent="0.3">
      <c r="A420" s="12" t="str">
        <f>INDEX('ei names mapping'!$B$4:$BK$33,MATCH(B383,'ei names mapping'!$A$4:$A$33,0),MATCH(G420,'ei names mapping'!$B$3:$BK$3,0))</f>
        <v>Ammonia</v>
      </c>
      <c r="B420" s="15">
        <f>INDEX('vehicles specifications'!$B$3:$CK$86,MATCH(B386,'vehicles specifications'!$A$3:$A$86,0),MATCH(G420,'vehicles specifications'!$B$2:$CK$2,0))*INDEX('ei names mapping'!$B$137:$BK$220,MATCH(B386,'ei names mapping'!$A$137:$A$220,0),MATCH(G420,'ei names mapping'!$B$136:$BK$136,0))</f>
        <v>1.1510072045527478E-6</v>
      </c>
      <c r="C420" s="12"/>
      <c r="D420" s="12" t="str">
        <f>INDEX('ei names mapping'!$B$104:$BK$133,MATCH(B383,'ei names mapping'!$A$4:$A$33,0),MATCH(G420,'ei names mapping'!$B$3:$BK$3,0))</f>
        <v>kilogram</v>
      </c>
      <c r="E420" s="12" t="str">
        <f>INDEX('ei names mapping'!$B$225:$BK$255,MATCH(B383,'ei names mapping'!$A$4:$A$33,0),MATCH(G420,'ei names mapping'!$B$3:$BK$3,0))</f>
        <v>air</v>
      </c>
      <c r="F420" s="12" t="s">
        <v>173</v>
      </c>
      <c r="G420" t="s">
        <v>60</v>
      </c>
      <c r="H420" s="12"/>
    </row>
    <row r="421" spans="1:8" x14ac:dyDescent="0.3">
      <c r="A421" s="12" t="str">
        <f>INDEX('ei names mapping'!$B$4:$BK$33,MATCH(B383,'ei names mapping'!$A$4:$A$33,0),MATCH(G421,'ei names mapping'!$B$3:$BK$3,0))</f>
        <v>Nitrogen oxides</v>
      </c>
      <c r="B421" s="15">
        <f>INDEX('vehicles specifications'!$B$3:$CK$86,MATCH(B386,'vehicles specifications'!$A$3:$A$86,0),MATCH(G421,'vehicles specifications'!$B$2:$CK$2,0))*INDEX('ei names mapping'!$B$137:$BK$220,MATCH(B386,'ei names mapping'!$A$137:$A$220,0),MATCH(G421,'ei names mapping'!$B$136:$BK$136,0))</f>
        <v>8.6314846172377596E-5</v>
      </c>
      <c r="C421" s="12"/>
      <c r="D421" s="12" t="str">
        <f>INDEX('ei names mapping'!$B$104:$BK$133,MATCH(B383,'ei names mapping'!$A$4:$A$33,0),MATCH(G421,'ei names mapping'!$B$3:$BK$3,0))</f>
        <v>kilogram</v>
      </c>
      <c r="E421" s="12" t="str">
        <f>INDEX('ei names mapping'!$B$225:$BK$255,MATCH(B383,'ei names mapping'!$A$4:$A$33,0),MATCH(G421,'ei names mapping'!$B$3:$BK$3,0))</f>
        <v>air</v>
      </c>
      <c r="F421" s="12" t="s">
        <v>173</v>
      </c>
      <c r="G421" s="12" t="s">
        <v>61</v>
      </c>
      <c r="H421" s="12"/>
    </row>
    <row r="422" spans="1:8" x14ac:dyDescent="0.3">
      <c r="A422" s="12" t="str">
        <f>INDEX('ei names mapping'!$B$4:$BK$33,MATCH(B383,'ei names mapping'!$A$4:$A$33,0),MATCH(G422,'ei names mapping'!$B$3:$BK$3,0))</f>
        <v>Particulates, &lt; 2.5 um</v>
      </c>
      <c r="B422" s="15">
        <f>INDEX('vehicles specifications'!$B$3:$CK$86,MATCH(B$386,'vehicles specifications'!$A$3:$A$86,0),MATCH(G422,'vehicles specifications'!$B$2:$CK$2,0))*INDEX('ei names mapping'!$B$137:$BK$220,MATCH(B$386,'ei names mapping'!$A$137:$A$220,0),MATCH(G422,'ei names mapping'!$B$136:$BK$136,0))</f>
        <v>6.6102343757464297E-6</v>
      </c>
      <c r="C422" s="12"/>
      <c r="D422" s="12" t="str">
        <f>INDEX('ei names mapping'!$B$104:$BK$133,MATCH(B383,'ei names mapping'!$A$4:$A$33,0),MATCH(G422,'ei names mapping'!$B$3:$BK$3,0))</f>
        <v>kilogram</v>
      </c>
      <c r="E422" s="12" t="str">
        <f>INDEX('ei names mapping'!$B$225:$BK$255,MATCH(B383,'ei names mapping'!$A$4:$A$33,0),MATCH(G422,'ei names mapping'!$B$3:$BK$3,0))</f>
        <v>air</v>
      </c>
      <c r="F422" s="12" t="s">
        <v>173</v>
      </c>
      <c r="G422" s="12" t="s">
        <v>63</v>
      </c>
      <c r="H422" s="12"/>
    </row>
    <row r="423" spans="1:8" s="21" customFormat="1" x14ac:dyDescent="0.3">
      <c r="A423" s="12" t="str">
        <f>INDEX('ei names mapping'!$B$4:$BK$33,MATCH(B$229,'ei names mapping'!$A$4:$A$33,0),MATCH(G423,'ei names mapping'!$B$3:$BK$3,0))</f>
        <v>NMVOC, non-methane volatile organic compounds, unspecified origin</v>
      </c>
      <c r="B423" s="15">
        <f>INDEX('vehicles specifications'!$B$3:$CK$86,MATCH(B$386,'vehicles specifications'!$A$3:$A$86,0),MATCH(G423,'vehicles specifications'!$B$2:$CK$2,0))*INDEX('ei names mapping'!$B$137:$BK$220,MATCH(B$386,'ei names mapping'!$A$137:$A$220,0),MATCH(G423,'ei names mapping'!$B$136:$BK$136,0))</f>
        <v>4.0347299974261968E-4</v>
      </c>
      <c r="C423" s="12"/>
      <c r="D423" s="12" t="str">
        <f>INDEX('ei names mapping'!$B$104:$BK$133,MATCH(B$229,'ei names mapping'!$A$4:$A$33,0),MATCH(G423,'ei names mapping'!$B$3:$BK$3,0))</f>
        <v>kilogram</v>
      </c>
      <c r="E423" s="12" t="str">
        <f>INDEX('ei names mapping'!$B$225:$BK$255,MATCH(B$229,'ei names mapping'!$A$4:$A$33,0),MATCH(G423,'ei names mapping'!$B$3:$BK$3,0))</f>
        <v>air</v>
      </c>
      <c r="F423" s="12" t="s">
        <v>173</v>
      </c>
      <c r="G423" s="12" t="s">
        <v>659</v>
      </c>
      <c r="H423" s="12"/>
    </row>
    <row r="424" spans="1:8" s="21" customFormat="1" x14ac:dyDescent="0.3">
      <c r="A424" s="12" t="str">
        <f>INDEX('ei names mapping'!$B$4:$BK$33,MATCH(B$229,'ei names mapping'!$A$4:$A$33,0),MATCH(G424,'ei names mapping'!$B$3:$BK$3,0))</f>
        <v>Ethane</v>
      </c>
      <c r="B424" s="15">
        <f>INDEX('vehicles specifications'!$B$3:$CK$86,MATCH(B$386,'vehicles specifications'!$A$3:$A$86,0),MATCH(G424,'vehicles specifications'!$B$2:$CK$2,0))*INDEX('ei names mapping'!$B$137:$BK$220,MATCH(B$386,'ei names mapping'!$A$137:$A$220,0),MATCH(G424,'ei names mapping'!$B$136:$BK$136,0))</f>
        <v>2.8450019212620617E-5</v>
      </c>
      <c r="C424" s="12"/>
      <c r="D424" s="12" t="str">
        <f>INDEX('ei names mapping'!$B$104:$BK$133,MATCH(B$229,'ei names mapping'!$A$4:$A$33,0),MATCH(G424,'ei names mapping'!$B$3:$BK$3,0))</f>
        <v>kilogram</v>
      </c>
      <c r="E424" s="12" t="str">
        <f>INDEX('ei names mapping'!$B$225:$BK$255,MATCH(B$229,'ei names mapping'!$A$4:$A$33,0),MATCH(G424,'ei names mapping'!$B$3:$BK$3,0))</f>
        <v>air</v>
      </c>
      <c r="F424" s="12" t="s">
        <v>173</v>
      </c>
      <c r="G424" s="12" t="s">
        <v>603</v>
      </c>
      <c r="H424" s="12"/>
    </row>
    <row r="425" spans="1:8" s="21" customFormat="1" x14ac:dyDescent="0.3">
      <c r="A425" s="12" t="str">
        <f>INDEX('ei names mapping'!$B$4:$BK$33,MATCH(B$229,'ei names mapping'!$A$4:$A$33,0),MATCH(G425,'ei names mapping'!$B$3:$BK$3,0))</f>
        <v>Propane</v>
      </c>
      <c r="B425" s="15">
        <f>INDEX('vehicles specifications'!$B$3:$CK$86,MATCH(B$386,'vehicles specifications'!$A$3:$A$86,0),MATCH(G425,'vehicles specifications'!$B$2:$CK$2,0))*INDEX('ei names mapping'!$B$137:$BK$220,MATCH(B$386,'ei names mapping'!$A$137:$A$220,0),MATCH(G425,'ei names mapping'!$B$136:$BK$136,0))</f>
        <v>5.7970258583709726E-6</v>
      </c>
      <c r="C425" s="12"/>
      <c r="D425" s="12" t="str">
        <f>INDEX('ei names mapping'!$B$104:$BK$133,MATCH(B$229,'ei names mapping'!$A$4:$A$33,0),MATCH(G425,'ei names mapping'!$B$3:$BK$3,0))</f>
        <v>kilogram</v>
      </c>
      <c r="E425" s="12" t="str">
        <f>INDEX('ei names mapping'!$B$225:$BK$255,MATCH(B$229,'ei names mapping'!$A$4:$A$33,0),MATCH(G425,'ei names mapping'!$B$3:$BK$3,0))</f>
        <v>air</v>
      </c>
      <c r="F425" s="12" t="s">
        <v>173</v>
      </c>
      <c r="G425" s="12" t="s">
        <v>604</v>
      </c>
      <c r="H425" s="12"/>
    </row>
    <row r="426" spans="1:8" s="21" customFormat="1" x14ac:dyDescent="0.3">
      <c r="A426" s="12" t="str">
        <f>INDEX('ei names mapping'!$B$4:$BK$33,MATCH(B$229,'ei names mapping'!$A$4:$A$33,0),MATCH(G426,'ei names mapping'!$B$3:$BK$3,0))</f>
        <v>Butane</v>
      </c>
      <c r="B426" s="15">
        <f>INDEX('vehicles specifications'!$B$3:$CK$86,MATCH(B$386,'vehicles specifications'!$A$3:$A$86,0),MATCH(G426,'vehicles specifications'!$B$2:$CK$2,0))*INDEX('ei names mapping'!$B$137:$BK$220,MATCH(B$386,'ei names mapping'!$A$137:$A$220,0),MATCH(G426,'ei names mapping'!$B$136:$BK$136,0))</f>
        <v>4.6732946919790611E-5</v>
      </c>
      <c r="C426" s="12"/>
      <c r="D426" s="12" t="str">
        <f>INDEX('ei names mapping'!$B$104:$BK$133,MATCH(B$229,'ei names mapping'!$A$4:$A$33,0),MATCH(G426,'ei names mapping'!$B$3:$BK$3,0))</f>
        <v>kilogram</v>
      </c>
      <c r="E426" s="12" t="str">
        <f>INDEX('ei names mapping'!$B$225:$BK$255,MATCH(B$229,'ei names mapping'!$A$4:$A$33,0),MATCH(G426,'ei names mapping'!$B$3:$BK$3,0))</f>
        <v>air</v>
      </c>
      <c r="F426" s="12" t="s">
        <v>173</v>
      </c>
      <c r="G426" s="12" t="s">
        <v>605</v>
      </c>
      <c r="H426" s="12"/>
    </row>
    <row r="427" spans="1:8" s="21" customFormat="1" x14ac:dyDescent="0.3">
      <c r="A427" s="12" t="str">
        <f>INDEX('ei names mapping'!$B$4:$BK$33,MATCH(B$229,'ei names mapping'!$A$4:$A$33,0),MATCH(G427,'ei names mapping'!$B$3:$BK$3,0))</f>
        <v>Pentane</v>
      </c>
      <c r="B427" s="15">
        <f>INDEX('vehicles specifications'!$B$3:$CK$86,MATCH(B$386,'vehicles specifications'!$A$3:$A$86,0),MATCH(G427,'vehicles specifications'!$B$2:$CK$2,0))*INDEX('ei names mapping'!$B$137:$BK$220,MATCH(B$386,'ei names mapping'!$A$137:$A$220,0),MATCH(G427,'ei names mapping'!$B$136:$BK$136,0))</f>
        <v>1.9174777839227063E-5</v>
      </c>
      <c r="C427" s="12"/>
      <c r="D427" s="12" t="str">
        <f>INDEX('ei names mapping'!$B$104:$BK$133,MATCH(B$229,'ei names mapping'!$A$4:$A$33,0),MATCH(G427,'ei names mapping'!$B$3:$BK$3,0))</f>
        <v>kilogram</v>
      </c>
      <c r="E427" s="12" t="str">
        <f>INDEX('ei names mapping'!$B$225:$BK$255,MATCH(B$229,'ei names mapping'!$A$4:$A$33,0),MATCH(G427,'ei names mapping'!$B$3:$BK$3,0))</f>
        <v>air</v>
      </c>
      <c r="F427" s="12" t="s">
        <v>173</v>
      </c>
      <c r="G427" s="12" t="s">
        <v>606</v>
      </c>
      <c r="H427" s="12"/>
    </row>
    <row r="428" spans="1:8" s="21" customFormat="1" x14ac:dyDescent="0.3">
      <c r="A428" s="12" t="str">
        <f>INDEX('ei names mapping'!$B$4:$BK$33,MATCH(B$229,'ei names mapping'!$A$4:$A$33,0),MATCH(G428,'ei names mapping'!$B$3:$BK$3,0))</f>
        <v>Hexane</v>
      </c>
      <c r="B428" s="15">
        <f>INDEX('vehicles specifications'!$B$3:$CK$86,MATCH(B$386,'vehicles specifications'!$A$3:$A$86,0),MATCH(G428,'vehicles specifications'!$B$2:$CK$2,0))*INDEX('ei names mapping'!$B$137:$BK$220,MATCH(B$386,'ei names mapping'!$A$137:$A$220,0),MATCH(G428,'ei names mapping'!$B$136:$BK$136,0))</f>
        <v>1.4358787126118871E-5</v>
      </c>
      <c r="C428" s="12"/>
      <c r="D428" s="12" t="str">
        <f>INDEX('ei names mapping'!$B$104:$BK$133,MATCH(B$229,'ei names mapping'!$A$4:$A$33,0),MATCH(G428,'ei names mapping'!$B$3:$BK$3,0))</f>
        <v>kilogram</v>
      </c>
      <c r="E428" s="12" t="str">
        <f>INDEX('ei names mapping'!$B$225:$BK$255,MATCH(B$229,'ei names mapping'!$A$4:$A$33,0),MATCH(G428,'ei names mapping'!$B$3:$BK$3,0))</f>
        <v>air</v>
      </c>
      <c r="F428" s="12" t="s">
        <v>173</v>
      </c>
      <c r="G428" s="12" t="s">
        <v>607</v>
      </c>
      <c r="H428" s="12"/>
    </row>
    <row r="429" spans="1:8" s="21" customFormat="1" x14ac:dyDescent="0.3">
      <c r="A429" s="12" t="str">
        <f>INDEX('ei names mapping'!$B$4:$BK$33,MATCH(B$229,'ei names mapping'!$A$4:$A$33,0),MATCH(G429,'ei names mapping'!$B$3:$BK$3,0))</f>
        <v>Cyclohexane</v>
      </c>
      <c r="B429" s="15">
        <f>INDEX('vehicles specifications'!$B$3:$CK$86,MATCH(B$386,'vehicles specifications'!$A$3:$A$86,0),MATCH(G429,'vehicles specifications'!$B$2:$CK$2,0))*INDEX('ei names mapping'!$B$137:$BK$220,MATCH(B$386,'ei names mapping'!$A$137:$A$220,0),MATCH(G429,'ei names mapping'!$B$136:$BK$136,0))</f>
        <v>1.016709150545063E-5</v>
      </c>
      <c r="C429" s="12"/>
      <c r="D429" s="12" t="str">
        <f>INDEX('ei names mapping'!$B$104:$BK$133,MATCH(B$229,'ei names mapping'!$A$4:$A$33,0),MATCH(G429,'ei names mapping'!$B$3:$BK$3,0))</f>
        <v>kilogram</v>
      </c>
      <c r="E429" s="12" t="str">
        <f>INDEX('ei names mapping'!$B$225:$BK$255,MATCH(B$229,'ei names mapping'!$A$4:$A$33,0),MATCH(G429,'ei names mapping'!$B$3:$BK$3,0))</f>
        <v>air</v>
      </c>
      <c r="F429" s="12" t="s">
        <v>173</v>
      </c>
      <c r="G429" s="12" t="s">
        <v>608</v>
      </c>
      <c r="H429" s="12"/>
    </row>
    <row r="430" spans="1:8" s="21" customFormat="1" x14ac:dyDescent="0.3">
      <c r="A430" s="12" t="str">
        <f>INDEX('ei names mapping'!$B$4:$BK$33,MATCH(B$229,'ei names mapping'!$A$4:$A$33,0),MATCH(G430,'ei names mapping'!$B$3:$BK$3,0))</f>
        <v>Heptane</v>
      </c>
      <c r="B430" s="15">
        <f>INDEX('vehicles specifications'!$B$3:$CK$86,MATCH(B$386,'vehicles specifications'!$A$3:$A$86,0),MATCH(G430,'vehicles specifications'!$B$2:$CK$2,0))*INDEX('ei names mapping'!$B$137:$BK$220,MATCH(B$386,'ei names mapping'!$A$137:$A$220,0),MATCH(G430,'ei names mapping'!$B$136:$BK$136,0))</f>
        <v>6.599690977222338E-6</v>
      </c>
      <c r="C430" s="12"/>
      <c r="D430" s="12" t="str">
        <f>INDEX('ei names mapping'!$B$104:$BK$133,MATCH(B$229,'ei names mapping'!$A$4:$A$33,0),MATCH(G430,'ei names mapping'!$B$3:$BK$3,0))</f>
        <v>kilogram</v>
      </c>
      <c r="E430" s="12" t="str">
        <f>INDEX('ei names mapping'!$B$225:$BK$255,MATCH(B$229,'ei names mapping'!$A$4:$A$33,0),MATCH(G430,'ei names mapping'!$B$3:$BK$3,0))</f>
        <v>air</v>
      </c>
      <c r="F430" s="12" t="s">
        <v>173</v>
      </c>
      <c r="G430" s="12" t="s">
        <v>609</v>
      </c>
      <c r="H430" s="12"/>
    </row>
    <row r="431" spans="1:8" s="21" customFormat="1" x14ac:dyDescent="0.3">
      <c r="A431" s="12" t="str">
        <f>INDEX('ei names mapping'!$B$4:$BK$33,MATCH(B$229,'ei names mapping'!$A$4:$A$33,0),MATCH(G431,'ei names mapping'!$B$3:$BK$3,0))</f>
        <v>Ethene</v>
      </c>
      <c r="B431" s="15">
        <f>INDEX('vehicles specifications'!$B$3:$CK$86,MATCH(B$386,'vehicles specifications'!$A$3:$A$86,0),MATCH(G431,'vehicles specifications'!$B$2:$CK$2,0))*INDEX('ei names mapping'!$B$137:$BK$220,MATCH(B$386,'ei names mapping'!$A$137:$A$220,0),MATCH(G431,'ei names mapping'!$B$136:$BK$136,0))</f>
        <v>6.5105059640166308E-5</v>
      </c>
      <c r="C431" s="12"/>
      <c r="D431" s="12" t="str">
        <f>INDEX('ei names mapping'!$B$104:$BK$133,MATCH(B$229,'ei names mapping'!$A$4:$A$33,0),MATCH(G431,'ei names mapping'!$B$3:$BK$3,0))</f>
        <v>kilogram</v>
      </c>
      <c r="E431" s="12" t="str">
        <f>INDEX('ei names mapping'!$B$225:$BK$255,MATCH(B$229,'ei names mapping'!$A$4:$A$33,0),MATCH(G431,'ei names mapping'!$B$3:$BK$3,0))</f>
        <v>air</v>
      </c>
      <c r="F431" s="12" t="s">
        <v>173</v>
      </c>
      <c r="G431" s="12" t="s">
        <v>610</v>
      </c>
      <c r="H431" s="12"/>
    </row>
    <row r="432" spans="1:8" s="21" customFormat="1" x14ac:dyDescent="0.3">
      <c r="A432" s="12" t="str">
        <f>INDEX('ei names mapping'!$B$4:$BK$33,MATCH(B$229,'ei names mapping'!$A$4:$A$33,0),MATCH(G432,'ei names mapping'!$B$3:$BK$3,0))</f>
        <v>Propene</v>
      </c>
      <c r="B432" s="15">
        <f>INDEX('vehicles specifications'!$B$3:$CK$86,MATCH(B$386,'vehicles specifications'!$A$3:$A$86,0),MATCH(G432,'vehicles specifications'!$B$2:$CK$2,0))*INDEX('ei names mapping'!$B$137:$BK$220,MATCH(B$386,'ei names mapping'!$A$137:$A$220,0),MATCH(G432,'ei names mapping'!$B$136:$BK$136,0))</f>
        <v>3.406867504458017E-5</v>
      </c>
      <c r="C432" s="12"/>
      <c r="D432" s="12" t="str">
        <f>INDEX('ei names mapping'!$B$104:$BK$133,MATCH(B$229,'ei names mapping'!$A$4:$A$33,0),MATCH(G432,'ei names mapping'!$B$3:$BK$3,0))</f>
        <v>kilogram</v>
      </c>
      <c r="E432" s="12" t="str">
        <f>INDEX('ei names mapping'!$B$225:$BK$255,MATCH(B$229,'ei names mapping'!$A$4:$A$33,0),MATCH(G432,'ei names mapping'!$B$3:$BK$3,0))</f>
        <v>air</v>
      </c>
      <c r="F432" s="12" t="s">
        <v>173</v>
      </c>
      <c r="G432" s="12" t="s">
        <v>611</v>
      </c>
      <c r="H432" s="12"/>
    </row>
    <row r="433" spans="1:8" s="21" customFormat="1" x14ac:dyDescent="0.3">
      <c r="A433" s="12" t="str">
        <f>INDEX('ei names mapping'!$B$4:$BK$33,MATCH(B$229,'ei names mapping'!$A$4:$A$33,0),MATCH(G433,'ei names mapping'!$B$3:$BK$3,0))</f>
        <v>1-Pentene</v>
      </c>
      <c r="B433" s="15">
        <f>INDEX('vehicles specifications'!$B$3:$CK$86,MATCH(B$386,'vehicles specifications'!$A$3:$A$86,0),MATCH(G433,'vehicles specifications'!$B$2:$CK$2,0))*INDEX('ei names mapping'!$B$137:$BK$220,MATCH(B$386,'ei names mapping'!$A$137:$A$220,0),MATCH(G433,'ei names mapping'!$B$136:$BK$136,0))</f>
        <v>9.8103514526278003E-7</v>
      </c>
      <c r="C433" s="12"/>
      <c r="D433" s="12" t="str">
        <f>INDEX('ei names mapping'!$B$104:$BK$133,MATCH(B$229,'ei names mapping'!$A$4:$A$33,0),MATCH(G433,'ei names mapping'!$B$3:$BK$3,0))</f>
        <v>kilogram</v>
      </c>
      <c r="E433" s="12" t="str">
        <f>INDEX('ei names mapping'!$B$225:$BK$255,MATCH(B$229,'ei names mapping'!$A$4:$A$33,0),MATCH(G433,'ei names mapping'!$B$3:$BK$3,0))</f>
        <v>air</v>
      </c>
      <c r="F433" s="12" t="s">
        <v>173</v>
      </c>
      <c r="G433" s="12" t="s">
        <v>612</v>
      </c>
      <c r="H433" s="12"/>
    </row>
    <row r="434" spans="1:8" s="21" customFormat="1" x14ac:dyDescent="0.3">
      <c r="A434" s="12" t="str">
        <f>INDEX('ei names mapping'!$B$4:$BK$33,MATCH(B$229,'ei names mapping'!$A$4:$A$33,0),MATCH(G434,'ei names mapping'!$B$3:$BK$3,0))</f>
        <v>Toluene</v>
      </c>
      <c r="B434" s="15">
        <f>INDEX('vehicles specifications'!$B$3:$CK$86,MATCH(B$386,'vehicles specifications'!$A$3:$A$86,0),MATCH(G434,'vehicles specifications'!$B$2:$CK$2,0))*INDEX('ei names mapping'!$B$137:$BK$220,MATCH(B$386,'ei names mapping'!$A$137:$A$220,0),MATCH(G434,'ei names mapping'!$B$136:$BK$136,0))</f>
        <v>9.7925144499866576E-5</v>
      </c>
      <c r="C434" s="12"/>
      <c r="D434" s="12" t="str">
        <f>INDEX('ei names mapping'!$B$104:$BK$133,MATCH(B$229,'ei names mapping'!$A$4:$A$33,0),MATCH(G434,'ei names mapping'!$B$3:$BK$3,0))</f>
        <v>kilogram</v>
      </c>
      <c r="E434" s="12" t="str">
        <f>INDEX('ei names mapping'!$B$225:$BK$255,MATCH(B$229,'ei names mapping'!$A$4:$A$33,0),MATCH(G434,'ei names mapping'!$B$3:$BK$3,0))</f>
        <v>air</v>
      </c>
      <c r="F434" s="12" t="s">
        <v>173</v>
      </c>
      <c r="G434" s="12" t="s">
        <v>613</v>
      </c>
      <c r="H434" s="12"/>
    </row>
    <row r="435" spans="1:8" s="21" customFormat="1" x14ac:dyDescent="0.3">
      <c r="A435" s="12" t="str">
        <f>INDEX('ei names mapping'!$B$4:$BK$33,MATCH(B$229,'ei names mapping'!$A$4:$A$33,0),MATCH(G435,'ei names mapping'!$B$3:$BK$3,0))</f>
        <v>m-Xylene</v>
      </c>
      <c r="B435" s="15">
        <f>INDEX('vehicles specifications'!$B$3:$CK$86,MATCH(B$386,'vehicles specifications'!$A$3:$A$86,0),MATCH(G435,'vehicles specifications'!$B$2:$CK$2,0))*INDEX('ei names mapping'!$B$137:$BK$220,MATCH(B$386,'ei names mapping'!$A$137:$A$220,0),MATCH(G435,'ei names mapping'!$B$136:$BK$136,0))</f>
        <v>4.8427462170699053E-5</v>
      </c>
      <c r="C435" s="12"/>
      <c r="D435" s="12" t="str">
        <f>INDEX('ei names mapping'!$B$104:$BK$133,MATCH(B$229,'ei names mapping'!$A$4:$A$33,0),MATCH(G435,'ei names mapping'!$B$3:$BK$3,0))</f>
        <v>kilogram</v>
      </c>
      <c r="E435" s="12" t="str">
        <f>INDEX('ei names mapping'!$B$225:$BK$255,MATCH(B$229,'ei names mapping'!$A$4:$A$33,0),MATCH(G435,'ei names mapping'!$B$3:$BK$3,0))</f>
        <v>air</v>
      </c>
      <c r="F435" s="12" t="s">
        <v>173</v>
      </c>
      <c r="G435" s="12" t="s">
        <v>614</v>
      </c>
      <c r="H435" s="12"/>
    </row>
    <row r="436" spans="1:8" s="21" customFormat="1" x14ac:dyDescent="0.3">
      <c r="A436" s="12" t="str">
        <f>INDEX('ei names mapping'!$B$4:$BK$33,MATCH(B$229,'ei names mapping'!$A$4:$A$33,0),MATCH(G436,'ei names mapping'!$B$3:$BK$3,0))</f>
        <v>o-Xylene</v>
      </c>
      <c r="B436" s="15">
        <f>INDEX('vehicles specifications'!$B$3:$CK$86,MATCH(B$386,'vehicles specifications'!$A$3:$A$86,0),MATCH(G436,'vehicles specifications'!$B$2:$CK$2,0))*INDEX('ei names mapping'!$B$137:$BK$220,MATCH(B$386,'ei names mapping'!$A$137:$A$220,0),MATCH(G436,'ei names mapping'!$B$136:$BK$136,0))</f>
        <v>2.0155812984489841E-5</v>
      </c>
      <c r="C436" s="12"/>
      <c r="D436" s="12" t="str">
        <f>INDEX('ei names mapping'!$B$104:$BK$133,MATCH(B$229,'ei names mapping'!$A$4:$A$33,0),MATCH(G436,'ei names mapping'!$B$3:$BK$3,0))</f>
        <v>kilogram</v>
      </c>
      <c r="E436" s="12" t="str">
        <f>INDEX('ei names mapping'!$B$225:$BK$255,MATCH(B$229,'ei names mapping'!$A$4:$A$33,0),MATCH(G436,'ei names mapping'!$B$3:$BK$3,0))</f>
        <v>air</v>
      </c>
      <c r="F436" s="12" t="s">
        <v>173</v>
      </c>
      <c r="G436" s="12" t="s">
        <v>615</v>
      </c>
      <c r="H436" s="12"/>
    </row>
    <row r="437" spans="1:8" s="21" customFormat="1" x14ac:dyDescent="0.3">
      <c r="A437" s="12" t="str">
        <f>INDEX('ei names mapping'!$B$4:$BK$33,MATCH(B$229,'ei names mapping'!$A$4:$A$33,0),MATCH(G437,'ei names mapping'!$B$3:$BK$3,0))</f>
        <v>Formaldehyde</v>
      </c>
      <c r="B437" s="15">
        <f>INDEX('vehicles specifications'!$B$3:$CK$86,MATCH(B$386,'vehicles specifications'!$A$3:$A$86,0),MATCH(G437,'vehicles specifications'!$B$2:$CK$2,0))*INDEX('ei names mapping'!$B$137:$BK$220,MATCH(B$386,'ei names mapping'!$A$137:$A$220,0),MATCH(G437,'ei names mapping'!$B$136:$BK$136,0))</f>
        <v>1.5161452244970237E-5</v>
      </c>
      <c r="C437" s="12"/>
      <c r="D437" s="12" t="str">
        <f>INDEX('ei names mapping'!$B$104:$BK$133,MATCH(B$229,'ei names mapping'!$A$4:$A$33,0),MATCH(G437,'ei names mapping'!$B$3:$BK$3,0))</f>
        <v>kilogram</v>
      </c>
      <c r="E437" s="12" t="str">
        <f>INDEX('ei names mapping'!$B$225:$BK$255,MATCH(B$229,'ei names mapping'!$A$4:$A$33,0),MATCH(G437,'ei names mapping'!$B$3:$BK$3,0))</f>
        <v>air</v>
      </c>
      <c r="F437" s="12" t="s">
        <v>173</v>
      </c>
      <c r="G437" s="12" t="s">
        <v>616</v>
      </c>
      <c r="H437" s="12"/>
    </row>
    <row r="438" spans="1:8" s="21" customFormat="1" x14ac:dyDescent="0.3">
      <c r="A438" s="12" t="str">
        <f>INDEX('ei names mapping'!$B$4:$BK$33,MATCH(B$229,'ei names mapping'!$A$4:$A$33,0),MATCH(G438,'ei names mapping'!$B$3:$BK$3,0))</f>
        <v>Acetaldehyde</v>
      </c>
      <c r="B438" s="15">
        <f>INDEX('vehicles specifications'!$B$3:$CK$86,MATCH(B$386,'vehicles specifications'!$A$3:$A$86,0),MATCH(G438,'vehicles specifications'!$B$2:$CK$2,0))*INDEX('ei names mapping'!$B$137:$BK$220,MATCH(B$386,'ei names mapping'!$A$137:$A$220,0),MATCH(G438,'ei names mapping'!$B$136:$BK$136,0))</f>
        <v>6.6888759904280447E-6</v>
      </c>
      <c r="C438" s="12"/>
      <c r="D438" s="12" t="str">
        <f>INDEX('ei names mapping'!$B$104:$BK$133,MATCH(B$229,'ei names mapping'!$A$4:$A$33,0),MATCH(G438,'ei names mapping'!$B$3:$BK$3,0))</f>
        <v>kilogram</v>
      </c>
      <c r="E438" s="12" t="str">
        <f>INDEX('ei names mapping'!$B$225:$BK$255,MATCH(B$229,'ei names mapping'!$A$4:$A$33,0),MATCH(G438,'ei names mapping'!$B$3:$BK$3,0))</f>
        <v>air</v>
      </c>
      <c r="F438" s="12" t="s">
        <v>173</v>
      </c>
      <c r="G438" s="12" t="s">
        <v>617</v>
      </c>
      <c r="H438" s="12"/>
    </row>
    <row r="439" spans="1:8" s="21" customFormat="1" x14ac:dyDescent="0.3">
      <c r="A439" s="12" t="str">
        <f>INDEX('ei names mapping'!$B$4:$BK$33,MATCH(B$229,'ei names mapping'!$A$4:$A$33,0),MATCH(G439,'ei names mapping'!$B$3:$BK$3,0))</f>
        <v>Benzaldehyde</v>
      </c>
      <c r="B439" s="15">
        <f>INDEX('vehicles specifications'!$B$3:$CK$86,MATCH(B$386,'vehicles specifications'!$A$3:$A$86,0),MATCH(G439,'vehicles specifications'!$B$2:$CK$2,0))*INDEX('ei names mapping'!$B$137:$BK$220,MATCH(B$386,'ei names mapping'!$A$137:$A$220,0),MATCH(G439,'ei names mapping'!$B$136:$BK$136,0))</f>
        <v>1.9620702905255601E-6</v>
      </c>
      <c r="C439" s="12"/>
      <c r="D439" s="12" t="str">
        <f>INDEX('ei names mapping'!$B$104:$BK$133,MATCH(B$229,'ei names mapping'!$A$4:$A$33,0),MATCH(G439,'ei names mapping'!$B$3:$BK$3,0))</f>
        <v>kilogram</v>
      </c>
      <c r="E439" s="12" t="str">
        <f>INDEX('ei names mapping'!$B$225:$BK$255,MATCH(B$229,'ei names mapping'!$A$4:$A$33,0),MATCH(G439,'ei names mapping'!$B$3:$BK$3,0))</f>
        <v>air</v>
      </c>
      <c r="F439" s="12" t="s">
        <v>173</v>
      </c>
      <c r="G439" s="12" t="s">
        <v>618</v>
      </c>
      <c r="H439" s="12"/>
    </row>
    <row r="440" spans="1:8" s="21" customFormat="1" x14ac:dyDescent="0.3">
      <c r="A440" s="12" t="str">
        <f>INDEX('ei names mapping'!$B$4:$BK$33,MATCH(B$229,'ei names mapping'!$A$4:$A$33,0),MATCH(G440,'ei names mapping'!$B$3:$BK$3,0))</f>
        <v>Acetone</v>
      </c>
      <c r="B440" s="15">
        <f>INDEX('vehicles specifications'!$B$3:$CK$86,MATCH(B$386,'vehicles specifications'!$A$3:$A$86,0),MATCH(G440,'vehicles specifications'!$B$2:$CK$2,0))*INDEX('ei names mapping'!$B$137:$BK$220,MATCH(B$386,'ei names mapping'!$A$137:$A$220,0),MATCH(G440,'ei names mapping'!$B$136:$BK$136,0))</f>
        <v>5.4402858055481441E-6</v>
      </c>
      <c r="C440" s="12"/>
      <c r="D440" s="12" t="str">
        <f>INDEX('ei names mapping'!$B$104:$BK$133,MATCH(B$229,'ei names mapping'!$A$4:$A$33,0),MATCH(G440,'ei names mapping'!$B$3:$BK$3,0))</f>
        <v>kilogram</v>
      </c>
      <c r="E440" s="12" t="str">
        <f>INDEX('ei names mapping'!$B$225:$BK$255,MATCH(B$229,'ei names mapping'!$A$4:$A$33,0),MATCH(G440,'ei names mapping'!$B$3:$BK$3,0))</f>
        <v>air</v>
      </c>
      <c r="F440" s="12" t="s">
        <v>173</v>
      </c>
      <c r="G440" s="12" t="s">
        <v>619</v>
      </c>
      <c r="H440" s="12"/>
    </row>
    <row r="441" spans="1:8" s="21" customFormat="1" x14ac:dyDescent="0.3">
      <c r="A441" s="12" t="str">
        <f>INDEX('ei names mapping'!$B$4:$BK$33,MATCH(B$229,'ei names mapping'!$A$4:$A$33,0),MATCH(G441,'ei names mapping'!$B$3:$BK$3,0))</f>
        <v>Methyl ethyl ketone</v>
      </c>
      <c r="B441" s="15">
        <f>INDEX('vehicles specifications'!$B$3:$CK$86,MATCH(B$386,'vehicles specifications'!$A$3:$A$86,0),MATCH(G441,'vehicles specifications'!$B$2:$CK$2,0))*INDEX('ei names mapping'!$B$137:$BK$220,MATCH(B$386,'ei names mapping'!$A$137:$A$220,0),MATCH(G441,'ei names mapping'!$B$136:$BK$136,0))</f>
        <v>0</v>
      </c>
      <c r="C441" s="12"/>
      <c r="D441" s="12" t="str">
        <f>INDEX('ei names mapping'!$B$104:$BK$133,MATCH(B$229,'ei names mapping'!$A$4:$A$33,0),MATCH(G441,'ei names mapping'!$B$3:$BK$3,0))</f>
        <v>kilogram</v>
      </c>
      <c r="E441" s="12" t="str">
        <f>INDEX('ei names mapping'!$B$225:$BK$255,MATCH(B$229,'ei names mapping'!$A$4:$A$33,0),MATCH(G441,'ei names mapping'!$B$3:$BK$3,0))</f>
        <v>air</v>
      </c>
      <c r="F441" s="12" t="s">
        <v>173</v>
      </c>
      <c r="G441" s="12" t="s">
        <v>622</v>
      </c>
      <c r="H441" s="12"/>
    </row>
    <row r="442" spans="1:8" s="21" customFormat="1" x14ac:dyDescent="0.3">
      <c r="A442" s="12" t="str">
        <f>INDEX('ei names mapping'!$B$4:$BK$33,MATCH(B$229,'ei names mapping'!$A$4:$A$33,0),MATCH(G442,'ei names mapping'!$B$3:$BK$3,0))</f>
        <v>Acrolein</v>
      </c>
      <c r="B442" s="15">
        <f>INDEX('vehicles specifications'!$B$3:$CK$86,MATCH(B$386,'vehicles specifications'!$A$3:$A$86,0),MATCH(G442,'vehicles specifications'!$B$2:$CK$2,0))*INDEX('ei names mapping'!$B$137:$BK$220,MATCH(B$386,'ei names mapping'!$A$137:$A$220,0),MATCH(G442,'ei names mapping'!$B$136:$BK$136,0))</f>
        <v>1.6945152509084381E-6</v>
      </c>
      <c r="C442" s="12"/>
      <c r="D442" s="12" t="str">
        <f>INDEX('ei names mapping'!$B$104:$BK$133,MATCH(B$229,'ei names mapping'!$A$4:$A$33,0),MATCH(G442,'ei names mapping'!$B$3:$BK$3,0))</f>
        <v>kilogram</v>
      </c>
      <c r="E442" s="12" t="str">
        <f>INDEX('ei names mapping'!$B$225:$BK$255,MATCH(B$229,'ei names mapping'!$A$4:$A$33,0),MATCH(G442,'ei names mapping'!$B$3:$BK$3,0))</f>
        <v>air</v>
      </c>
      <c r="F442" s="12" t="s">
        <v>173</v>
      </c>
      <c r="G442" s="12" t="s">
        <v>620</v>
      </c>
      <c r="H442" s="12"/>
    </row>
    <row r="443" spans="1:8" s="21" customFormat="1" x14ac:dyDescent="0.3">
      <c r="A443" s="12" t="str">
        <f>INDEX('ei names mapping'!$B$4:$BK$33,MATCH(B$229,'ei names mapping'!$A$4:$A$33,0),MATCH(G443,'ei names mapping'!$B$3:$BK$3,0))</f>
        <v>Styrene</v>
      </c>
      <c r="B443" s="15">
        <f>INDEX('vehicles specifications'!$B$3:$CK$86,MATCH(B$386,'vehicles specifications'!$A$3:$A$86,0),MATCH(G443,'vehicles specifications'!$B$2:$CK$2,0))*INDEX('ei names mapping'!$B$137:$BK$220,MATCH(B$386,'ei names mapping'!$A$137:$A$220,0),MATCH(G443,'ei names mapping'!$B$136:$BK$136,0))</f>
        <v>9.0076863337764332E-6</v>
      </c>
      <c r="C443" s="12"/>
      <c r="D443" s="12" t="str">
        <f>INDEX('ei names mapping'!$B$104:$BK$133,MATCH(B$229,'ei names mapping'!$A$4:$A$33,0),MATCH(G443,'ei names mapping'!$B$3:$BK$3,0))</f>
        <v>kilogram</v>
      </c>
      <c r="E443" s="12" t="str">
        <f>INDEX('ei names mapping'!$B$225:$BK$255,MATCH(B$229,'ei names mapping'!$A$4:$A$33,0),MATCH(G443,'ei names mapping'!$B$3:$BK$3,0))</f>
        <v>air</v>
      </c>
      <c r="F443" s="12" t="s">
        <v>173</v>
      </c>
      <c r="G443" s="12" t="s">
        <v>621</v>
      </c>
      <c r="H443" s="12"/>
    </row>
    <row r="444" spans="1:8" s="21" customFormat="1" x14ac:dyDescent="0.3">
      <c r="A444" s="12" t="str">
        <f>INDEX('ei names mapping'!$B$4:$BK$33,MATCH(B$229,'ei names mapping'!$A$4:$A$33,0),MATCH(G444,'ei names mapping'!$B$3:$BK$3,0))</f>
        <v>PAH, polycyclic aromatic hydrocarbons</v>
      </c>
      <c r="B444" s="15">
        <f>INDEX('vehicles specifications'!$B$3:$CK$86,MATCH(B$386,'vehicles specifications'!$A$3:$A$86,0),MATCH(G444,'vehicles specifications'!$B$2:$CK$2,0))*INDEX('ei names mapping'!$B$137:$BK$220,MATCH(B$386,'ei names mapping'!$A$137:$A$220,0),MATCH(G444,'ei names mapping'!$B$136:$BK$136,0))</f>
        <v>2.8636165837869648E-8</v>
      </c>
      <c r="C444" s="12"/>
      <c r="D444" s="12" t="str">
        <f>INDEX('ei names mapping'!$B$104:$BK$133,MATCH(B$229,'ei names mapping'!$A$4:$A$33,0),MATCH(G444,'ei names mapping'!$B$3:$BK$3,0))</f>
        <v>kilogram</v>
      </c>
      <c r="E444" s="12" t="str">
        <f>INDEX('ei names mapping'!$B$225:$BK$255,MATCH(B$229,'ei names mapping'!$A$4:$A$33,0),MATCH(G444,'ei names mapping'!$B$3:$BK$3,0))</f>
        <v>air</v>
      </c>
      <c r="F444" s="12" t="s">
        <v>173</v>
      </c>
      <c r="G444" s="12" t="s">
        <v>623</v>
      </c>
      <c r="H444" s="12"/>
    </row>
    <row r="445" spans="1:8" s="21" customFormat="1" x14ac:dyDescent="0.3">
      <c r="A445" s="12" t="str">
        <f>INDEX('ei names mapping'!$B$4:$BK$33,MATCH(B$229,'ei names mapping'!$A$4:$A$33,0),MATCH(G445,'ei names mapping'!$B$3:$BK$3,0))</f>
        <v>Arsenic</v>
      </c>
      <c r="B445" s="15">
        <f>INDEX('vehicles specifications'!$B$3:$CK$86,MATCH(B$386,'vehicles specifications'!$A$3:$A$86,0),MATCH(G445,'vehicles specifications'!$B$2:$CK$2,0))*INDEX('ei names mapping'!$B$137:$BK$220,MATCH(B$386,'ei names mapping'!$A$137:$A$220,0),MATCH(G445,'ei names mapping'!$B$136:$BK$136,0))</f>
        <v>2.4686349860232454E-10</v>
      </c>
      <c r="C445" s="12"/>
      <c r="D445" s="12" t="str">
        <f>INDEX('ei names mapping'!$B$104:$BK$133,MATCH(B$229,'ei names mapping'!$A$4:$A$33,0),MATCH(G445,'ei names mapping'!$B$3:$BK$3,0))</f>
        <v>kilogram</v>
      </c>
      <c r="E445" s="12" t="str">
        <f>INDEX('ei names mapping'!$B$225:$BK$255,MATCH(B$229,'ei names mapping'!$A$4:$A$33,0),MATCH(G445,'ei names mapping'!$B$3:$BK$3,0))</f>
        <v>air</v>
      </c>
      <c r="F445" s="12" t="s">
        <v>173</v>
      </c>
      <c r="G445" s="12" t="s">
        <v>624</v>
      </c>
      <c r="H445" s="12"/>
    </row>
    <row r="446" spans="1:8" s="21" customFormat="1" x14ac:dyDescent="0.3">
      <c r="A446" s="12" t="str">
        <f>INDEX('ei names mapping'!$B$4:$BK$33,MATCH(B$229,'ei names mapping'!$A$4:$A$33,0),MATCH(G446,'ei names mapping'!$B$3:$BK$3,0))</f>
        <v>Selenium</v>
      </c>
      <c r="B446" s="15">
        <f>INDEX('vehicles specifications'!$B$3:$CK$86,MATCH(B$386,'vehicles specifications'!$A$3:$A$86,0),MATCH(G446,'vehicles specifications'!$B$2:$CK$2,0))*INDEX('ei names mapping'!$B$137:$BK$220,MATCH(B$386,'ei names mapping'!$A$137:$A$220,0),MATCH(G446,'ei names mapping'!$B$136:$BK$136,0))</f>
        <v>1.6457566573488304E-10</v>
      </c>
      <c r="C446" s="12"/>
      <c r="D446" s="12" t="str">
        <f>INDEX('ei names mapping'!$B$104:$BK$133,MATCH(B$229,'ei names mapping'!$A$4:$A$33,0),MATCH(G446,'ei names mapping'!$B$3:$BK$3,0))</f>
        <v>kilogram</v>
      </c>
      <c r="E446" s="12" t="str">
        <f>INDEX('ei names mapping'!$B$225:$BK$255,MATCH(B$229,'ei names mapping'!$A$4:$A$33,0),MATCH(G446,'ei names mapping'!$B$3:$BK$3,0))</f>
        <v>air</v>
      </c>
      <c r="F446" s="12" t="s">
        <v>173</v>
      </c>
      <c r="G446" s="12" t="s">
        <v>625</v>
      </c>
      <c r="H446" s="12"/>
    </row>
    <row r="447" spans="1:8" s="21" customFormat="1" x14ac:dyDescent="0.3">
      <c r="A447" s="12" t="str">
        <f>INDEX('ei names mapping'!$B$4:$BK$33,MATCH(B$229,'ei names mapping'!$A$4:$A$33,0),MATCH(G447,'ei names mapping'!$B$3:$BK$3,0))</f>
        <v>Zinc</v>
      </c>
      <c r="B447" s="15">
        <f>INDEX('vehicles specifications'!$B$3:$CK$86,MATCH(B$386,'vehicles specifications'!$A$3:$A$86,0),MATCH(G447,'vehicles specifications'!$B$2:$CK$2,0))*INDEX('ei names mapping'!$B$137:$BK$220,MATCH(B$386,'ei names mapping'!$A$137:$A$220,0),MATCH(G447,'ei names mapping'!$B$136:$BK$136,0))</f>
        <v>1.7774171899367368E-6</v>
      </c>
      <c r="C447" s="12"/>
      <c r="D447" s="12" t="str">
        <f>INDEX('ei names mapping'!$B$104:$BK$133,MATCH(B$229,'ei names mapping'!$A$4:$A$33,0),MATCH(G447,'ei names mapping'!$B$3:$BK$3,0))</f>
        <v>kilogram</v>
      </c>
      <c r="E447" s="12" t="str">
        <f>INDEX('ei names mapping'!$B$225:$BK$255,MATCH(B$229,'ei names mapping'!$A$4:$A$33,0),MATCH(G447,'ei names mapping'!$B$3:$BK$3,0))</f>
        <v>air</v>
      </c>
      <c r="F447" s="12" t="s">
        <v>173</v>
      </c>
      <c r="G447" s="12" t="s">
        <v>626</v>
      </c>
      <c r="H447" s="12"/>
    </row>
    <row r="448" spans="1:8" s="21" customFormat="1" x14ac:dyDescent="0.3">
      <c r="A448" s="12" t="str">
        <f>INDEX('ei names mapping'!$B$4:$BK$33,MATCH(B$229,'ei names mapping'!$A$4:$A$33,0),MATCH(G448,'ei names mapping'!$B$3:$BK$3,0))</f>
        <v>Copper</v>
      </c>
      <c r="B448" s="15">
        <f>INDEX('vehicles specifications'!$B$3:$CK$86,MATCH(B$386,'vehicles specifications'!$A$3:$A$86,0),MATCH(G448,'vehicles specifications'!$B$2:$CK$2,0))*INDEX('ei names mapping'!$B$137:$BK$220,MATCH(B$386,'ei names mapping'!$A$137:$A$220,0),MATCH(G448,'ei names mapping'!$B$136:$BK$136,0))</f>
        <v>3.4560889804325435E-8</v>
      </c>
      <c r="C448" s="12"/>
      <c r="D448" s="12" t="str">
        <f>INDEX('ei names mapping'!$B$104:$BK$133,MATCH(B$229,'ei names mapping'!$A$4:$A$33,0),MATCH(G448,'ei names mapping'!$B$3:$BK$3,0))</f>
        <v>kilogram</v>
      </c>
      <c r="E448" s="12" t="str">
        <f>INDEX('ei names mapping'!$B$225:$BK$255,MATCH(B$229,'ei names mapping'!$A$4:$A$33,0),MATCH(G448,'ei names mapping'!$B$3:$BK$3,0))</f>
        <v>air</v>
      </c>
      <c r="F448" s="12" t="s">
        <v>173</v>
      </c>
      <c r="G448" s="12" t="s">
        <v>581</v>
      </c>
      <c r="H448" s="12"/>
    </row>
    <row r="449" spans="1:8" s="21" customFormat="1" x14ac:dyDescent="0.3">
      <c r="A449" s="12" t="str">
        <f>INDEX('ei names mapping'!$B$4:$BK$33,MATCH(B$229,'ei names mapping'!$A$4:$A$33,0),MATCH(G449,'ei names mapping'!$B$3:$BK$3,0))</f>
        <v>Nickel</v>
      </c>
      <c r="B449" s="15">
        <f>INDEX('vehicles specifications'!$B$3:$CK$86,MATCH(B$386,'vehicles specifications'!$A$3:$A$86,0),MATCH(G449,'vehicles specifications'!$B$2:$CK$2,0))*INDEX('ei names mapping'!$B$137:$BK$220,MATCH(B$386,'ei names mapping'!$A$137:$A$220,0),MATCH(G449,'ei names mapping'!$B$136:$BK$136,0))</f>
        <v>1.0697418272767397E-8</v>
      </c>
      <c r="C449" s="12"/>
      <c r="D449" s="12" t="str">
        <f>INDEX('ei names mapping'!$B$104:$BK$133,MATCH(B$229,'ei names mapping'!$A$4:$A$33,0),MATCH(G449,'ei names mapping'!$B$3:$BK$3,0))</f>
        <v>kilogram</v>
      </c>
      <c r="E449" s="12" t="str">
        <f>INDEX('ei names mapping'!$B$225:$BK$255,MATCH(B$229,'ei names mapping'!$A$4:$A$33,0),MATCH(G449,'ei names mapping'!$B$3:$BK$3,0))</f>
        <v>air</v>
      </c>
      <c r="F449" s="12" t="s">
        <v>173</v>
      </c>
      <c r="G449" s="12" t="s">
        <v>583</v>
      </c>
      <c r="H449" s="12"/>
    </row>
    <row r="450" spans="1:8" s="21" customFormat="1" x14ac:dyDescent="0.3">
      <c r="A450" s="12" t="str">
        <f>INDEX('ei names mapping'!$B$4:$BK$33,MATCH(B$229,'ei names mapping'!$A$4:$A$33,0),MATCH(G450,'ei names mapping'!$B$3:$BK$3,0))</f>
        <v>Chromium</v>
      </c>
      <c r="B450" s="15">
        <f>INDEX('vehicles specifications'!$B$3:$CK$86,MATCH(B$386,'vehicles specifications'!$A$3:$A$86,0),MATCH(G450,'vehicles specifications'!$B$2:$CK$2,0))*INDEX('ei names mapping'!$B$137:$BK$220,MATCH(B$386,'ei names mapping'!$A$137:$A$220,0),MATCH(G450,'ei names mapping'!$B$136:$BK$136,0))</f>
        <v>1.3166053258790645E-8</v>
      </c>
      <c r="C450" s="12"/>
      <c r="D450" s="12" t="str">
        <f>INDEX('ei names mapping'!$B$104:$BK$133,MATCH(B$229,'ei names mapping'!$A$4:$A$33,0),MATCH(G450,'ei names mapping'!$B$3:$BK$3,0))</f>
        <v>kilogram</v>
      </c>
      <c r="E450" s="12" t="str">
        <f>INDEX('ei names mapping'!$B$225:$BK$255,MATCH(B$229,'ei names mapping'!$A$4:$A$33,0),MATCH(G450,'ei names mapping'!$B$3:$BK$3,0))</f>
        <v>air</v>
      </c>
      <c r="F450" s="12" t="s">
        <v>173</v>
      </c>
      <c r="G450" s="12" t="s">
        <v>582</v>
      </c>
      <c r="H450" s="12"/>
    </row>
    <row r="451" spans="1:8" s="21" customFormat="1" x14ac:dyDescent="0.3">
      <c r="A451" s="12" t="str">
        <f>INDEX('ei names mapping'!$B$4:$BK$33,MATCH(B$229,'ei names mapping'!$A$4:$A$33,0),MATCH(G451,'ei names mapping'!$B$3:$BK$3,0))</f>
        <v>Chromium VI</v>
      </c>
      <c r="B451" s="15">
        <f>INDEX('vehicles specifications'!$B$3:$CK$86,MATCH(B$386,'vehicles specifications'!$A$3:$A$86,0),MATCH(G451,'vehicles specifications'!$B$2:$CK$2,0))*INDEX('ei names mapping'!$B$137:$BK$220,MATCH(B$386,'ei names mapping'!$A$137:$A$220,0),MATCH(G451,'ei names mapping'!$B$136:$BK$136,0))</f>
        <v>2.6332106517581283E-11</v>
      </c>
      <c r="C451" s="12"/>
      <c r="D451" s="12" t="str">
        <f>INDEX('ei names mapping'!$B$104:$BK$133,MATCH(B$229,'ei names mapping'!$A$4:$A$33,0),MATCH(G451,'ei names mapping'!$B$3:$BK$3,0))</f>
        <v>kilogram</v>
      </c>
      <c r="E451" s="12" t="str">
        <f>INDEX('ei names mapping'!$B$225:$BK$255,MATCH(B$229,'ei names mapping'!$A$4:$A$33,0),MATCH(G451,'ei names mapping'!$B$3:$BK$3,0))</f>
        <v>air</v>
      </c>
      <c r="F451" s="12" t="s">
        <v>173</v>
      </c>
      <c r="G451" s="12" t="s">
        <v>629</v>
      </c>
      <c r="H451" s="12"/>
    </row>
    <row r="452" spans="1:8" s="21" customFormat="1" x14ac:dyDescent="0.3">
      <c r="A452" s="12" t="str">
        <f>INDEX('ei names mapping'!$B$4:$BK$33,MATCH(B$229,'ei names mapping'!$A$4:$A$33,0),MATCH(G452,'ei names mapping'!$B$3:$BK$3,0))</f>
        <v>Mercury</v>
      </c>
      <c r="B452" s="15">
        <f>INDEX('vehicles specifications'!$B$3:$CK$86,MATCH(B$386,'vehicles specifications'!$A$3:$A$86,0),MATCH(G452,'vehicles specifications'!$B$2:$CK$2,0))*INDEX('ei names mapping'!$B$137:$BK$220,MATCH(B$386,'ei names mapping'!$A$137:$A$220,0),MATCH(G452,'ei names mapping'!$B$136:$BK$136,0))</f>
        <v>7.1590414594674119E-9</v>
      </c>
      <c r="C452" s="12"/>
      <c r="D452" s="12" t="str">
        <f>INDEX('ei names mapping'!$B$104:$BK$133,MATCH(B$229,'ei names mapping'!$A$4:$A$33,0),MATCH(G452,'ei names mapping'!$B$3:$BK$3,0))</f>
        <v>kilogram</v>
      </c>
      <c r="E452" s="12" t="str">
        <f>INDEX('ei names mapping'!$B$225:$BK$255,MATCH(B$229,'ei names mapping'!$A$4:$A$33,0),MATCH(G452,'ei names mapping'!$B$3:$BK$3,0))</f>
        <v>air</v>
      </c>
      <c r="F452" s="12" t="s">
        <v>173</v>
      </c>
      <c r="G452" s="12" t="s">
        <v>627</v>
      </c>
      <c r="H452" s="12"/>
    </row>
    <row r="453" spans="1:8" s="21" customFormat="1" x14ac:dyDescent="0.3">
      <c r="A453" s="12" t="str">
        <f>INDEX('ei names mapping'!$B$4:$BK$33,MATCH(B$229,'ei names mapping'!$A$4:$A$33,0),MATCH(G453,'ei names mapping'!$B$3:$BK$3,0))</f>
        <v>Cadmium</v>
      </c>
      <c r="B453" s="15">
        <f>INDEX('vehicles specifications'!$B$3:$CK$86,MATCH(B$386,'vehicles specifications'!$A$3:$A$86,0),MATCH(G453,'vehicles specifications'!$B$2:$CK$2,0))*INDEX('ei names mapping'!$B$137:$BK$220,MATCH(B$386,'ei names mapping'!$A$137:$A$220,0),MATCH(G453,'ei names mapping'!$B$136:$BK$136,0))</f>
        <v>8.8870859496836834E-9</v>
      </c>
      <c r="C453" s="12"/>
      <c r="D453" s="12" t="str">
        <f>INDEX('ei names mapping'!$B$104:$BK$133,MATCH(B$229,'ei names mapping'!$A$4:$A$33,0),MATCH(G453,'ei names mapping'!$B$3:$BK$3,0))</f>
        <v>kilogram</v>
      </c>
      <c r="E453" s="12" t="str">
        <f>INDEX('ei names mapping'!$B$225:$BK$255,MATCH(B$229,'ei names mapping'!$A$4:$A$33,0),MATCH(G453,'ei names mapping'!$B$3:$BK$3,0))</f>
        <v>air</v>
      </c>
      <c r="F453" s="12" t="s">
        <v>173</v>
      </c>
      <c r="G453" s="12" t="s">
        <v>628</v>
      </c>
      <c r="H453" s="12"/>
    </row>
    <row r="454" spans="1:8" x14ac:dyDescent="0.3">
      <c r="A454" s="12" t="str">
        <f>INDEX('ei names mapping'!$B$4:$BK$33,MATCH(B383,'ei names mapping'!$A$4:$A$33,0),MATCH(G454,'ei names mapping'!$B$3:$BK$3,0))</f>
        <v>treatment of road wear emissions, passenger car</v>
      </c>
      <c r="B454" s="16">
        <f>INDEX('vehicles specifications'!$B$3:$CK$86,MATCH(B386,'vehicles specifications'!$A$3:$A$86,0),MATCH(G454,'vehicles specifications'!$B$2:$CK$2,0))*INDEX('ei names mapping'!$B$137:$BK$220,MATCH(B386,'ei names mapping'!$A$137:$A$220,0),MATCH(G454,'ei names mapping'!$B$136:$BK$136,0))</f>
        <v>-6.0000000000000002E-6</v>
      </c>
      <c r="C454" s="12" t="str">
        <f>INDEX('ei names mapping'!$B$38:$BK$67,MATCH(B383,'ei names mapping'!$A$4:$A$33,0),MATCH(G454,'ei names mapping'!$B$3:$BK$3,0))</f>
        <v>RER</v>
      </c>
      <c r="D454" s="12" t="str">
        <f>INDEX('ei names mapping'!$B$104:$BK$133,MATCH(B383,'ei names mapping'!$A$4:$A$33,0),MATCH(G454,'ei names mapping'!$B$3:$BK$3,0))</f>
        <v>kilogram</v>
      </c>
      <c r="E454" s="12"/>
      <c r="F454" s="12" t="s">
        <v>91</v>
      </c>
      <c r="G454" t="s">
        <v>29</v>
      </c>
      <c r="H454" s="12" t="str">
        <f>INDEX('ei names mapping'!$B$71:$BK$100,MATCH(B383,'ei names mapping'!$A$4:$A$33,0),MATCH(G454,'ei names mapping'!$B$3:$BK$3,0))</f>
        <v>road wear emissions, passenger car</v>
      </c>
    </row>
    <row r="455" spans="1:8" x14ac:dyDescent="0.3">
      <c r="A455" s="12" t="str">
        <f>INDEX('ei names mapping'!$B$4:$BK$33,MATCH(B383,'ei names mapping'!$A$4:$A$33,0),MATCH(G455,'ei names mapping'!$B$3:$BK$3,0))</f>
        <v>treatment of tyre wear emissions, passenger car</v>
      </c>
      <c r="B455" s="16">
        <f>INDEX('vehicles specifications'!$B$3:$CK$86,MATCH(B386,'vehicles specifications'!$A$3:$A$86,0),MATCH(G455,'vehicles specifications'!$B$2:$CK$2,0))*INDEX('ei names mapping'!$B$137:$BK$220,MATCH(B386,'ei names mapping'!$A$137:$A$220,0),MATCH(G455,'ei names mapping'!$B$136:$BK$136,0))</f>
        <v>-5.8379999999999998E-6</v>
      </c>
      <c r="C455" s="12" t="str">
        <f>INDEX('ei names mapping'!$B$38:$BK$67,MATCH(B383,'ei names mapping'!$A$4:$A$33,0),MATCH(G455,'ei names mapping'!$B$3:$BK$3,0))</f>
        <v>RER</v>
      </c>
      <c r="D455" s="12" t="str">
        <f>INDEX('ei names mapping'!$B$104:$BK$133,MATCH(B383,'ei names mapping'!$A$4:$A$33,0),MATCH(G455,'ei names mapping'!$B$3:$BK$3,0))</f>
        <v>kilogram</v>
      </c>
      <c r="E455" s="12"/>
      <c r="F455" s="12" t="s">
        <v>91</v>
      </c>
      <c r="G455" t="s">
        <v>30</v>
      </c>
      <c r="H455" s="12" t="str">
        <f>INDEX('ei names mapping'!$B$71:$BK$100,MATCH(B383,'ei names mapping'!$A$4:$A$33,0),MATCH(G455,'ei names mapping'!$B$3:$BK$3,0))</f>
        <v>tyre wear emissions, passenger car</v>
      </c>
    </row>
    <row r="456" spans="1:8" x14ac:dyDescent="0.3">
      <c r="A456" s="12" t="str">
        <f>INDEX('ei names mapping'!$B$4:$BK$33,MATCH(B383,'ei names mapping'!$A$4:$A$33,0),MATCH(G456,'ei names mapping'!$B$3:$BK$3,0))</f>
        <v>treatment of brake wear emissions, passenger car</v>
      </c>
      <c r="B456" s="16">
        <f>INDEX('vehicles specifications'!$B$3:$CK$86,MATCH(B386,'vehicles specifications'!$A$3:$A$86,0),MATCH(G456,'vehicles specifications'!$B$2:$CK$2,0))*INDEX('ei names mapping'!$B$137:$BK$220,MATCH(B386,'ei names mapping'!$A$137:$A$220,0),MATCH(G456,'ei names mapping'!$B$136:$BK$136,0))</f>
        <v>-3.6740000000000003E-6</v>
      </c>
      <c r="C456" s="12" t="str">
        <f>INDEX('ei names mapping'!$B$38:$BK$67,MATCH(B383,'ei names mapping'!$A$4:$A$33,0),MATCH(G456,'ei names mapping'!$B$3:$BK$3,0))</f>
        <v>RER</v>
      </c>
      <c r="D456" s="12" t="str">
        <f>INDEX('ei names mapping'!$B$104:$BK$133,MATCH(B383,'ei names mapping'!$A$4:$A$33,0),MATCH(G456,'ei names mapping'!$B$3:$BK$3,0))</f>
        <v>kilogram</v>
      </c>
      <c r="E456" s="12"/>
      <c r="F456" s="12" t="s">
        <v>91</v>
      </c>
      <c r="G456" t="s">
        <v>31</v>
      </c>
      <c r="H456" s="12" t="str">
        <f>INDEX('ei names mapping'!$B$71:$BK$100,MATCH(B383,'ei names mapping'!$A$4:$A$33,0),MATCH(G456,'ei names mapping'!$B$3:$BK$3,0))</f>
        <v>brake wear emissions, passenger car</v>
      </c>
    </row>
    <row r="457" spans="1:8" x14ac:dyDescent="0.3">
      <c r="B457" s="6"/>
    </row>
    <row r="458" spans="1:8" ht="15.6" x14ac:dyDescent="0.3">
      <c r="A458" s="11" t="s">
        <v>72</v>
      </c>
      <c r="B458" s="9" t="str">
        <f>"transport, "&amp;B460&amp;", "&amp;B462</f>
        <v>transport, Moped, gasoline, &lt;4kW, EURO-5, 2030</v>
      </c>
    </row>
    <row r="459" spans="1:8" x14ac:dyDescent="0.3">
      <c r="A459" t="s">
        <v>73</v>
      </c>
      <c r="B459" t="s">
        <v>37</v>
      </c>
    </row>
    <row r="460" spans="1:8" x14ac:dyDescent="0.3">
      <c r="A460" t="s">
        <v>87</v>
      </c>
      <c r="B460" t="s">
        <v>647</v>
      </c>
    </row>
    <row r="461" spans="1:8" x14ac:dyDescent="0.3">
      <c r="A461" t="s">
        <v>88</v>
      </c>
      <c r="B461" s="12"/>
    </row>
    <row r="462" spans="1:8" x14ac:dyDescent="0.3">
      <c r="A462" t="s">
        <v>89</v>
      </c>
      <c r="B462" s="12">
        <v>2030</v>
      </c>
    </row>
    <row r="463" spans="1:8" x14ac:dyDescent="0.3">
      <c r="A463" t="s">
        <v>131</v>
      </c>
      <c r="B463" s="12" t="str">
        <f>B460&amp;" - "&amp;B462&amp;" - "&amp;B459</f>
        <v>Moped, gasoline, &lt;4kW, EURO-5 - 2030 - CH</v>
      </c>
    </row>
    <row r="464" spans="1:8" x14ac:dyDescent="0.3">
      <c r="A464" t="s">
        <v>74</v>
      </c>
      <c r="B464" s="12" t="str">
        <f>"transport, "&amp;B460</f>
        <v>transport, Moped, gasoline, &lt;4kW, EURO-5</v>
      </c>
    </row>
    <row r="465" spans="1:2" x14ac:dyDescent="0.3">
      <c r="A465" t="s">
        <v>75</v>
      </c>
      <c r="B465" t="s">
        <v>76</v>
      </c>
    </row>
    <row r="466" spans="1:2" x14ac:dyDescent="0.3">
      <c r="A466" t="s">
        <v>77</v>
      </c>
      <c r="B466" t="s">
        <v>172</v>
      </c>
    </row>
    <row r="467" spans="1:2" x14ac:dyDescent="0.3">
      <c r="A467" t="s">
        <v>79</v>
      </c>
      <c r="B467" t="s">
        <v>90</v>
      </c>
    </row>
    <row r="468" spans="1:2" x14ac:dyDescent="0.3">
      <c r="A468" t="s">
        <v>132</v>
      </c>
      <c r="B468">
        <f>INDEX('vehicles specifications'!$B$3:$CK$86,MATCH(B463,'vehicles specifications'!$A$3:$A$86,0),MATCH("Lifetime [km]",'vehicles specifications'!$B$2:$CK$2,0))</f>
        <v>33400</v>
      </c>
    </row>
    <row r="469" spans="1:2" x14ac:dyDescent="0.3">
      <c r="A469" t="s">
        <v>133</v>
      </c>
      <c r="B469">
        <f>INDEX('vehicles specifications'!$B$3:$CK$86,MATCH(B463,'vehicles specifications'!$A$3:$A$86,0),MATCH("Passengers [unit]",'vehicles specifications'!$B$2:$CK$2,0))</f>
        <v>1</v>
      </c>
    </row>
    <row r="470" spans="1:2" x14ac:dyDescent="0.3">
      <c r="A470" t="s">
        <v>134</v>
      </c>
      <c r="B470">
        <f>INDEX('vehicles specifications'!$B$3:$CK$86,MATCH(B463,'vehicles specifications'!$A$3:$A$86,0),MATCH("Servicing [unit]",'vehicles specifications'!$B$2:$CK$2,0))</f>
        <v>1</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2553</v>
      </c>
    </row>
    <row r="473" spans="1:2" x14ac:dyDescent="0.3">
      <c r="A473" t="s">
        <v>137</v>
      </c>
      <c r="B473" s="2">
        <f>INDEX('vehicles specifications'!$B$3:$CK$86,MATCH(B463,'vehicles specifications'!$A$3:$A$86,0),MATCH("Curb mass [kg]",'vehicles specifications'!$B$2:$CK$2,0))</f>
        <v>61.729124999999996</v>
      </c>
    </row>
    <row r="474" spans="1:2" x14ac:dyDescent="0.3">
      <c r="A474" t="s">
        <v>138</v>
      </c>
      <c r="B474">
        <f>INDEX('vehicles specifications'!$B$3:$CK$86,MATCH(B463,'vehicles specifications'!$A$3:$A$86,0),MATCH("Power [kW]",'vehicles specifications'!$B$2:$CK$2,0))</f>
        <v>2.5</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s="2">
        <f>INDEX('vehicles specifications'!$B$3:$CK$86,MATCH(B463,'vehicles specifications'!$A$3:$A$86,0),MATCH("Oxydation energy stored [kWh]",'vehicles specifications'!$B$2:$CK$2,0))</f>
        <v>61.833333333333329</v>
      </c>
    </row>
    <row r="478" spans="1:2" x14ac:dyDescent="0.3">
      <c r="A478" t="s">
        <v>145</v>
      </c>
      <c r="B478">
        <f>INDEX('vehicles specifications'!$B$3:$CK$86,MATCH(B463,'vehicles specifications'!$A$3:$A$86,0),MATCH("Fuel mass [kg]",'vehicles specifications'!$B$2:$CK$2,0))</f>
        <v>5.25</v>
      </c>
    </row>
    <row r="479" spans="1:2" x14ac:dyDescent="0.3">
      <c r="A479" t="s">
        <v>141</v>
      </c>
      <c r="B479" s="2">
        <f>INDEX('vehicles specifications'!$B$3:$CK$86,MATCH(B463,'vehicles specifications'!$A$3:$A$86,0),MATCH("Range [km]",'vehicles specifications'!$B$2:$CK$2,0))</f>
        <v>273.24633182489572</v>
      </c>
    </row>
    <row r="480" spans="1:2" x14ac:dyDescent="0.3">
      <c r="A480" t="s">
        <v>142</v>
      </c>
      <c r="B480" t="str">
        <f>INDEX('vehicles specifications'!$B$3:$CK$86,MATCH(B463,'vehicles specifications'!$A$3:$A$86,0),MATCH("Emission standard",'vehicles specifications'!$B$2:$CK$2,0))</f>
        <v>EURO-5</v>
      </c>
    </row>
    <row r="481" spans="1:8" x14ac:dyDescent="0.3">
      <c r="A481" t="s">
        <v>144</v>
      </c>
      <c r="B481" s="6">
        <f>INDEX('vehicles specifications'!$B$3:$CK$86,MATCH(B463,'vehicles specifications'!$A$3:$A$86,0),MATCH("Lightweighting rate [%]",'vehicles specifications'!$B$2:$CK$2,0))</f>
        <v>0.03</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"&amp;ROUND(B470,1)&amp;".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2.5 kW. Lifetime: 33400 km. Annual kilometers: 2553 km. Number of passengers: 1. Curb mass: 61.7 kg. Lightweighting of glider: 3%. Emission standard: EURO-5. Service visits throughout lifetime: 1. Range: 273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Moped, gasoline, &lt;4kW, EURO-5, 2030</v>
      </c>
      <c r="B485" s="12">
        <v>1</v>
      </c>
      <c r="C485" s="12" t="str">
        <f>B459</f>
        <v>CH</v>
      </c>
      <c r="D485" s="12" t="s">
        <v>172</v>
      </c>
      <c r="E485" s="12"/>
      <c r="F485" s="12" t="s">
        <v>85</v>
      </c>
      <c r="G485" s="12" t="s">
        <v>86</v>
      </c>
      <c r="H485" s="12" t="str">
        <f>B464</f>
        <v>transport, Moped, gasoline, &lt;4kW, EURO-5</v>
      </c>
    </row>
    <row r="486" spans="1:8" x14ac:dyDescent="0.3">
      <c r="A486" s="12" t="str">
        <f>RIGHT(A485,LEN(A485)-11)</f>
        <v>Moped, gasoline, &lt;4kW, EURO-5, 2030</v>
      </c>
      <c r="B486" s="12">
        <f>1/B468</f>
        <v>2.9940119760479042E-5</v>
      </c>
      <c r="C486" s="12" t="str">
        <f>B459</f>
        <v>CH</v>
      </c>
      <c r="D486" s="12" t="s">
        <v>77</v>
      </c>
      <c r="E486" s="12"/>
      <c r="F486" s="12" t="s">
        <v>91</v>
      </c>
      <c r="G486" s="12"/>
      <c r="H486" s="12" t="str">
        <f>RIGHT(H485,LEN(H485)-11)</f>
        <v>Moped, gasoline, &lt;4kW, EURO-5</v>
      </c>
    </row>
    <row r="487" spans="1:8" s="21" customFormat="1" x14ac:dyDescent="0.3">
      <c r="A487" s="12" t="str">
        <f>INDEX('ei names mapping'!$B$4:$R$33,MATCH(B460,'ei names mapping'!$A$4:$A$33,0),MATCH(G487,'ei names mapping'!$B$3:$R$3,0))</f>
        <v>road construction</v>
      </c>
      <c r="B487" s="16">
        <f>INDEX('vehicles specifications'!$B$3:$CK$86,MATCH(B463,'vehicles specifications'!$A$3:$A$86,0),MATCH(G487,'vehicles specifications'!$B$2:$CK$2,0))*INDEX('ei names mapping'!$B$137:$BK$220,MATCH(B463,'ei names mapping'!$A$137:$A$220,0),MATCH(G487,'ei names mapping'!$B$136:$BK$136,0))</f>
        <v>7.1812540125000006E-5</v>
      </c>
      <c r="C487" s="12" t="str">
        <f>INDEX('ei names mapping'!$B$38:$R$67,MATCH(B460,'ei names mapping'!$A$4:$A$33,0),MATCH(G487,'ei names mapping'!$B$3:$R$3,0))</f>
        <v>CH</v>
      </c>
      <c r="D487" s="12" t="str">
        <f>INDEX('ei names mapping'!$B$104:$BK$133,MATCH(B460,'ei names mapping'!$A$4:$A$33,0),MATCH(G487,'ei names mapping'!$B$3:$BK$3,0))</f>
        <v>meter-year</v>
      </c>
      <c r="E487" s="12"/>
      <c r="F487" s="12" t="s">
        <v>91</v>
      </c>
      <c r="G487" s="21" t="s">
        <v>108</v>
      </c>
      <c r="H487" s="12" t="str">
        <f>INDEX('ei names mapping'!$B$71:$BK$100,MATCH(B460,'ei names mapping'!$A$4:$A$33,0),MATCH(G487,'ei names mapping'!$B$3:$BK$3,0))</f>
        <v>road</v>
      </c>
    </row>
    <row r="488" spans="1:8" x14ac:dyDescent="0.3">
      <c r="A488" s="12" t="str">
        <f>INDEX('ei names mapping'!$B$4:$R$33,MATCH(B460,'ei names mapping'!$A$4:$A$33,0),MATCH(G488,'ei names mapping'!$B$3:$R$3,0))</f>
        <v>road maintenance</v>
      </c>
      <c r="B488" s="16">
        <f>INDEX('vehicles specifications'!$B$3:$CK$86,MATCH(B463,'vehicles specifications'!$A$3:$A$86,0),MATCH(G488,'vehicles specifications'!$B$2:$CK$2,0))*INDEX('ei names mapping'!$B$137:$BK$220,MATCH(B463,'ei names mapping'!$A$137:$A$220,0),MATCH(G488,'ei names mapping'!$B$136:$BK$136,0))</f>
        <v>1.2899999999999999E-3</v>
      </c>
      <c r="C488" s="12" t="str">
        <f>INDEX('ei names mapping'!$B$38:$R$67,MATCH(B460,'ei names mapping'!$A$4:$A$33,0),MATCH(G488,'ei names mapping'!$B$3:$R$3,0))</f>
        <v>CH</v>
      </c>
      <c r="D488" s="12" t="str">
        <f>INDEX('ei names mapping'!$B$104:$BK$133,MATCH(B460,'ei names mapping'!$A$4:$A$33,0),MATCH(G488,'ei names mapping'!$B$3:$BK$3,0))</f>
        <v>meter-year</v>
      </c>
      <c r="E488" s="12"/>
      <c r="F488" s="12" t="s">
        <v>91</v>
      </c>
      <c r="G488" t="s">
        <v>117</v>
      </c>
      <c r="H488" s="12" t="str">
        <f>INDEX('ei names mapping'!$B$71:$BK$100,MATCH(B460,'ei names mapping'!$A$4:$A$33,0),MATCH(G488,'ei names mapping'!$B$3:$BK$3,0))</f>
        <v>road maintenance</v>
      </c>
    </row>
    <row r="489" spans="1:8" x14ac:dyDescent="0.3">
      <c r="A489" s="12" t="str">
        <f>INDEX('ei names mapping'!$B$4:$R$33,MATCH(B460,'ei names mapping'!$A$4:$A$33,0),MATCH(G489,'ei names mapping'!$B$3:$R$3,0))</f>
        <v>maintenance, motor scooter</v>
      </c>
      <c r="B489" s="16">
        <f>INDEX('vehicles specifications'!$B$3:$CK$86,MATCH(B463,'vehicles specifications'!$A$3:$A$86,0),MATCH(G489,'vehicles specifications'!$B$2:$CK$2,0))*INDEX('ei names mapping'!$B$137:$BK$220,MATCH(B463,'ei names mapping'!$A$137:$A$220,0),MATCH(G489,'ei names mapping'!$B$136:$BK$136,0))</f>
        <v>2.9940119760479042E-5</v>
      </c>
      <c r="C489" s="12" t="str">
        <f>INDEX('ei names mapping'!$B$38:$BK$67,MATCH(B460,'ei names mapping'!$A$4:$A$33,0),MATCH(G489,'ei names mapping'!$B$3:$BK$3,0))</f>
        <v>CH</v>
      </c>
      <c r="D489" s="12" t="str">
        <f>INDEX('ei names mapping'!$B$104:$BK$133,MATCH(B460,'ei names mapping'!$A$4:$A$33,0),MATCH(G489,'ei names mapping'!$B$3:$BK$3,0))</f>
        <v>unit</v>
      </c>
      <c r="F489" s="12" t="s">
        <v>91</v>
      </c>
      <c r="G489" s="12" t="s">
        <v>123</v>
      </c>
      <c r="H489" s="12" t="str">
        <f>INDEX('ei names mapping'!$B$71:$BK$100,MATCH(B460,'ei names mapping'!$A$4:$A$33,0),MATCH(G489,'ei names mapping'!$B$3:$BK$3,0))</f>
        <v>maintenance, motor scooter</v>
      </c>
    </row>
    <row r="490" spans="1:8" x14ac:dyDescent="0.3">
      <c r="A490" s="12" t="str">
        <f>INDEX('ei names mapping'!$B$4:$R$33,MATCH(B460,'ei names mapping'!$A$4:$A$33,0),MATCH(G490,'ei names mapping'!$B$3:$R$3,0))</f>
        <v>petrol blending for two-stroke engines</v>
      </c>
      <c r="B490" s="16">
        <f>INDEX('vehicles specifications'!$B$3:$CK$86,MATCH(B463,'vehicles specifications'!$A$3:$A$86,0),MATCH(G490,'vehicles specifications'!$B$2:$CK$2,0))*INDEX('ei names mapping'!$B$137:$BK$220,MATCH(B463,'ei names mapping'!$A$137:$A$220,0),MATCH(G490,'ei names mapping'!$B$136:$BK$136,0))</f>
        <v>1.9213432674237526E-2</v>
      </c>
      <c r="C490" s="12" t="str">
        <f>INDEX('ei names mapping'!$B$38:$BK$67,MATCH(B460,'ei names mapping'!$A$4:$A$33,0),MATCH(G490,'ei names mapping'!$B$3:$BK$3,0))</f>
        <v>CH</v>
      </c>
      <c r="D490" s="12" t="str">
        <f>INDEX('ei names mapping'!$B$104:$BK$133,MATCH(B460,'ei names mapping'!$A$4:$A$33,0),MATCH(G490,'ei names mapping'!$B$3:$BK$3,0))</f>
        <v>kilogram</v>
      </c>
      <c r="F490" s="12" t="s">
        <v>91</v>
      </c>
      <c r="G490" s="12" t="s">
        <v>27</v>
      </c>
      <c r="H490" s="12" t="str">
        <f>INDEX('ei names mapping'!$B$71:$BK$100,MATCH(B460,'ei names mapping'!$A$4:$A$33,0),MATCH(G490,'ei names mapping'!$B$3:$BK$3,0))</f>
        <v>petrol, two-stroke blend</v>
      </c>
    </row>
    <row r="491" spans="1:8" x14ac:dyDescent="0.3">
      <c r="A491" s="12" t="str">
        <f>INDEX('ei names mapping'!$B$4:$BK$33,MATCH(B460,'ei names mapping'!$A$4:$A$33,0),MATCH(G491,'ei names mapping'!$B$3:$BK$3,0))</f>
        <v>Carbon dioxide, fossil</v>
      </c>
      <c r="B491" s="16">
        <f>INDEX('vehicles specifications'!$B$3:$CK$86,MATCH(B463,'vehicles specifications'!$A$3:$A$86,0),MATCH(G491,'vehicles specifications'!$B$2:$CK$2,0))*INDEX('ei names mapping'!$B$137:$BK$220,MATCH(B463,'ei names mapping'!$A$137:$A$220,0),MATCH(G491,'ei names mapping'!$B$136:$BK$136,0))</f>
        <v>6.1098715904075326E-2</v>
      </c>
      <c r="C491" s="12"/>
      <c r="D491" s="12" t="str">
        <f>INDEX('ei names mapping'!$B$104:$BK$133,MATCH(B460,'ei names mapping'!$A$4:$A$33,0),MATCH(G491,'ei names mapping'!$B$3:$BK$3,0))</f>
        <v>kilogram</v>
      </c>
      <c r="E491" s="12" t="str">
        <f>INDEX('ei names mapping'!$B$225:$BK$255,MATCH(B460,'ei names mapping'!$A$4:$A$33,0),MATCH(G491,'ei names mapping'!$B$3:$BK$3,0))</f>
        <v>air</v>
      </c>
      <c r="F491" s="12" t="s">
        <v>173</v>
      </c>
      <c r="G491" t="s">
        <v>67</v>
      </c>
      <c r="H491" s="12"/>
    </row>
    <row r="492" spans="1:8" x14ac:dyDescent="0.3">
      <c r="A492" s="12" t="str">
        <f>INDEX('ei names mapping'!$B$4:$BK$33,MATCH(B460,'ei names mapping'!$A$4:$A$33,0),MATCH(G492,'ei names mapping'!$B$3:$BK$3,0))</f>
        <v>Sulfur dioxide</v>
      </c>
      <c r="B492" s="15">
        <f>INDEX('vehicles specifications'!$B$3:$CK$86,MATCH(B463,'vehicles specifications'!$A$3:$A$86,0),MATCH(G492,'vehicles specifications'!$B$2:$CK$2,0))*INDEX('ei names mapping'!$B$137:$BK$220,MATCH(B463,'ei names mapping'!$A$137:$A$220,0),MATCH(G492,'ei names mapping'!$B$136:$BK$136,0))</f>
        <v>3.0741492278780034E-7</v>
      </c>
      <c r="C492" s="12"/>
      <c r="D492" s="12" t="str">
        <f>INDEX('ei names mapping'!$B$104:$BK$133,MATCH(B460,'ei names mapping'!$A$4:$A$33,0),MATCH(G492,'ei names mapping'!$B$3:$BK$3,0))</f>
        <v>kilogram</v>
      </c>
      <c r="E492" s="12" t="str">
        <f>INDEX('ei names mapping'!$B$225:$BK$255,MATCH(B460,'ei names mapping'!$A$4:$A$33,0),MATCH(G492,'ei names mapping'!$B$3:$BK$3,0))</f>
        <v>air</v>
      </c>
      <c r="F492" s="12" t="s">
        <v>173</v>
      </c>
      <c r="G492" t="s">
        <v>68</v>
      </c>
      <c r="H492" s="12"/>
    </row>
    <row r="493" spans="1:8" x14ac:dyDescent="0.3">
      <c r="A493" s="12" t="str">
        <f>INDEX('ei names mapping'!$B$4:$BK$33,MATCH(B460,'ei names mapping'!$A$4:$A$33,0),MATCH(G493,'ei names mapping'!$B$3:$BK$3,0))</f>
        <v>Benzene</v>
      </c>
      <c r="B493" s="15">
        <f>INDEX('vehicles specifications'!$B$3:$CK$86,MATCH(B463,'vehicles specifications'!$A$3:$A$86,0),MATCH(G493,'vehicles specifications'!$B$2:$CK$2,0))*INDEX('ei names mapping'!$B$137:$BK$220,MATCH(B463,'ei names mapping'!$A$137:$A$220,0),MATCH(G493,'ei names mapping'!$B$136:$BK$136,0))</f>
        <v>4.9532464484317754E-5</v>
      </c>
      <c r="C493" s="12"/>
      <c r="D493" s="12" t="str">
        <f>INDEX('ei names mapping'!$B$104:$BK$133,MATCH(B460,'ei names mapping'!$A$4:$A$33,0),MATCH(G493,'ei names mapping'!$B$3:$BK$3,0))</f>
        <v>kilogram</v>
      </c>
      <c r="E493" s="12" t="str">
        <f>INDEX('ei names mapping'!$B$225:$BK$255,MATCH(B460,'ei names mapping'!$A$4:$A$33,0),MATCH(G493,'ei names mapping'!$B$3:$BK$3,0))</f>
        <v>air</v>
      </c>
      <c r="F493" s="12" t="s">
        <v>173</v>
      </c>
      <c r="G493" t="s">
        <v>56</v>
      </c>
      <c r="H493" s="12"/>
    </row>
    <row r="494" spans="1:8" x14ac:dyDescent="0.3">
      <c r="A494" s="12" t="str">
        <f>INDEX('ei names mapping'!$B$4:$BK$33,MATCH(B460,'ei names mapping'!$A$4:$A$33,0),MATCH(G494,'ei names mapping'!$B$3:$BK$3,0))</f>
        <v>Methane, fossil</v>
      </c>
      <c r="B494" s="15">
        <f>INDEX('vehicles specifications'!$B$3:$CK$86,MATCH(B463,'vehicles specifications'!$A$3:$A$86,0),MATCH(G494,'vehicles specifications'!$B$2:$CK$2,0))*INDEX('ei names mapping'!$B$137:$BK$220,MATCH(B463,'ei names mapping'!$A$137:$A$220,0),MATCH(G494,'ei names mapping'!$B$136:$BK$136,0))</f>
        <v>2.2459488481717305E-5</v>
      </c>
      <c r="C494" s="12"/>
      <c r="D494" s="12" t="str">
        <f>INDEX('ei names mapping'!$B$104:$BK$133,MATCH(B460,'ei names mapping'!$A$4:$A$33,0),MATCH(G494,'ei names mapping'!$B$3:$BK$3,0))</f>
        <v>kilogram</v>
      </c>
      <c r="E494" s="12" t="str">
        <f>INDEX('ei names mapping'!$B$225:$BK$255,MATCH(B460,'ei names mapping'!$A$4:$A$33,0),MATCH(G494,'ei names mapping'!$B$3:$BK$3,0))</f>
        <v>air</v>
      </c>
      <c r="F494" s="12" t="s">
        <v>173</v>
      </c>
      <c r="G494" t="s">
        <v>57</v>
      </c>
      <c r="H494" s="12"/>
    </row>
    <row r="495" spans="1:8" x14ac:dyDescent="0.3">
      <c r="A495" s="12" t="str">
        <f>INDEX('ei names mapping'!$B$4:$BK$33,MATCH(B460,'ei names mapping'!$A$4:$A$33,0),MATCH(G495,'ei names mapping'!$B$3:$BK$3,0))</f>
        <v>Carbon monoxide, fossil</v>
      </c>
      <c r="B495" s="15">
        <f>INDEX('vehicles specifications'!$B$3:$CK$86,MATCH(B463,'vehicles specifications'!$A$3:$A$86,0),MATCH(G495,'vehicles specifications'!$B$2:$CK$2,0))*INDEX('ei names mapping'!$B$137:$BK$220,MATCH(B463,'ei names mapping'!$A$137:$A$220,0),MATCH(G495,'ei names mapping'!$B$136:$BK$136,0))</f>
        <v>2.374862646864262E-3</v>
      </c>
      <c r="C495" s="12"/>
      <c r="D495" s="12" t="str">
        <f>INDEX('ei names mapping'!$B$104:$BK$133,MATCH(B460,'ei names mapping'!$A$4:$A$33,0),MATCH(G495,'ei names mapping'!$B$3:$BK$3,0))</f>
        <v>kilogram</v>
      </c>
      <c r="E495" s="12" t="str">
        <f>INDEX('ei names mapping'!$B$225:$BK$255,MATCH(B460,'ei names mapping'!$A$4:$A$33,0),MATCH(G495,'ei names mapping'!$B$3:$BK$3,0))</f>
        <v>air</v>
      </c>
      <c r="F495" s="12" t="s">
        <v>173</v>
      </c>
      <c r="G495" t="s">
        <v>58</v>
      </c>
      <c r="H495" s="12"/>
    </row>
    <row r="496" spans="1:8" x14ac:dyDescent="0.3">
      <c r="A496" s="12" t="str">
        <f>INDEX('ei names mapping'!$B$4:$BK$33,MATCH(B460,'ei names mapping'!$A$4:$A$33,0),MATCH(G496,'ei names mapping'!$B$3:$BK$3,0))</f>
        <v>Dinitrogen monoxide</v>
      </c>
      <c r="B496" s="15">
        <f>INDEX('vehicles specifications'!$B$3:$CK$86,MATCH(B463,'vehicles specifications'!$A$3:$A$86,0),MATCH(G496,'vehicles specifications'!$B$2:$CK$2,0))*INDEX('ei names mapping'!$B$137:$BK$220,MATCH(B463,'ei names mapping'!$A$137:$A$220,0),MATCH(G496,'ei names mapping'!$B$136:$BK$136,0))</f>
        <v>1.1394971325072205E-6</v>
      </c>
      <c r="C496" s="12"/>
      <c r="D496" s="12" t="str">
        <f>INDEX('ei names mapping'!$B$104:$BK$133,MATCH(B460,'ei names mapping'!$A$4:$A$33,0),MATCH(G496,'ei names mapping'!$B$3:$BK$3,0))</f>
        <v>kilogram</v>
      </c>
      <c r="E496" s="12" t="str">
        <f>INDEX('ei names mapping'!$B$225:$BK$255,MATCH(B460,'ei names mapping'!$A$4:$A$33,0),MATCH(G496,'ei names mapping'!$B$3:$BK$3,0))</f>
        <v>air</v>
      </c>
      <c r="F496" s="12" t="s">
        <v>173</v>
      </c>
      <c r="G496" t="s">
        <v>59</v>
      </c>
      <c r="H496" s="12"/>
    </row>
    <row r="497" spans="1:8" x14ac:dyDescent="0.3">
      <c r="A497" s="12" t="str">
        <f>INDEX('ei names mapping'!$B$4:$BK$33,MATCH(B460,'ei names mapping'!$A$4:$A$33,0),MATCH(G497,'ei names mapping'!$B$3:$BK$3,0))</f>
        <v>Ammonia</v>
      </c>
      <c r="B497" s="15">
        <f>INDEX('vehicles specifications'!$B$3:$CK$86,MATCH(B463,'vehicles specifications'!$A$3:$A$86,0),MATCH(G497,'vehicles specifications'!$B$2:$CK$2,0))*INDEX('ei names mapping'!$B$137:$BK$220,MATCH(B463,'ei names mapping'!$A$137:$A$220,0),MATCH(G497,'ei names mapping'!$B$136:$BK$136,0))</f>
        <v>1.1394971325072205E-6</v>
      </c>
      <c r="C497" s="12"/>
      <c r="D497" s="12" t="str">
        <f>INDEX('ei names mapping'!$B$104:$BK$133,MATCH(B460,'ei names mapping'!$A$4:$A$33,0),MATCH(G497,'ei names mapping'!$B$3:$BK$3,0))</f>
        <v>kilogram</v>
      </c>
      <c r="E497" s="12" t="str">
        <f>INDEX('ei names mapping'!$B$225:$BK$255,MATCH(B460,'ei names mapping'!$A$4:$A$33,0),MATCH(G497,'ei names mapping'!$B$3:$BK$3,0))</f>
        <v>air</v>
      </c>
      <c r="F497" s="12" t="s">
        <v>173</v>
      </c>
      <c r="G497" t="s">
        <v>60</v>
      </c>
      <c r="H497" s="12"/>
    </row>
    <row r="498" spans="1:8" x14ac:dyDescent="0.3">
      <c r="A498" s="12" t="str">
        <f>INDEX('ei names mapping'!$B$4:$BK$33,MATCH(B460,'ei names mapping'!$A$4:$A$33,0),MATCH(G498,'ei names mapping'!$B$3:$BK$3,0))</f>
        <v>Nitrogen oxides</v>
      </c>
      <c r="B498" s="15">
        <f>INDEX('vehicles specifications'!$B$3:$CK$86,MATCH(B463,'vehicles specifications'!$A$3:$A$86,0),MATCH(G498,'vehicles specifications'!$B$2:$CK$2,0))*INDEX('ei names mapping'!$B$137:$BK$220,MATCH(B463,'ei names mapping'!$A$137:$A$220,0),MATCH(G498,'ei names mapping'!$B$136:$BK$136,0))</f>
        <v>8.5451697710653811E-5</v>
      </c>
      <c r="C498" s="12"/>
      <c r="D498" s="12" t="str">
        <f>INDEX('ei names mapping'!$B$104:$BK$133,MATCH(B460,'ei names mapping'!$A$4:$A$33,0),MATCH(G498,'ei names mapping'!$B$3:$BK$3,0))</f>
        <v>kilogram</v>
      </c>
      <c r="E498" s="12" t="str">
        <f>INDEX('ei names mapping'!$B$225:$BK$255,MATCH(B460,'ei names mapping'!$A$4:$A$33,0),MATCH(G498,'ei names mapping'!$B$3:$BK$3,0))</f>
        <v>air</v>
      </c>
      <c r="F498" s="12" t="s">
        <v>173</v>
      </c>
      <c r="G498" s="12" t="s">
        <v>61</v>
      </c>
      <c r="H498" s="12"/>
    </row>
    <row r="499" spans="1:8" x14ac:dyDescent="0.3">
      <c r="A499" s="12" t="str">
        <f>INDEX('ei names mapping'!$B$4:$BK$33,MATCH(B460,'ei names mapping'!$A$4:$A$33,0),MATCH(G499,'ei names mapping'!$B$3:$BK$3,0))</f>
        <v>Particulates, &lt; 2.5 um</v>
      </c>
      <c r="B499" s="15">
        <f>INDEX('vehicles specifications'!$B$3:$CK$86,MATCH(B$463,'vehicles specifications'!$A$3:$A$86,0),MATCH(G499,'vehicles specifications'!$B$2:$CK$2,0))*INDEX('ei names mapping'!$B$137:$BK$220,MATCH(B$463,'ei names mapping'!$A$137:$A$220,0),MATCH(G499,'ei names mapping'!$B$136:$BK$136,0))</f>
        <v>6.5441320319889656E-6</v>
      </c>
      <c r="C499" s="12"/>
      <c r="D499" s="12" t="str">
        <f>INDEX('ei names mapping'!$B$104:$BK$133,MATCH(B460,'ei names mapping'!$A$4:$A$33,0),MATCH(G499,'ei names mapping'!$B$3:$BK$3,0))</f>
        <v>kilogram</v>
      </c>
      <c r="E499" s="12" t="str">
        <f>INDEX('ei names mapping'!$B$225:$BK$255,MATCH(B460,'ei names mapping'!$A$4:$A$33,0),MATCH(G499,'ei names mapping'!$B$3:$BK$3,0))</f>
        <v>air</v>
      </c>
      <c r="F499" s="12" t="s">
        <v>173</v>
      </c>
      <c r="G499" s="12" t="s">
        <v>63</v>
      </c>
      <c r="H499" s="12"/>
    </row>
    <row r="500" spans="1:8" s="21" customFormat="1" x14ac:dyDescent="0.3">
      <c r="A500" s="12" t="str">
        <f>INDEX('ei names mapping'!$B$4:$BK$33,MATCH(B$229,'ei names mapping'!$A$4:$A$33,0),MATCH(G500,'ei names mapping'!$B$3:$BK$3,0))</f>
        <v>NMVOC, non-methane volatile organic compounds, unspecified origin</v>
      </c>
      <c r="B500" s="15">
        <f>INDEX('vehicles specifications'!$B$3:$CK$86,MATCH(B$463,'vehicles specifications'!$A$3:$A$86,0),MATCH(G500,'vehicles specifications'!$B$2:$CK$2,0))*INDEX('ei names mapping'!$B$137:$BK$220,MATCH(B$463,'ei names mapping'!$A$137:$A$220,0),MATCH(G500,'ei names mapping'!$B$136:$BK$136,0))</f>
        <v>3.9943826974519353E-4</v>
      </c>
      <c r="C500" s="12"/>
      <c r="D500" s="12" t="str">
        <f>INDEX('ei names mapping'!$B$104:$BK$133,MATCH(B$229,'ei names mapping'!$A$4:$A$33,0),MATCH(G500,'ei names mapping'!$B$3:$BK$3,0))</f>
        <v>kilogram</v>
      </c>
      <c r="E500" s="12" t="str">
        <f>INDEX('ei names mapping'!$B$225:$BK$255,MATCH(B$229,'ei names mapping'!$A$4:$A$33,0),MATCH(G500,'ei names mapping'!$B$3:$BK$3,0))</f>
        <v>air</v>
      </c>
      <c r="F500" s="12" t="s">
        <v>173</v>
      </c>
      <c r="G500" s="12" t="s">
        <v>659</v>
      </c>
      <c r="H500" s="12"/>
    </row>
    <row r="501" spans="1:8" s="21" customFormat="1" x14ac:dyDescent="0.3">
      <c r="A501" s="12" t="str">
        <f>INDEX('ei names mapping'!$B$4:$BK$33,MATCH(B$229,'ei names mapping'!$A$4:$A$33,0),MATCH(G501,'ei names mapping'!$B$3:$BK$3,0))</f>
        <v>Ethane</v>
      </c>
      <c r="B501" s="15">
        <f>INDEX('vehicles specifications'!$B$3:$CK$86,MATCH(B$463,'vehicles specifications'!$A$3:$A$86,0),MATCH(G501,'vehicles specifications'!$B$2:$CK$2,0))*INDEX('ei names mapping'!$B$137:$BK$220,MATCH(B$463,'ei names mapping'!$A$137:$A$220,0),MATCH(G501,'ei names mapping'!$B$136:$BK$136,0))</f>
        <v>2.8165519020494411E-5</v>
      </c>
      <c r="C501" s="12"/>
      <c r="D501" s="12" t="str">
        <f>INDEX('ei names mapping'!$B$104:$BK$133,MATCH(B$229,'ei names mapping'!$A$4:$A$33,0),MATCH(G501,'ei names mapping'!$B$3:$BK$3,0))</f>
        <v>kilogram</v>
      </c>
      <c r="E501" s="12" t="str">
        <f>INDEX('ei names mapping'!$B$225:$BK$255,MATCH(B$229,'ei names mapping'!$A$4:$A$33,0),MATCH(G501,'ei names mapping'!$B$3:$BK$3,0))</f>
        <v>air</v>
      </c>
      <c r="F501" s="12" t="s">
        <v>173</v>
      </c>
      <c r="G501" s="12" t="s">
        <v>603</v>
      </c>
      <c r="H501" s="12"/>
    </row>
    <row r="502" spans="1:8" s="21" customFormat="1" x14ac:dyDescent="0.3">
      <c r="A502" s="12" t="str">
        <f>INDEX('ei names mapping'!$B$4:$BK$33,MATCH(B$229,'ei names mapping'!$A$4:$A$33,0),MATCH(G502,'ei names mapping'!$B$3:$BK$3,0))</f>
        <v>Propane</v>
      </c>
      <c r="B502" s="15">
        <f>INDEX('vehicles specifications'!$B$3:$CK$86,MATCH(B$463,'vehicles specifications'!$A$3:$A$86,0),MATCH(G502,'vehicles specifications'!$B$2:$CK$2,0))*INDEX('ei names mapping'!$B$137:$BK$220,MATCH(B$463,'ei names mapping'!$A$137:$A$220,0),MATCH(G502,'ei names mapping'!$B$136:$BK$136,0))</f>
        <v>5.7390555997872623E-6</v>
      </c>
      <c r="C502" s="12"/>
      <c r="D502" s="12" t="str">
        <f>INDEX('ei names mapping'!$B$104:$BK$133,MATCH(B$229,'ei names mapping'!$A$4:$A$33,0),MATCH(G502,'ei names mapping'!$B$3:$BK$3,0))</f>
        <v>kilogram</v>
      </c>
      <c r="E502" s="12" t="str">
        <f>INDEX('ei names mapping'!$B$225:$BK$255,MATCH(B$229,'ei names mapping'!$A$4:$A$33,0),MATCH(G502,'ei names mapping'!$B$3:$BK$3,0))</f>
        <v>air</v>
      </c>
      <c r="F502" s="12" t="s">
        <v>173</v>
      </c>
      <c r="G502" s="12" t="s">
        <v>604</v>
      </c>
      <c r="H502" s="12"/>
    </row>
    <row r="503" spans="1:8" s="21" customFormat="1" x14ac:dyDescent="0.3">
      <c r="A503" s="12" t="str">
        <f>INDEX('ei names mapping'!$B$4:$BK$33,MATCH(B$229,'ei names mapping'!$A$4:$A$33,0),MATCH(G503,'ei names mapping'!$B$3:$BK$3,0))</f>
        <v>Butane</v>
      </c>
      <c r="B503" s="15">
        <f>INDEX('vehicles specifications'!$B$3:$CK$86,MATCH(B$463,'vehicles specifications'!$A$3:$A$86,0),MATCH(G503,'vehicles specifications'!$B$2:$CK$2,0))*INDEX('ei names mapping'!$B$137:$BK$220,MATCH(B$463,'ei names mapping'!$A$137:$A$220,0),MATCH(G503,'ei names mapping'!$B$136:$BK$136,0))</f>
        <v>4.6265617450592708E-5</v>
      </c>
      <c r="C503" s="12"/>
      <c r="D503" s="12" t="str">
        <f>INDEX('ei names mapping'!$B$104:$BK$133,MATCH(B$229,'ei names mapping'!$A$4:$A$33,0),MATCH(G503,'ei names mapping'!$B$3:$BK$3,0))</f>
        <v>kilogram</v>
      </c>
      <c r="E503" s="12" t="str">
        <f>INDEX('ei names mapping'!$B$225:$BK$255,MATCH(B$229,'ei names mapping'!$A$4:$A$33,0),MATCH(G503,'ei names mapping'!$B$3:$BK$3,0))</f>
        <v>air</v>
      </c>
      <c r="F503" s="12" t="s">
        <v>173</v>
      </c>
      <c r="G503" s="12" t="s">
        <v>605</v>
      </c>
      <c r="H503" s="12"/>
    </row>
    <row r="504" spans="1:8" s="21" customFormat="1" x14ac:dyDescent="0.3">
      <c r="A504" s="12" t="str">
        <f>INDEX('ei names mapping'!$B$4:$BK$33,MATCH(B$229,'ei names mapping'!$A$4:$A$33,0),MATCH(G504,'ei names mapping'!$B$3:$BK$3,0))</f>
        <v>Pentane</v>
      </c>
      <c r="B504" s="15">
        <f>INDEX('vehicles specifications'!$B$3:$CK$86,MATCH(B$463,'vehicles specifications'!$A$3:$A$86,0),MATCH(G504,'vehicles specifications'!$B$2:$CK$2,0))*INDEX('ei names mapping'!$B$137:$BK$220,MATCH(B$463,'ei names mapping'!$A$137:$A$220,0),MATCH(G504,'ei names mapping'!$B$136:$BK$136,0))</f>
        <v>1.898303006083479E-5</v>
      </c>
      <c r="C504" s="12"/>
      <c r="D504" s="12" t="str">
        <f>INDEX('ei names mapping'!$B$104:$BK$133,MATCH(B$229,'ei names mapping'!$A$4:$A$33,0),MATCH(G504,'ei names mapping'!$B$3:$BK$3,0))</f>
        <v>kilogram</v>
      </c>
      <c r="E504" s="12" t="str">
        <f>INDEX('ei names mapping'!$B$225:$BK$255,MATCH(B$229,'ei names mapping'!$A$4:$A$33,0),MATCH(G504,'ei names mapping'!$B$3:$BK$3,0))</f>
        <v>air</v>
      </c>
      <c r="F504" s="12" t="s">
        <v>173</v>
      </c>
      <c r="G504" s="12" t="s">
        <v>606</v>
      </c>
      <c r="H504" s="12"/>
    </row>
    <row r="505" spans="1:8" s="21" customFormat="1" x14ac:dyDescent="0.3">
      <c r="A505" s="12" t="str">
        <f>INDEX('ei names mapping'!$B$4:$BK$33,MATCH(B$229,'ei names mapping'!$A$4:$A$33,0),MATCH(G505,'ei names mapping'!$B$3:$BK$3,0))</f>
        <v>Hexane</v>
      </c>
      <c r="B505" s="15">
        <f>INDEX('vehicles specifications'!$B$3:$CK$86,MATCH(B$463,'vehicles specifications'!$A$3:$A$86,0),MATCH(G505,'vehicles specifications'!$B$2:$CK$2,0))*INDEX('ei names mapping'!$B$137:$BK$220,MATCH(B$463,'ei names mapping'!$A$137:$A$220,0),MATCH(G505,'ei names mapping'!$B$136:$BK$136,0))</f>
        <v>1.4215199254857682E-5</v>
      </c>
      <c r="C505" s="12"/>
      <c r="D505" s="12" t="str">
        <f>INDEX('ei names mapping'!$B$104:$BK$133,MATCH(B$229,'ei names mapping'!$A$4:$A$33,0),MATCH(G505,'ei names mapping'!$B$3:$BK$3,0))</f>
        <v>kilogram</v>
      </c>
      <c r="E505" s="12" t="str">
        <f>INDEX('ei names mapping'!$B$225:$BK$255,MATCH(B$229,'ei names mapping'!$A$4:$A$33,0),MATCH(G505,'ei names mapping'!$B$3:$BK$3,0))</f>
        <v>air</v>
      </c>
      <c r="F505" s="12" t="s">
        <v>173</v>
      </c>
      <c r="G505" s="12" t="s">
        <v>607</v>
      </c>
      <c r="H505" s="12"/>
    </row>
    <row r="506" spans="1:8" s="21" customFormat="1" x14ac:dyDescent="0.3">
      <c r="A506" s="12" t="str">
        <f>INDEX('ei names mapping'!$B$4:$BK$33,MATCH(B$229,'ei names mapping'!$A$4:$A$33,0),MATCH(G506,'ei names mapping'!$B$3:$BK$3,0))</f>
        <v>Cyclohexane</v>
      </c>
      <c r="B506" s="15">
        <f>INDEX('vehicles specifications'!$B$3:$CK$86,MATCH(B$463,'vehicles specifications'!$A$3:$A$86,0),MATCH(G506,'vehicles specifications'!$B$2:$CK$2,0))*INDEX('ei names mapping'!$B$137:$BK$220,MATCH(B$463,'ei names mapping'!$A$137:$A$220,0),MATCH(G506,'ei names mapping'!$B$136:$BK$136,0))</f>
        <v>1.0065420590396123E-5</v>
      </c>
      <c r="C506" s="12"/>
      <c r="D506" s="12" t="str">
        <f>INDEX('ei names mapping'!$B$104:$BK$133,MATCH(B$229,'ei names mapping'!$A$4:$A$33,0),MATCH(G506,'ei names mapping'!$B$3:$BK$3,0))</f>
        <v>kilogram</v>
      </c>
      <c r="E506" s="12" t="str">
        <f>INDEX('ei names mapping'!$B$225:$BK$255,MATCH(B$229,'ei names mapping'!$A$4:$A$33,0),MATCH(G506,'ei names mapping'!$B$3:$BK$3,0))</f>
        <v>air</v>
      </c>
      <c r="F506" s="12" t="s">
        <v>173</v>
      </c>
      <c r="G506" s="12" t="s">
        <v>608</v>
      </c>
      <c r="H506" s="12"/>
    </row>
    <row r="507" spans="1:8" s="21" customFormat="1" x14ac:dyDescent="0.3">
      <c r="A507" s="12" t="str">
        <f>INDEX('ei names mapping'!$B$4:$BK$33,MATCH(B$229,'ei names mapping'!$A$4:$A$33,0),MATCH(G507,'ei names mapping'!$B$3:$BK$3,0))</f>
        <v>Heptane</v>
      </c>
      <c r="B507" s="15">
        <f>INDEX('vehicles specifications'!$B$3:$CK$86,MATCH(B$463,'vehicles specifications'!$A$3:$A$86,0),MATCH(G507,'vehicles specifications'!$B$2:$CK$2,0))*INDEX('ei names mapping'!$B$137:$BK$220,MATCH(B$463,'ei names mapping'!$A$137:$A$220,0),MATCH(G507,'ei names mapping'!$B$136:$BK$136,0))</f>
        <v>6.5336940674501146E-6</v>
      </c>
      <c r="C507" s="12"/>
      <c r="D507" s="12" t="str">
        <f>INDEX('ei names mapping'!$B$104:$BK$133,MATCH(B$229,'ei names mapping'!$A$4:$A$33,0),MATCH(G507,'ei names mapping'!$B$3:$BK$3,0))</f>
        <v>kilogram</v>
      </c>
      <c r="E507" s="12" t="str">
        <f>INDEX('ei names mapping'!$B$225:$BK$255,MATCH(B$229,'ei names mapping'!$A$4:$A$33,0),MATCH(G507,'ei names mapping'!$B$3:$BK$3,0))</f>
        <v>air</v>
      </c>
      <c r="F507" s="12" t="s">
        <v>173</v>
      </c>
      <c r="G507" s="12" t="s">
        <v>609</v>
      </c>
      <c r="H507" s="12"/>
    </row>
    <row r="508" spans="1:8" s="21" customFormat="1" x14ac:dyDescent="0.3">
      <c r="A508" s="12" t="str">
        <f>INDEX('ei names mapping'!$B$4:$BK$33,MATCH(B$229,'ei names mapping'!$A$4:$A$33,0),MATCH(G508,'ei names mapping'!$B$3:$BK$3,0))</f>
        <v>Ethene</v>
      </c>
      <c r="B508" s="15">
        <f>INDEX('vehicles specifications'!$B$3:$CK$86,MATCH(B$463,'vehicles specifications'!$A$3:$A$86,0),MATCH(G508,'vehicles specifications'!$B$2:$CK$2,0))*INDEX('ei names mapping'!$B$137:$BK$220,MATCH(B$463,'ei names mapping'!$A$137:$A$220,0),MATCH(G508,'ei names mapping'!$B$136:$BK$136,0))</f>
        <v>6.4454009043764642E-5</v>
      </c>
      <c r="C508" s="12"/>
      <c r="D508" s="12" t="str">
        <f>INDEX('ei names mapping'!$B$104:$BK$133,MATCH(B$229,'ei names mapping'!$A$4:$A$33,0),MATCH(G508,'ei names mapping'!$B$3:$BK$3,0))</f>
        <v>kilogram</v>
      </c>
      <c r="E508" s="12" t="str">
        <f>INDEX('ei names mapping'!$B$225:$BK$255,MATCH(B$229,'ei names mapping'!$A$4:$A$33,0),MATCH(G508,'ei names mapping'!$B$3:$BK$3,0))</f>
        <v>air</v>
      </c>
      <c r="F508" s="12" t="s">
        <v>173</v>
      </c>
      <c r="G508" s="12" t="s">
        <v>610</v>
      </c>
      <c r="H508" s="12"/>
    </row>
    <row r="509" spans="1:8" s="21" customFormat="1" x14ac:dyDescent="0.3">
      <c r="A509" s="12" t="str">
        <f>INDEX('ei names mapping'!$B$4:$BK$33,MATCH(B$229,'ei names mapping'!$A$4:$A$33,0),MATCH(G509,'ei names mapping'!$B$3:$BK$3,0))</f>
        <v>Propene</v>
      </c>
      <c r="B509" s="15">
        <f>INDEX('vehicles specifications'!$B$3:$CK$86,MATCH(B$463,'vehicles specifications'!$A$3:$A$86,0),MATCH(G509,'vehicles specifications'!$B$2:$CK$2,0))*INDEX('ei names mapping'!$B$137:$BK$220,MATCH(B$463,'ei names mapping'!$A$137:$A$220,0),MATCH(G509,'ei names mapping'!$B$136:$BK$136,0))</f>
        <v>3.3727988294134373E-5</v>
      </c>
      <c r="C509" s="12"/>
      <c r="D509" s="12" t="str">
        <f>INDEX('ei names mapping'!$B$104:$BK$133,MATCH(B$229,'ei names mapping'!$A$4:$A$33,0),MATCH(G509,'ei names mapping'!$B$3:$BK$3,0))</f>
        <v>kilogram</v>
      </c>
      <c r="E509" s="12" t="str">
        <f>INDEX('ei names mapping'!$B$225:$BK$255,MATCH(B$229,'ei names mapping'!$A$4:$A$33,0),MATCH(G509,'ei names mapping'!$B$3:$BK$3,0))</f>
        <v>air</v>
      </c>
      <c r="F509" s="12" t="s">
        <v>173</v>
      </c>
      <c r="G509" s="12" t="s">
        <v>611</v>
      </c>
      <c r="H509" s="12"/>
    </row>
    <row r="510" spans="1:8" s="21" customFormat="1" x14ac:dyDescent="0.3">
      <c r="A510" s="12" t="str">
        <f>INDEX('ei names mapping'!$B$4:$BK$33,MATCH(B$229,'ei names mapping'!$A$4:$A$33,0),MATCH(G510,'ei names mapping'!$B$3:$BK$3,0))</f>
        <v>1-Pentene</v>
      </c>
      <c r="B510" s="15">
        <f>INDEX('vehicles specifications'!$B$3:$CK$86,MATCH(B$463,'vehicles specifications'!$A$3:$A$86,0),MATCH(G510,'vehicles specifications'!$B$2:$CK$2,0))*INDEX('ei names mapping'!$B$137:$BK$220,MATCH(B$463,'ei names mapping'!$A$137:$A$220,0),MATCH(G510,'ei names mapping'!$B$136:$BK$136,0))</f>
        <v>9.7122479381015224E-7</v>
      </c>
      <c r="C510" s="12"/>
      <c r="D510" s="12" t="str">
        <f>INDEX('ei names mapping'!$B$104:$BK$133,MATCH(B$229,'ei names mapping'!$A$4:$A$33,0),MATCH(G510,'ei names mapping'!$B$3:$BK$3,0))</f>
        <v>kilogram</v>
      </c>
      <c r="E510" s="12" t="str">
        <f>INDEX('ei names mapping'!$B$225:$BK$255,MATCH(B$229,'ei names mapping'!$A$4:$A$33,0),MATCH(G510,'ei names mapping'!$B$3:$BK$3,0))</f>
        <v>air</v>
      </c>
      <c r="F510" s="12" t="s">
        <v>173</v>
      </c>
      <c r="G510" s="12" t="s">
        <v>612</v>
      </c>
      <c r="H510" s="12"/>
    </row>
    <row r="511" spans="1:8" s="21" customFormat="1" x14ac:dyDescent="0.3">
      <c r="A511" s="12" t="str">
        <f>INDEX('ei names mapping'!$B$4:$BK$33,MATCH(B$229,'ei names mapping'!$A$4:$A$33,0),MATCH(G511,'ei names mapping'!$B$3:$BK$3,0))</f>
        <v>Toluene</v>
      </c>
      <c r="B511" s="15">
        <f>INDEX('vehicles specifications'!$B$3:$CK$86,MATCH(B$463,'vehicles specifications'!$A$3:$A$86,0),MATCH(G511,'vehicles specifications'!$B$2:$CK$2,0))*INDEX('ei names mapping'!$B$137:$BK$220,MATCH(B$463,'ei names mapping'!$A$137:$A$220,0),MATCH(G511,'ei names mapping'!$B$136:$BK$136,0))</f>
        <v>9.6945893054867918E-5</v>
      </c>
      <c r="C511" s="12"/>
      <c r="D511" s="12" t="str">
        <f>INDEX('ei names mapping'!$B$104:$BK$133,MATCH(B$229,'ei names mapping'!$A$4:$A$33,0),MATCH(G511,'ei names mapping'!$B$3:$BK$3,0))</f>
        <v>kilogram</v>
      </c>
      <c r="E511" s="12" t="str">
        <f>INDEX('ei names mapping'!$B$225:$BK$255,MATCH(B$229,'ei names mapping'!$A$4:$A$33,0),MATCH(G511,'ei names mapping'!$B$3:$BK$3,0))</f>
        <v>air</v>
      </c>
      <c r="F511" s="12" t="s">
        <v>173</v>
      </c>
      <c r="G511" s="12" t="s">
        <v>613</v>
      </c>
      <c r="H511" s="12"/>
    </row>
    <row r="512" spans="1:8" s="21" customFormat="1" x14ac:dyDescent="0.3">
      <c r="A512" s="12" t="str">
        <f>INDEX('ei names mapping'!$B$4:$BK$33,MATCH(B$229,'ei names mapping'!$A$4:$A$33,0),MATCH(G512,'ei names mapping'!$B$3:$BK$3,0))</f>
        <v>m-Xylene</v>
      </c>
      <c r="B512" s="15">
        <f>INDEX('vehicles specifications'!$B$3:$CK$86,MATCH(B$463,'vehicles specifications'!$A$3:$A$86,0),MATCH(G512,'vehicles specifications'!$B$2:$CK$2,0))*INDEX('ei names mapping'!$B$137:$BK$220,MATCH(B$463,'ei names mapping'!$A$137:$A$220,0),MATCH(G512,'ei names mapping'!$B$136:$BK$136,0))</f>
        <v>4.7943187548992062E-5</v>
      </c>
      <c r="C512" s="12"/>
      <c r="D512" s="12" t="str">
        <f>INDEX('ei names mapping'!$B$104:$BK$133,MATCH(B$229,'ei names mapping'!$A$4:$A$33,0),MATCH(G512,'ei names mapping'!$B$3:$BK$3,0))</f>
        <v>kilogram</v>
      </c>
      <c r="E512" s="12" t="str">
        <f>INDEX('ei names mapping'!$B$225:$BK$255,MATCH(B$229,'ei names mapping'!$A$4:$A$33,0),MATCH(G512,'ei names mapping'!$B$3:$BK$3,0))</f>
        <v>air</v>
      </c>
      <c r="F512" s="12" t="s">
        <v>173</v>
      </c>
      <c r="G512" s="12" t="s">
        <v>614</v>
      </c>
      <c r="H512" s="12"/>
    </row>
    <row r="513" spans="1:8" s="21" customFormat="1" x14ac:dyDescent="0.3">
      <c r="A513" s="12" t="str">
        <f>INDEX('ei names mapping'!$B$4:$BK$33,MATCH(B$229,'ei names mapping'!$A$4:$A$33,0),MATCH(G513,'ei names mapping'!$B$3:$BK$3,0))</f>
        <v>o-Xylene</v>
      </c>
      <c r="B513" s="15">
        <f>INDEX('vehicles specifications'!$B$3:$CK$86,MATCH(B$463,'vehicles specifications'!$A$3:$A$86,0),MATCH(G513,'vehicles specifications'!$B$2:$CK$2,0))*INDEX('ei names mapping'!$B$137:$BK$220,MATCH(B$463,'ei names mapping'!$A$137:$A$220,0),MATCH(G513,'ei names mapping'!$B$136:$BK$136,0))</f>
        <v>1.9954254854644945E-5</v>
      </c>
      <c r="C513" s="12"/>
      <c r="D513" s="12" t="str">
        <f>INDEX('ei names mapping'!$B$104:$BK$133,MATCH(B$229,'ei names mapping'!$A$4:$A$33,0),MATCH(G513,'ei names mapping'!$B$3:$BK$3,0))</f>
        <v>kilogram</v>
      </c>
      <c r="E513" s="12" t="str">
        <f>INDEX('ei names mapping'!$B$225:$BK$255,MATCH(B$229,'ei names mapping'!$A$4:$A$33,0),MATCH(G513,'ei names mapping'!$B$3:$BK$3,0))</f>
        <v>air</v>
      </c>
      <c r="F513" s="12" t="s">
        <v>173</v>
      </c>
      <c r="G513" s="12" t="s">
        <v>615</v>
      </c>
      <c r="H513" s="12"/>
    </row>
    <row r="514" spans="1:8" s="21" customFormat="1" x14ac:dyDescent="0.3">
      <c r="A514" s="12" t="str">
        <f>INDEX('ei names mapping'!$B$4:$BK$33,MATCH(B$229,'ei names mapping'!$A$4:$A$33,0),MATCH(G514,'ei names mapping'!$B$3:$BK$3,0))</f>
        <v>Formaldehyde</v>
      </c>
      <c r="B514" s="15">
        <f>INDEX('vehicles specifications'!$B$3:$CK$86,MATCH(B$463,'vehicles specifications'!$A$3:$A$86,0),MATCH(G514,'vehicles specifications'!$B$2:$CK$2,0))*INDEX('ei names mapping'!$B$137:$BK$220,MATCH(B$463,'ei names mapping'!$A$137:$A$220,0),MATCH(G514,'ei names mapping'!$B$136:$BK$136,0))</f>
        <v>1.5009837722520535E-5</v>
      </c>
      <c r="C514" s="12"/>
      <c r="D514" s="12" t="str">
        <f>INDEX('ei names mapping'!$B$104:$BK$133,MATCH(B$229,'ei names mapping'!$A$4:$A$33,0),MATCH(G514,'ei names mapping'!$B$3:$BK$3,0))</f>
        <v>kilogram</v>
      </c>
      <c r="E514" s="12" t="str">
        <f>INDEX('ei names mapping'!$B$225:$BK$255,MATCH(B$229,'ei names mapping'!$A$4:$A$33,0),MATCH(G514,'ei names mapping'!$B$3:$BK$3,0))</f>
        <v>air</v>
      </c>
      <c r="F514" s="12" t="s">
        <v>173</v>
      </c>
      <c r="G514" s="12" t="s">
        <v>616</v>
      </c>
      <c r="H514" s="12"/>
    </row>
    <row r="515" spans="1:8" s="21" customFormat="1" x14ac:dyDescent="0.3">
      <c r="A515" s="12" t="str">
        <f>INDEX('ei names mapping'!$B$4:$BK$33,MATCH(B$229,'ei names mapping'!$A$4:$A$33,0),MATCH(G515,'ei names mapping'!$B$3:$BK$3,0))</f>
        <v>Acetaldehyde</v>
      </c>
      <c r="B515" s="15">
        <f>INDEX('vehicles specifications'!$B$3:$CK$86,MATCH(B$463,'vehicles specifications'!$A$3:$A$86,0),MATCH(G515,'vehicles specifications'!$B$2:$CK$2,0))*INDEX('ei names mapping'!$B$137:$BK$220,MATCH(B$463,'ei names mapping'!$A$137:$A$220,0),MATCH(G515,'ei names mapping'!$B$136:$BK$136,0))</f>
        <v>6.6219872305237644E-6</v>
      </c>
      <c r="C515" s="12"/>
      <c r="D515" s="12" t="str">
        <f>INDEX('ei names mapping'!$B$104:$BK$133,MATCH(B$229,'ei names mapping'!$A$4:$A$33,0),MATCH(G515,'ei names mapping'!$B$3:$BK$3,0))</f>
        <v>kilogram</v>
      </c>
      <c r="E515" s="12" t="str">
        <f>INDEX('ei names mapping'!$B$225:$BK$255,MATCH(B$229,'ei names mapping'!$A$4:$A$33,0),MATCH(G515,'ei names mapping'!$B$3:$BK$3,0))</f>
        <v>air</v>
      </c>
      <c r="F515" s="12" t="s">
        <v>173</v>
      </c>
      <c r="G515" s="12" t="s">
        <v>617</v>
      </c>
      <c r="H515" s="12"/>
    </row>
    <row r="516" spans="1:8" s="21" customFormat="1" x14ac:dyDescent="0.3">
      <c r="A516" s="12" t="str">
        <f>INDEX('ei names mapping'!$B$4:$BK$33,MATCH(B$229,'ei names mapping'!$A$4:$A$33,0),MATCH(G516,'ei names mapping'!$B$3:$BK$3,0))</f>
        <v>Benzaldehyde</v>
      </c>
      <c r="B516" s="15">
        <f>INDEX('vehicles specifications'!$B$3:$CK$86,MATCH(B$463,'vehicles specifications'!$A$3:$A$86,0),MATCH(G516,'vehicles specifications'!$B$2:$CK$2,0))*INDEX('ei names mapping'!$B$137:$BK$220,MATCH(B$463,'ei names mapping'!$A$137:$A$220,0),MATCH(G516,'ei names mapping'!$B$136:$BK$136,0))</f>
        <v>1.9424495876203045E-6</v>
      </c>
      <c r="C516" s="12"/>
      <c r="D516" s="12" t="str">
        <f>INDEX('ei names mapping'!$B$104:$BK$133,MATCH(B$229,'ei names mapping'!$A$4:$A$33,0),MATCH(G516,'ei names mapping'!$B$3:$BK$3,0))</f>
        <v>kilogram</v>
      </c>
      <c r="E516" s="12" t="str">
        <f>INDEX('ei names mapping'!$B$225:$BK$255,MATCH(B$229,'ei names mapping'!$A$4:$A$33,0),MATCH(G516,'ei names mapping'!$B$3:$BK$3,0))</f>
        <v>air</v>
      </c>
      <c r="F516" s="12" t="s">
        <v>173</v>
      </c>
      <c r="G516" s="12" t="s">
        <v>618</v>
      </c>
      <c r="H516" s="12"/>
    </row>
    <row r="517" spans="1:8" s="21" customFormat="1" x14ac:dyDescent="0.3">
      <c r="A517" s="12" t="str">
        <f>INDEX('ei names mapping'!$B$4:$BK$33,MATCH(B$229,'ei names mapping'!$A$4:$A$33,0),MATCH(G517,'ei names mapping'!$B$3:$BK$3,0))</f>
        <v>Acetone</v>
      </c>
      <c r="B517" s="15">
        <f>INDEX('vehicles specifications'!$B$3:$CK$86,MATCH(B$463,'vehicles specifications'!$A$3:$A$86,0),MATCH(G517,'vehicles specifications'!$B$2:$CK$2,0))*INDEX('ei names mapping'!$B$137:$BK$220,MATCH(B$463,'ei names mapping'!$A$137:$A$220,0),MATCH(G517,'ei names mapping'!$B$136:$BK$136,0))</f>
        <v>5.3858829474926628E-6</v>
      </c>
      <c r="C517" s="12"/>
      <c r="D517" s="12" t="str">
        <f>INDEX('ei names mapping'!$B$104:$BK$133,MATCH(B$229,'ei names mapping'!$A$4:$A$33,0),MATCH(G517,'ei names mapping'!$B$3:$BK$3,0))</f>
        <v>kilogram</v>
      </c>
      <c r="E517" s="12" t="str">
        <f>INDEX('ei names mapping'!$B$225:$BK$255,MATCH(B$229,'ei names mapping'!$A$4:$A$33,0),MATCH(G517,'ei names mapping'!$B$3:$BK$3,0))</f>
        <v>air</v>
      </c>
      <c r="F517" s="12" t="s">
        <v>173</v>
      </c>
      <c r="G517" s="12" t="s">
        <v>619</v>
      </c>
      <c r="H517" s="12"/>
    </row>
    <row r="518" spans="1:8" s="21" customFormat="1" x14ac:dyDescent="0.3">
      <c r="A518" s="12" t="str">
        <f>INDEX('ei names mapping'!$B$4:$BK$33,MATCH(B$229,'ei names mapping'!$A$4:$A$33,0),MATCH(G518,'ei names mapping'!$B$3:$BK$3,0))</f>
        <v>Methyl ethyl ketone</v>
      </c>
      <c r="B518" s="15">
        <f>INDEX('vehicles specifications'!$B$3:$CK$86,MATCH(B$463,'vehicles specifications'!$A$3:$A$86,0),MATCH(G518,'vehicles specifications'!$B$2:$CK$2,0))*INDEX('ei names mapping'!$B$137:$BK$220,MATCH(B$463,'ei names mapping'!$A$137:$A$220,0),MATCH(G518,'ei names mapping'!$B$136:$BK$136,0))</f>
        <v>0</v>
      </c>
      <c r="C518" s="12"/>
      <c r="D518" s="12" t="str">
        <f>INDEX('ei names mapping'!$B$104:$BK$133,MATCH(B$229,'ei names mapping'!$A$4:$A$33,0),MATCH(G518,'ei names mapping'!$B$3:$BK$3,0))</f>
        <v>kilogram</v>
      </c>
      <c r="E518" s="12" t="str">
        <f>INDEX('ei names mapping'!$B$225:$BK$255,MATCH(B$229,'ei names mapping'!$A$4:$A$33,0),MATCH(G518,'ei names mapping'!$B$3:$BK$3,0))</f>
        <v>air</v>
      </c>
      <c r="F518" s="12" t="s">
        <v>173</v>
      </c>
      <c r="G518" s="12" t="s">
        <v>622</v>
      </c>
      <c r="H518" s="12"/>
    </row>
    <row r="519" spans="1:8" s="21" customFormat="1" x14ac:dyDescent="0.3">
      <c r="A519" s="12" t="str">
        <f>INDEX('ei names mapping'!$B$4:$BK$33,MATCH(B$229,'ei names mapping'!$A$4:$A$33,0),MATCH(G519,'ei names mapping'!$B$3:$BK$3,0))</f>
        <v>Acrolein</v>
      </c>
      <c r="B519" s="15">
        <f>INDEX('vehicles specifications'!$B$3:$CK$86,MATCH(B$463,'vehicles specifications'!$A$3:$A$86,0),MATCH(G519,'vehicles specifications'!$B$2:$CK$2,0))*INDEX('ei names mapping'!$B$137:$BK$220,MATCH(B$463,'ei names mapping'!$A$137:$A$220,0),MATCH(G519,'ei names mapping'!$B$136:$BK$136,0))</f>
        <v>1.6775700983993538E-6</v>
      </c>
      <c r="C519" s="12"/>
      <c r="D519" s="12" t="str">
        <f>INDEX('ei names mapping'!$B$104:$BK$133,MATCH(B$229,'ei names mapping'!$A$4:$A$33,0),MATCH(G519,'ei names mapping'!$B$3:$BK$3,0))</f>
        <v>kilogram</v>
      </c>
      <c r="E519" s="12" t="str">
        <f>INDEX('ei names mapping'!$B$225:$BK$255,MATCH(B$229,'ei names mapping'!$A$4:$A$33,0),MATCH(G519,'ei names mapping'!$B$3:$BK$3,0))</f>
        <v>air</v>
      </c>
      <c r="F519" s="12" t="s">
        <v>173</v>
      </c>
      <c r="G519" s="12" t="s">
        <v>620</v>
      </c>
      <c r="H519" s="12"/>
    </row>
    <row r="520" spans="1:8" s="21" customFormat="1" x14ac:dyDescent="0.3">
      <c r="A520" s="12" t="str">
        <f>INDEX('ei names mapping'!$B$4:$BK$33,MATCH(B$229,'ei names mapping'!$A$4:$A$33,0),MATCH(G520,'ei names mapping'!$B$3:$BK$3,0))</f>
        <v>Styrene</v>
      </c>
      <c r="B520" s="15">
        <f>INDEX('vehicles specifications'!$B$3:$CK$86,MATCH(B$463,'vehicles specifications'!$A$3:$A$86,0),MATCH(G520,'vehicles specifications'!$B$2:$CK$2,0))*INDEX('ei names mapping'!$B$137:$BK$220,MATCH(B$463,'ei names mapping'!$A$137:$A$220,0),MATCH(G520,'ei names mapping'!$B$136:$BK$136,0))</f>
        <v>8.9176094704386688E-6</v>
      </c>
      <c r="C520" s="12"/>
      <c r="D520" s="12" t="str">
        <f>INDEX('ei names mapping'!$B$104:$BK$133,MATCH(B$229,'ei names mapping'!$A$4:$A$33,0),MATCH(G520,'ei names mapping'!$B$3:$BK$3,0))</f>
        <v>kilogram</v>
      </c>
      <c r="E520" s="12" t="str">
        <f>INDEX('ei names mapping'!$B$225:$BK$255,MATCH(B$229,'ei names mapping'!$A$4:$A$33,0),MATCH(G520,'ei names mapping'!$B$3:$BK$3,0))</f>
        <v>air</v>
      </c>
      <c r="F520" s="12" t="s">
        <v>173</v>
      </c>
      <c r="G520" s="12" t="s">
        <v>621</v>
      </c>
      <c r="H520" s="12"/>
    </row>
    <row r="521" spans="1:8" s="21" customFormat="1" x14ac:dyDescent="0.3">
      <c r="A521" s="12" t="str">
        <f>INDEX('ei names mapping'!$B$4:$BK$33,MATCH(B$229,'ei names mapping'!$A$4:$A$33,0),MATCH(G521,'ei names mapping'!$B$3:$BK$3,0))</f>
        <v>PAH, polycyclic aromatic hydrocarbons</v>
      </c>
      <c r="B521" s="15">
        <f>INDEX('vehicles specifications'!$B$3:$CK$86,MATCH(B$463,'vehicles specifications'!$A$3:$A$86,0),MATCH(G521,'vehicles specifications'!$B$2:$CK$2,0))*INDEX('ei names mapping'!$B$137:$BK$220,MATCH(B$463,'ei names mapping'!$A$137:$A$220,0),MATCH(G521,'ei names mapping'!$B$136:$BK$136,0))</f>
        <v>2.834980417949095E-8</v>
      </c>
      <c r="C521" s="12"/>
      <c r="D521" s="12" t="str">
        <f>INDEX('ei names mapping'!$B$104:$BK$133,MATCH(B$229,'ei names mapping'!$A$4:$A$33,0),MATCH(G521,'ei names mapping'!$B$3:$BK$3,0))</f>
        <v>kilogram</v>
      </c>
      <c r="E521" s="12" t="str">
        <f>INDEX('ei names mapping'!$B$225:$BK$255,MATCH(B$229,'ei names mapping'!$A$4:$A$33,0),MATCH(G521,'ei names mapping'!$B$3:$BK$3,0))</f>
        <v>air</v>
      </c>
      <c r="F521" s="12" t="s">
        <v>173</v>
      </c>
      <c r="G521" s="12" t="s">
        <v>623</v>
      </c>
      <c r="H521" s="12"/>
    </row>
    <row r="522" spans="1:8" s="21" customFormat="1" x14ac:dyDescent="0.3">
      <c r="A522" s="12" t="str">
        <f>INDEX('ei names mapping'!$B$4:$BK$33,MATCH(B$229,'ei names mapping'!$A$4:$A$33,0),MATCH(G522,'ei names mapping'!$B$3:$BK$3,0))</f>
        <v>Arsenic</v>
      </c>
      <c r="B522" s="15">
        <f>INDEX('vehicles specifications'!$B$3:$CK$86,MATCH(B$463,'vehicles specifications'!$A$3:$A$86,0),MATCH(G522,'vehicles specifications'!$B$2:$CK$2,0))*INDEX('ei names mapping'!$B$137:$BK$220,MATCH(B$463,'ei names mapping'!$A$137:$A$220,0),MATCH(G522,'ei names mapping'!$B$136:$BK$136,0))</f>
        <v>2.443948636163013E-10</v>
      </c>
      <c r="C522" s="12"/>
      <c r="D522" s="12" t="str">
        <f>INDEX('ei names mapping'!$B$104:$BK$133,MATCH(B$229,'ei names mapping'!$A$4:$A$33,0),MATCH(G522,'ei names mapping'!$B$3:$BK$3,0))</f>
        <v>kilogram</v>
      </c>
      <c r="E522" s="12" t="str">
        <f>INDEX('ei names mapping'!$B$225:$BK$255,MATCH(B$229,'ei names mapping'!$A$4:$A$33,0),MATCH(G522,'ei names mapping'!$B$3:$BK$3,0))</f>
        <v>air</v>
      </c>
      <c r="F522" s="12" t="s">
        <v>173</v>
      </c>
      <c r="G522" s="12" t="s">
        <v>624</v>
      </c>
      <c r="H522" s="12"/>
    </row>
    <row r="523" spans="1:8" s="21" customFormat="1" x14ac:dyDescent="0.3">
      <c r="A523" s="12" t="str">
        <f>INDEX('ei names mapping'!$B$4:$BK$33,MATCH(B$229,'ei names mapping'!$A$4:$A$33,0),MATCH(G523,'ei names mapping'!$B$3:$BK$3,0))</f>
        <v>Selenium</v>
      </c>
      <c r="B523" s="15">
        <f>INDEX('vehicles specifications'!$B$3:$CK$86,MATCH(B$463,'vehicles specifications'!$A$3:$A$86,0),MATCH(G523,'vehicles specifications'!$B$2:$CK$2,0))*INDEX('ei names mapping'!$B$137:$BK$220,MATCH(B$463,'ei names mapping'!$A$137:$A$220,0),MATCH(G523,'ei names mapping'!$B$136:$BK$136,0))</f>
        <v>1.6292990907753419E-10</v>
      </c>
      <c r="C523" s="12"/>
      <c r="D523" s="12" t="str">
        <f>INDEX('ei names mapping'!$B$104:$BK$133,MATCH(B$229,'ei names mapping'!$A$4:$A$33,0),MATCH(G523,'ei names mapping'!$B$3:$BK$3,0))</f>
        <v>kilogram</v>
      </c>
      <c r="E523" s="12" t="str">
        <f>INDEX('ei names mapping'!$B$225:$BK$255,MATCH(B$229,'ei names mapping'!$A$4:$A$33,0),MATCH(G523,'ei names mapping'!$B$3:$BK$3,0))</f>
        <v>air</v>
      </c>
      <c r="F523" s="12" t="s">
        <v>173</v>
      </c>
      <c r="G523" s="12" t="s">
        <v>625</v>
      </c>
      <c r="H523" s="12"/>
    </row>
    <row r="524" spans="1:8" s="21" customFormat="1" x14ac:dyDescent="0.3">
      <c r="A524" s="12" t="str">
        <f>INDEX('ei names mapping'!$B$4:$BK$33,MATCH(B$229,'ei names mapping'!$A$4:$A$33,0),MATCH(G524,'ei names mapping'!$B$3:$BK$3,0))</f>
        <v>Zinc</v>
      </c>
      <c r="B524" s="15">
        <f>INDEX('vehicles specifications'!$B$3:$CK$86,MATCH(B$463,'vehicles specifications'!$A$3:$A$86,0),MATCH(G524,'vehicles specifications'!$B$2:$CK$2,0))*INDEX('ei names mapping'!$B$137:$BK$220,MATCH(B$463,'ei names mapping'!$A$137:$A$220,0),MATCH(G524,'ei names mapping'!$B$136:$BK$136,0))</f>
        <v>1.7596430180373694E-6</v>
      </c>
      <c r="C524" s="12"/>
      <c r="D524" s="12" t="str">
        <f>INDEX('ei names mapping'!$B$104:$BK$133,MATCH(B$229,'ei names mapping'!$A$4:$A$33,0),MATCH(G524,'ei names mapping'!$B$3:$BK$3,0))</f>
        <v>kilogram</v>
      </c>
      <c r="E524" s="12" t="str">
        <f>INDEX('ei names mapping'!$B$225:$BK$255,MATCH(B$229,'ei names mapping'!$A$4:$A$33,0),MATCH(G524,'ei names mapping'!$B$3:$BK$3,0))</f>
        <v>air</v>
      </c>
      <c r="F524" s="12" t="s">
        <v>173</v>
      </c>
      <c r="G524" s="12" t="s">
        <v>626</v>
      </c>
      <c r="H524" s="12"/>
    </row>
    <row r="525" spans="1:8" s="21" customFormat="1" x14ac:dyDescent="0.3">
      <c r="A525" s="12" t="str">
        <f>INDEX('ei names mapping'!$B$4:$BK$33,MATCH(B$229,'ei names mapping'!$A$4:$A$33,0),MATCH(G525,'ei names mapping'!$B$3:$BK$3,0))</f>
        <v>Copper</v>
      </c>
      <c r="B525" s="15">
        <f>INDEX('vehicles specifications'!$B$3:$CK$86,MATCH(B$463,'vehicles specifications'!$A$3:$A$86,0),MATCH(G525,'vehicles specifications'!$B$2:$CK$2,0))*INDEX('ei names mapping'!$B$137:$BK$220,MATCH(B$463,'ei names mapping'!$A$137:$A$220,0),MATCH(G525,'ei names mapping'!$B$136:$BK$136,0))</f>
        <v>3.4215280906282183E-8</v>
      </c>
      <c r="C525" s="12"/>
      <c r="D525" s="12" t="str">
        <f>INDEX('ei names mapping'!$B$104:$BK$133,MATCH(B$229,'ei names mapping'!$A$4:$A$33,0),MATCH(G525,'ei names mapping'!$B$3:$BK$3,0))</f>
        <v>kilogram</v>
      </c>
      <c r="E525" s="12" t="str">
        <f>INDEX('ei names mapping'!$B$225:$BK$255,MATCH(B$229,'ei names mapping'!$A$4:$A$33,0),MATCH(G525,'ei names mapping'!$B$3:$BK$3,0))</f>
        <v>air</v>
      </c>
      <c r="F525" s="12" t="s">
        <v>173</v>
      </c>
      <c r="G525" s="12" t="s">
        <v>581</v>
      </c>
      <c r="H525" s="12"/>
    </row>
    <row r="526" spans="1:8" s="21" customFormat="1" x14ac:dyDescent="0.3">
      <c r="A526" s="12" t="str">
        <f>INDEX('ei names mapping'!$B$4:$BK$33,MATCH(B$229,'ei names mapping'!$A$4:$A$33,0),MATCH(G526,'ei names mapping'!$B$3:$BK$3,0))</f>
        <v>Nickel</v>
      </c>
      <c r="B526" s="15">
        <f>INDEX('vehicles specifications'!$B$3:$CK$86,MATCH(B$463,'vehicles specifications'!$A$3:$A$86,0),MATCH(G526,'vehicles specifications'!$B$2:$CK$2,0))*INDEX('ei names mapping'!$B$137:$BK$220,MATCH(B$463,'ei names mapping'!$A$137:$A$220,0),MATCH(G526,'ei names mapping'!$B$136:$BK$136,0))</f>
        <v>1.0590444090039723E-8</v>
      </c>
      <c r="C526" s="12"/>
      <c r="D526" s="12" t="str">
        <f>INDEX('ei names mapping'!$B$104:$BK$133,MATCH(B$229,'ei names mapping'!$A$4:$A$33,0),MATCH(G526,'ei names mapping'!$B$3:$BK$3,0))</f>
        <v>kilogram</v>
      </c>
      <c r="E526" s="12" t="str">
        <f>INDEX('ei names mapping'!$B$225:$BK$255,MATCH(B$229,'ei names mapping'!$A$4:$A$33,0),MATCH(G526,'ei names mapping'!$B$3:$BK$3,0))</f>
        <v>air</v>
      </c>
      <c r="F526" s="12" t="s">
        <v>173</v>
      </c>
      <c r="G526" s="12" t="s">
        <v>583</v>
      </c>
      <c r="H526" s="12"/>
    </row>
    <row r="527" spans="1:8" s="21" customFormat="1" x14ac:dyDescent="0.3">
      <c r="A527" s="12" t="str">
        <f>INDEX('ei names mapping'!$B$4:$BK$33,MATCH(B$229,'ei names mapping'!$A$4:$A$33,0),MATCH(G527,'ei names mapping'!$B$3:$BK$3,0))</f>
        <v>Chromium</v>
      </c>
      <c r="B527" s="15">
        <f>INDEX('vehicles specifications'!$B$3:$CK$86,MATCH(B$463,'vehicles specifications'!$A$3:$A$86,0),MATCH(G527,'vehicles specifications'!$B$2:$CK$2,0))*INDEX('ei names mapping'!$B$137:$BK$220,MATCH(B$463,'ei names mapping'!$A$137:$A$220,0),MATCH(G527,'ei names mapping'!$B$136:$BK$136,0))</f>
        <v>1.303439272620274E-8</v>
      </c>
      <c r="C527" s="12"/>
      <c r="D527" s="12" t="str">
        <f>INDEX('ei names mapping'!$B$104:$BK$133,MATCH(B$229,'ei names mapping'!$A$4:$A$33,0),MATCH(G527,'ei names mapping'!$B$3:$BK$3,0))</f>
        <v>kilogram</v>
      </c>
      <c r="E527" s="12" t="str">
        <f>INDEX('ei names mapping'!$B$225:$BK$255,MATCH(B$229,'ei names mapping'!$A$4:$A$33,0),MATCH(G527,'ei names mapping'!$B$3:$BK$3,0))</f>
        <v>air</v>
      </c>
      <c r="F527" s="12" t="s">
        <v>173</v>
      </c>
      <c r="G527" s="12" t="s">
        <v>582</v>
      </c>
      <c r="H527" s="12"/>
    </row>
    <row r="528" spans="1:8" s="21" customFormat="1" x14ac:dyDescent="0.3">
      <c r="A528" s="12" t="str">
        <f>INDEX('ei names mapping'!$B$4:$BK$33,MATCH(B$229,'ei names mapping'!$A$4:$A$33,0),MATCH(G528,'ei names mapping'!$B$3:$BK$3,0))</f>
        <v>Chromium VI</v>
      </c>
      <c r="B528" s="15">
        <f>INDEX('vehicles specifications'!$B$3:$CK$86,MATCH(B$463,'vehicles specifications'!$A$3:$A$86,0),MATCH(G528,'vehicles specifications'!$B$2:$CK$2,0))*INDEX('ei names mapping'!$B$137:$BK$220,MATCH(B$463,'ei names mapping'!$A$137:$A$220,0),MATCH(G528,'ei names mapping'!$B$136:$BK$136,0))</f>
        <v>2.6068785452405472E-11</v>
      </c>
      <c r="C528" s="12"/>
      <c r="D528" s="12" t="str">
        <f>INDEX('ei names mapping'!$B$104:$BK$133,MATCH(B$229,'ei names mapping'!$A$4:$A$33,0),MATCH(G528,'ei names mapping'!$B$3:$BK$3,0))</f>
        <v>kilogram</v>
      </c>
      <c r="E528" s="12" t="str">
        <f>INDEX('ei names mapping'!$B$225:$BK$255,MATCH(B$229,'ei names mapping'!$A$4:$A$33,0),MATCH(G528,'ei names mapping'!$B$3:$BK$3,0))</f>
        <v>air</v>
      </c>
      <c r="F528" s="12" t="s">
        <v>173</v>
      </c>
      <c r="G528" s="12" t="s">
        <v>629</v>
      </c>
      <c r="H528" s="12"/>
    </row>
    <row r="529" spans="1:8" s="21" customFormat="1" x14ac:dyDescent="0.3">
      <c r="A529" s="12" t="str">
        <f>INDEX('ei names mapping'!$B$4:$BK$33,MATCH(B$229,'ei names mapping'!$A$4:$A$33,0),MATCH(G529,'ei names mapping'!$B$3:$BK$3,0))</f>
        <v>Mercury</v>
      </c>
      <c r="B529" s="15">
        <f>INDEX('vehicles specifications'!$B$3:$CK$86,MATCH(B$463,'vehicles specifications'!$A$3:$A$86,0),MATCH(G529,'vehicles specifications'!$B$2:$CK$2,0))*INDEX('ei names mapping'!$B$137:$BK$220,MATCH(B$463,'ei names mapping'!$A$137:$A$220,0),MATCH(G529,'ei names mapping'!$B$136:$BK$136,0))</f>
        <v>7.0874510448727374E-9</v>
      </c>
      <c r="C529" s="12"/>
      <c r="D529" s="12" t="str">
        <f>INDEX('ei names mapping'!$B$104:$BK$133,MATCH(B$229,'ei names mapping'!$A$4:$A$33,0),MATCH(G529,'ei names mapping'!$B$3:$BK$3,0))</f>
        <v>kilogram</v>
      </c>
      <c r="E529" s="12" t="str">
        <f>INDEX('ei names mapping'!$B$225:$BK$255,MATCH(B$229,'ei names mapping'!$A$4:$A$33,0),MATCH(G529,'ei names mapping'!$B$3:$BK$3,0))</f>
        <v>air</v>
      </c>
      <c r="F529" s="12" t="s">
        <v>173</v>
      </c>
      <c r="G529" s="12" t="s">
        <v>627</v>
      </c>
      <c r="H529" s="12"/>
    </row>
    <row r="530" spans="1:8" s="21" customFormat="1" x14ac:dyDescent="0.3">
      <c r="A530" s="12" t="str">
        <f>INDEX('ei names mapping'!$B$4:$BK$33,MATCH(B$229,'ei names mapping'!$A$4:$A$33,0),MATCH(G530,'ei names mapping'!$B$3:$BK$3,0))</f>
        <v>Cadmium</v>
      </c>
      <c r="B530" s="15">
        <f>INDEX('vehicles specifications'!$B$3:$CK$86,MATCH(B$463,'vehicles specifications'!$A$3:$A$86,0),MATCH(G530,'vehicles specifications'!$B$2:$CK$2,0))*INDEX('ei names mapping'!$B$137:$BK$220,MATCH(B$463,'ei names mapping'!$A$137:$A$220,0),MATCH(G530,'ei names mapping'!$B$136:$BK$136,0))</f>
        <v>8.7982150901868465E-9</v>
      </c>
      <c r="C530" s="12"/>
      <c r="D530" s="12" t="str">
        <f>INDEX('ei names mapping'!$B$104:$BK$133,MATCH(B$229,'ei names mapping'!$A$4:$A$33,0),MATCH(G530,'ei names mapping'!$B$3:$BK$3,0))</f>
        <v>kilogram</v>
      </c>
      <c r="E530" s="12" t="str">
        <f>INDEX('ei names mapping'!$B$225:$BK$255,MATCH(B$229,'ei names mapping'!$A$4:$A$33,0),MATCH(G530,'ei names mapping'!$B$3:$BK$3,0))</f>
        <v>air</v>
      </c>
      <c r="F530" s="12" t="s">
        <v>173</v>
      </c>
      <c r="G530" s="12" t="s">
        <v>628</v>
      </c>
      <c r="H530" s="12"/>
    </row>
    <row r="531" spans="1:8" x14ac:dyDescent="0.3">
      <c r="A531" s="12" t="str">
        <f>INDEX('ei names mapping'!$B$4:$BK$33,MATCH(B460,'ei names mapping'!$A$4:$A$33,0),MATCH(G531,'ei names mapping'!$B$3:$BK$3,0))</f>
        <v>treatment of road wear emissions, passenger car</v>
      </c>
      <c r="B531" s="16">
        <f>INDEX('vehicles specifications'!$B$3:$CK$86,MATCH(B463,'vehicles specifications'!$A$3:$A$86,0),MATCH(G531,'vehicles specifications'!$B$2:$CK$2,0))*INDEX('ei names mapping'!$B$137:$BK$220,MATCH(B463,'ei names mapping'!$A$137:$A$220,0),MATCH(G531,'ei names mapping'!$B$136:$BK$136,0))</f>
        <v>-6.0000000000000002E-6</v>
      </c>
      <c r="C531" s="12" t="str">
        <f>INDEX('ei names mapping'!$B$38:$BK$67,MATCH(B460,'ei names mapping'!$A$4:$A$33,0),MATCH(G531,'ei names mapping'!$B$3:$BK$3,0))</f>
        <v>RER</v>
      </c>
      <c r="D531" s="12" t="str">
        <f>INDEX('ei names mapping'!$B$104:$BK$133,MATCH(B460,'ei names mapping'!$A$4:$A$33,0),MATCH(G531,'ei names mapping'!$B$3:$BK$3,0))</f>
        <v>kilogram</v>
      </c>
      <c r="E531" s="12"/>
      <c r="F531" s="12" t="s">
        <v>91</v>
      </c>
      <c r="G531" t="s">
        <v>29</v>
      </c>
      <c r="H531" s="12" t="str">
        <f>INDEX('ei names mapping'!$B$71:$BK$100,MATCH(B460,'ei names mapping'!$A$4:$A$33,0),MATCH(G531,'ei names mapping'!$B$3:$BK$3,0))</f>
        <v>road wear emissions, passenger car</v>
      </c>
    </row>
    <row r="532" spans="1:8" x14ac:dyDescent="0.3">
      <c r="A532" s="12" t="str">
        <f>INDEX('ei names mapping'!$B$4:$BK$33,MATCH(B460,'ei names mapping'!$A$4:$A$33,0),MATCH(G532,'ei names mapping'!$B$3:$BK$3,0))</f>
        <v>treatment of tyre wear emissions, passenger car</v>
      </c>
      <c r="B532" s="16">
        <f>INDEX('vehicles specifications'!$B$3:$CK$86,MATCH(B463,'vehicles specifications'!$A$3:$A$86,0),MATCH(G532,'vehicles specifications'!$B$2:$CK$2,0))*INDEX('ei names mapping'!$B$137:$BK$220,MATCH(B463,'ei names mapping'!$A$137:$A$220,0),MATCH(G532,'ei names mapping'!$B$136:$BK$136,0))</f>
        <v>-5.8379999999999998E-6</v>
      </c>
      <c r="C532" s="12" t="str">
        <f>INDEX('ei names mapping'!$B$38:$BK$67,MATCH(B460,'ei names mapping'!$A$4:$A$33,0),MATCH(G532,'ei names mapping'!$B$3:$BK$3,0))</f>
        <v>RER</v>
      </c>
      <c r="D532" s="12" t="str">
        <f>INDEX('ei names mapping'!$B$104:$BK$133,MATCH(B460,'ei names mapping'!$A$4:$A$33,0),MATCH(G532,'ei names mapping'!$B$3:$BK$3,0))</f>
        <v>kilogram</v>
      </c>
      <c r="E532" s="12"/>
      <c r="F532" s="12" t="s">
        <v>91</v>
      </c>
      <c r="G532" t="s">
        <v>30</v>
      </c>
      <c r="H532" s="12" t="str">
        <f>INDEX('ei names mapping'!$B$71:$BK$100,MATCH(B460,'ei names mapping'!$A$4:$A$33,0),MATCH(G532,'ei names mapping'!$B$3:$BK$3,0))</f>
        <v>tyre wear emissions, passenger car</v>
      </c>
    </row>
    <row r="533" spans="1:8" x14ac:dyDescent="0.3">
      <c r="A533" s="12" t="str">
        <f>INDEX('ei names mapping'!$B$4:$BK$33,MATCH(B460,'ei names mapping'!$A$4:$A$33,0),MATCH(G533,'ei names mapping'!$B$3:$BK$3,0))</f>
        <v>treatment of brake wear emissions, passenger car</v>
      </c>
      <c r="B533" s="16">
        <f>INDEX('vehicles specifications'!$B$3:$CK$86,MATCH(B463,'vehicles specifications'!$A$3:$A$86,0),MATCH(G533,'vehicles specifications'!$B$2:$CK$2,0))*INDEX('ei names mapping'!$B$137:$BK$220,MATCH(B463,'ei names mapping'!$A$137:$A$220,0),MATCH(G533,'ei names mapping'!$B$136:$BK$136,0))</f>
        <v>-3.6740000000000003E-6</v>
      </c>
      <c r="C533" s="12" t="str">
        <f>INDEX('ei names mapping'!$B$38:$BK$67,MATCH(B460,'ei names mapping'!$A$4:$A$33,0),MATCH(G533,'ei names mapping'!$B$3:$BK$3,0))</f>
        <v>RER</v>
      </c>
      <c r="D533" s="12" t="str">
        <f>INDEX('ei names mapping'!$B$104:$BK$133,MATCH(B460,'ei names mapping'!$A$4:$A$33,0),MATCH(G533,'ei names mapping'!$B$3:$BK$3,0))</f>
        <v>kilogram</v>
      </c>
      <c r="E533" s="12"/>
      <c r="F533" s="12" t="s">
        <v>91</v>
      </c>
      <c r="G533" t="s">
        <v>31</v>
      </c>
      <c r="H533" s="12" t="str">
        <f>INDEX('ei names mapping'!$B$71:$BK$100,MATCH(B460,'ei names mapping'!$A$4:$A$33,0),MATCH(G533,'ei names mapping'!$B$3:$BK$3,0))</f>
        <v>brake wear emissions, passenger car</v>
      </c>
    </row>
    <row r="535" spans="1:8" ht="15.6" x14ac:dyDescent="0.3">
      <c r="A535" s="11" t="s">
        <v>72</v>
      </c>
      <c r="B535" s="9" t="str">
        <f>"transport, "&amp;B537&amp;", "&amp;B539</f>
        <v>transport, Moped, gasoline, &lt;4kW, EURO-5, 2040</v>
      </c>
    </row>
    <row r="536" spans="1:8" x14ac:dyDescent="0.3">
      <c r="A536" t="s">
        <v>73</v>
      </c>
      <c r="B536" t="s">
        <v>37</v>
      </c>
    </row>
    <row r="537" spans="1:8" x14ac:dyDescent="0.3">
      <c r="A537" t="s">
        <v>87</v>
      </c>
      <c r="B537" t="s">
        <v>647</v>
      </c>
    </row>
    <row r="538" spans="1:8" x14ac:dyDescent="0.3">
      <c r="A538" t="s">
        <v>88</v>
      </c>
      <c r="B538" s="12"/>
    </row>
    <row r="539" spans="1:8" x14ac:dyDescent="0.3">
      <c r="A539" t="s">
        <v>89</v>
      </c>
      <c r="B539" s="12">
        <v>2040</v>
      </c>
    </row>
    <row r="540" spans="1:8" x14ac:dyDescent="0.3">
      <c r="A540" t="s">
        <v>131</v>
      </c>
      <c r="B540" s="12" t="str">
        <f>B537&amp;" - "&amp;B539&amp;" - "&amp;B536</f>
        <v>Moped, gasoline, &lt;4kW, EURO-5 - 2040 - CH</v>
      </c>
    </row>
    <row r="541" spans="1:8" x14ac:dyDescent="0.3">
      <c r="A541" t="s">
        <v>74</v>
      </c>
      <c r="B541" s="12" t="str">
        <f>"transport, "&amp;B537</f>
        <v>transport, Moped, gasoline, &lt;4kW, EURO-5</v>
      </c>
    </row>
    <row r="542" spans="1:8" x14ac:dyDescent="0.3">
      <c r="A542" t="s">
        <v>75</v>
      </c>
      <c r="B542" t="s">
        <v>76</v>
      </c>
    </row>
    <row r="543" spans="1:8" x14ac:dyDescent="0.3">
      <c r="A543" t="s">
        <v>77</v>
      </c>
      <c r="B543" t="s">
        <v>172</v>
      </c>
    </row>
    <row r="544" spans="1:8" x14ac:dyDescent="0.3">
      <c r="A544" t="s">
        <v>79</v>
      </c>
      <c r="B544" t="s">
        <v>90</v>
      </c>
    </row>
    <row r="545" spans="1:2" x14ac:dyDescent="0.3">
      <c r="A545" t="s">
        <v>132</v>
      </c>
      <c r="B545">
        <f>INDEX('vehicles specifications'!$B$3:$CK$86,MATCH(B540,'vehicles specifications'!$A$3:$A$86,0),MATCH("Lifetime [km]",'vehicles specifications'!$B$2:$CK$2,0))</f>
        <v>33400</v>
      </c>
    </row>
    <row r="546" spans="1:2" x14ac:dyDescent="0.3">
      <c r="A546" t="s">
        <v>133</v>
      </c>
      <c r="B546">
        <f>INDEX('vehicles specifications'!$B$3:$CK$86,MATCH(B540,'vehicles specifications'!$A$3:$A$86,0),MATCH("Passengers [unit]",'vehicles specifications'!$B$2:$CK$2,0))</f>
        <v>1</v>
      </c>
    </row>
    <row r="547" spans="1:2" x14ac:dyDescent="0.3">
      <c r="A547" t="s">
        <v>134</v>
      </c>
      <c r="B547">
        <f>INDEX('vehicles specifications'!$B$3:$CK$86,MATCH(B540,'vehicles specifications'!$A$3:$A$86,0),MATCH("Servicing [unit]",'vehicles specifications'!$B$2:$CK$2,0))</f>
        <v>1</v>
      </c>
    </row>
    <row r="548" spans="1:2" x14ac:dyDescent="0.3">
      <c r="A548" t="s">
        <v>135</v>
      </c>
      <c r="B548">
        <f>INDEX('vehicles specifications'!$B$3:$CK$86,MATCH(B540,'vehicles specifications'!$A$3:$A$86,0),MATCH("Energy battery replacement [unit]",'vehicles specifications'!$B$2:$CK$2,0))</f>
        <v>0</v>
      </c>
    </row>
    <row r="549" spans="1:2" x14ac:dyDescent="0.3">
      <c r="A549" t="s">
        <v>136</v>
      </c>
      <c r="B549">
        <f>INDEX('vehicles specifications'!$B$3:$CK$86,MATCH(B540,'vehicles specifications'!$A$3:$A$86,0),MATCH("Annual kilometers [km]",'vehicles specifications'!$B$2:$CK$2,0))</f>
        <v>2553</v>
      </c>
    </row>
    <row r="550" spans="1:2" x14ac:dyDescent="0.3">
      <c r="A550" t="s">
        <v>137</v>
      </c>
      <c r="B550" s="2">
        <f>INDEX('vehicles specifications'!$B$3:$CK$86,MATCH(B540,'vehicles specifications'!$A$3:$A$86,0),MATCH("Curb mass [kg]",'vehicles specifications'!$B$2:$CK$2,0))</f>
        <v>60.856874999999995</v>
      </c>
    </row>
    <row r="551" spans="1:2" x14ac:dyDescent="0.3">
      <c r="A551" t="s">
        <v>138</v>
      </c>
      <c r="B551">
        <f>INDEX('vehicles specifications'!$B$3:$CK$86,MATCH(B540,'vehicles specifications'!$A$3:$A$86,0),MATCH("Power [kW]",'vehicles specifications'!$B$2:$CK$2,0))</f>
        <v>2.5</v>
      </c>
    </row>
    <row r="552" spans="1:2" x14ac:dyDescent="0.3">
      <c r="A552" t="s">
        <v>139</v>
      </c>
      <c r="B552">
        <f>INDEX('vehicles specifications'!$B$3:$CK$86,MATCH(B540,'vehicles specifications'!$A$3:$A$86,0),MATCH("Energy battery mass [kg]",'vehicles specifications'!$B$2:$CK$2,0))</f>
        <v>0</v>
      </c>
    </row>
    <row r="553" spans="1:2" x14ac:dyDescent="0.3">
      <c r="A553" t="s">
        <v>140</v>
      </c>
      <c r="B553">
        <f>INDEX('vehicles specifications'!$B$3:$CK$86,MATCH(B540,'vehicles specifications'!$A$3:$A$86,0),MATCH("Electric energy available [kWh]",'vehicles specifications'!$B$2:$CK$2,0))</f>
        <v>0</v>
      </c>
    </row>
    <row r="554" spans="1:2" x14ac:dyDescent="0.3">
      <c r="A554" t="s">
        <v>143</v>
      </c>
      <c r="B554" s="2">
        <f>INDEX('vehicles specifications'!$B$3:$CK$86,MATCH(B540,'vehicles specifications'!$A$3:$A$86,0),MATCH("Oxydation energy stored [kWh]",'vehicles specifications'!$B$2:$CK$2,0))</f>
        <v>61.833333333333329</v>
      </c>
    </row>
    <row r="555" spans="1:2" x14ac:dyDescent="0.3">
      <c r="A555" t="s">
        <v>145</v>
      </c>
      <c r="B555">
        <f>INDEX('vehicles specifications'!$B$3:$CK$86,MATCH(B540,'vehicles specifications'!$A$3:$A$86,0),MATCH("Fuel mass [kg]",'vehicles specifications'!$B$2:$CK$2,0))</f>
        <v>5.25</v>
      </c>
    </row>
    <row r="556" spans="1:2" x14ac:dyDescent="0.3">
      <c r="A556" t="s">
        <v>141</v>
      </c>
      <c r="B556" s="2">
        <f>INDEX('vehicles specifications'!$B$3:$CK$86,MATCH(B540,'vehicles specifications'!$A$3:$A$86,0),MATCH("Range [km]",'vehicles specifications'!$B$2:$CK$2,0))</f>
        <v>276.0063957827229</v>
      </c>
    </row>
    <row r="557" spans="1:2" x14ac:dyDescent="0.3">
      <c r="A557" t="s">
        <v>142</v>
      </c>
      <c r="B557" t="str">
        <f>INDEX('vehicles specifications'!$B$3:$CK$86,MATCH(B540,'vehicles specifications'!$A$3:$A$86,0),MATCH("Emission standard",'vehicles specifications'!$B$2:$CK$2,0))</f>
        <v>EURO-5</v>
      </c>
    </row>
    <row r="558" spans="1:2" x14ac:dyDescent="0.3">
      <c r="A558" t="s">
        <v>144</v>
      </c>
      <c r="B558" s="6">
        <f>INDEX('vehicles specifications'!$B$3:$CK$86,MATCH(B540,'vehicles specifications'!$A$3:$A$86,0),MATCH("Lightweighting rate [%]",'vehicles specifications'!$B$2:$CK$2,0))</f>
        <v>0.05</v>
      </c>
    </row>
    <row r="559" spans="1:2" x14ac:dyDescent="0.3">
      <c r="A559" t="s">
        <v>84</v>
      </c>
      <c r="B559" s="21" t="str">
        <f>"Power: "&amp;B551&amp;" kW. Lifetime: "&amp;B545&amp;" km. Annual kilometers: "&amp;B549&amp;" km. Number of passengers: "&amp;B546&amp;". Curb mass: "&amp;ROUND(B550,1)&amp;" kg. Lightweighting of glider: "&amp;ROUND(B558*100,0)&amp;"%. Emission standard: "&amp;B557&amp;". Service visits throughout lifetime: "&amp;ROUND(B547,1)&amp;". Range: "&amp;ROUND(B556,0)&amp;" km. Battery capacity: "&amp;ROUND(B553,1)&amp;" kWh. Battery mass: "&amp;ROUND(B552,1)&amp; " kg. Battery replacement throughout lifetime: "&amp;ROUND(B548,1)&amp;". Fuel tank capacity: "&amp;ROUND(B554,1)&amp;" kWh. Fuel mass: "&amp;ROUND(B555,1)&amp;" kg. Documentation: "&amp;Readmefirst!$B$2&amp;", "&amp;Readmefirst!$B$3&amp;". "&amp;B544</f>
        <v>Power: 2.5 kW. Lifetime: 33400 km. Annual kilometers: 2553 km. Number of passengers: 1. Curb mass: 60.9 kg. Lightweighting of glider: 5%. Emission standard: EURO-5. Service visits throughout lifetime: 1. Range: 276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560" spans="1:2" ht="15.6" x14ac:dyDescent="0.3">
      <c r="A560" s="11" t="s">
        <v>80</v>
      </c>
    </row>
    <row r="561" spans="1:8" x14ac:dyDescent="0.3">
      <c r="A561" t="s">
        <v>81</v>
      </c>
      <c r="B561" t="s">
        <v>82</v>
      </c>
      <c r="C561" t="s">
        <v>73</v>
      </c>
      <c r="D561" t="s">
        <v>77</v>
      </c>
      <c r="E561" t="s">
        <v>83</v>
      </c>
      <c r="F561" t="s">
        <v>75</v>
      </c>
      <c r="G561" t="s">
        <v>84</v>
      </c>
      <c r="H561" t="s">
        <v>74</v>
      </c>
    </row>
    <row r="562" spans="1:8" x14ac:dyDescent="0.3">
      <c r="A562" s="12" t="str">
        <f>B535</f>
        <v>transport, Moped, gasoline, &lt;4kW, EURO-5, 2040</v>
      </c>
      <c r="B562" s="12">
        <v>1</v>
      </c>
      <c r="C562" s="12" t="str">
        <f>B536</f>
        <v>CH</v>
      </c>
      <c r="D562" s="12" t="s">
        <v>172</v>
      </c>
      <c r="E562" s="12"/>
      <c r="F562" s="12" t="s">
        <v>85</v>
      </c>
      <c r="G562" s="12" t="s">
        <v>86</v>
      </c>
      <c r="H562" s="12" t="str">
        <f>B541</f>
        <v>transport, Moped, gasoline, &lt;4kW, EURO-5</v>
      </c>
    </row>
    <row r="563" spans="1:8" x14ac:dyDescent="0.3">
      <c r="A563" s="12" t="str">
        <f>RIGHT(A562,LEN(A562)-11)</f>
        <v>Moped, gasoline, &lt;4kW, EURO-5, 2040</v>
      </c>
      <c r="B563" s="12">
        <f>1/B545</f>
        <v>2.9940119760479042E-5</v>
      </c>
      <c r="C563" s="12" t="str">
        <f>B536</f>
        <v>CH</v>
      </c>
      <c r="D563" s="12" t="s">
        <v>77</v>
      </c>
      <c r="E563" s="12"/>
      <c r="F563" s="12" t="s">
        <v>91</v>
      </c>
      <c r="G563" s="12"/>
      <c r="H563" s="12" t="str">
        <f>RIGHT(H562,LEN(H562)-11)</f>
        <v>Moped, gasoline, &lt;4kW, EURO-5</v>
      </c>
    </row>
    <row r="564" spans="1:8" s="21" customFormat="1" x14ac:dyDescent="0.3">
      <c r="A564" s="12" t="str">
        <f>INDEX('ei names mapping'!$B$4:$R$33,MATCH(B537,'ei names mapping'!$A$4:$A$33,0),MATCH(G564,'ei names mapping'!$B$3:$R$3,0))</f>
        <v>road construction</v>
      </c>
      <c r="B564" s="16">
        <f>INDEX('vehicles specifications'!$B$3:$CK$86,MATCH(B540,'vehicles specifications'!$A$3:$A$86,0),MATCH(G564,'vehicles specifications'!$B$2:$CK$2,0))*INDEX('ei names mapping'!$B$137:$BK$220,MATCH(B540,'ei names mapping'!$A$137:$A$220,0),MATCH(G564,'ei names mapping'!$B$136:$BK$136,0))</f>
        <v>7.1344141875000002E-5</v>
      </c>
      <c r="C564" s="12" t="str">
        <f>INDEX('ei names mapping'!$B$38:$R$67,MATCH(B537,'ei names mapping'!$A$4:$A$33,0),MATCH(G564,'ei names mapping'!$B$3:$R$3,0))</f>
        <v>CH</v>
      </c>
      <c r="D564" s="12" t="str">
        <f>INDEX('ei names mapping'!$B$104:$BK$133,MATCH(B537,'ei names mapping'!$A$4:$A$33,0),MATCH(G564,'ei names mapping'!$B$3:$BK$3,0))</f>
        <v>meter-year</v>
      </c>
      <c r="E564" s="12"/>
      <c r="F564" s="12" t="s">
        <v>91</v>
      </c>
      <c r="G564" s="21" t="s">
        <v>108</v>
      </c>
      <c r="H564" s="12" t="str">
        <f>INDEX('ei names mapping'!$B$71:$BK$100,MATCH(B537,'ei names mapping'!$A$4:$A$33,0),MATCH(G564,'ei names mapping'!$B$3:$BK$3,0))</f>
        <v>road</v>
      </c>
    </row>
    <row r="565" spans="1:8" x14ac:dyDescent="0.3">
      <c r="A565" s="12" t="str">
        <f>INDEX('ei names mapping'!$B$4:$R$33,MATCH(B537,'ei names mapping'!$A$4:$A$33,0),MATCH(G565,'ei names mapping'!$B$3:$R$3,0))</f>
        <v>road maintenance</v>
      </c>
      <c r="B565" s="16">
        <f>INDEX('vehicles specifications'!$B$3:$CK$86,MATCH(B540,'vehicles specifications'!$A$3:$A$86,0),MATCH(G565,'vehicles specifications'!$B$2:$CK$2,0))*INDEX('ei names mapping'!$B$137:$BK$220,MATCH(B540,'ei names mapping'!$A$137:$A$220,0),MATCH(G565,'ei names mapping'!$B$136:$BK$136,0))</f>
        <v>1.2899999999999999E-3</v>
      </c>
      <c r="C565" s="12" t="str">
        <f>INDEX('ei names mapping'!$B$38:$R$67,MATCH(B537,'ei names mapping'!$A$4:$A$33,0),MATCH(G565,'ei names mapping'!$B$3:$R$3,0))</f>
        <v>CH</v>
      </c>
      <c r="D565" s="12" t="str">
        <f>INDEX('ei names mapping'!$B$104:$BK$133,MATCH(B537,'ei names mapping'!$A$4:$A$33,0),MATCH(G565,'ei names mapping'!$B$3:$BK$3,0))</f>
        <v>meter-year</v>
      </c>
      <c r="E565" s="12"/>
      <c r="F565" s="12" t="s">
        <v>91</v>
      </c>
      <c r="G565" t="s">
        <v>117</v>
      </c>
      <c r="H565" s="12" t="str">
        <f>INDEX('ei names mapping'!$B$71:$BK$100,MATCH(B537,'ei names mapping'!$A$4:$A$33,0),MATCH(G565,'ei names mapping'!$B$3:$BK$3,0))</f>
        <v>road maintenance</v>
      </c>
    </row>
    <row r="566" spans="1:8" x14ac:dyDescent="0.3">
      <c r="A566" s="12" t="str">
        <f>INDEX('ei names mapping'!$B$4:$R$33,MATCH(B537,'ei names mapping'!$A$4:$A$33,0),MATCH(G566,'ei names mapping'!$B$3:$R$3,0))</f>
        <v>maintenance, motor scooter</v>
      </c>
      <c r="B566" s="16">
        <f>INDEX('vehicles specifications'!$B$3:$CK$86,MATCH(B540,'vehicles specifications'!$A$3:$A$86,0),MATCH(G566,'vehicles specifications'!$B$2:$CK$2,0))*INDEX('ei names mapping'!$B$137:$BK$220,MATCH(B540,'ei names mapping'!$A$137:$A$220,0),MATCH(G566,'ei names mapping'!$B$136:$BK$136,0))</f>
        <v>2.9940119760479042E-5</v>
      </c>
      <c r="C566" s="12" t="str">
        <f>INDEX('ei names mapping'!$B$38:$BK$67,MATCH(B537,'ei names mapping'!$A$4:$A$33,0),MATCH(G566,'ei names mapping'!$B$3:$BK$3,0))</f>
        <v>CH</v>
      </c>
      <c r="D566" s="12" t="str">
        <f>INDEX('ei names mapping'!$B$104:$BK$133,MATCH(B537,'ei names mapping'!$A$4:$A$33,0),MATCH(G566,'ei names mapping'!$B$3:$BK$3,0))</f>
        <v>unit</v>
      </c>
      <c r="F566" s="12" t="s">
        <v>91</v>
      </c>
      <c r="G566" s="12" t="s">
        <v>123</v>
      </c>
      <c r="H566" s="12" t="str">
        <f>INDEX('ei names mapping'!$B$71:$BK$100,MATCH(B537,'ei names mapping'!$A$4:$A$33,0),MATCH(G566,'ei names mapping'!$B$3:$BK$3,0))</f>
        <v>maintenance, motor scooter</v>
      </c>
    </row>
    <row r="567" spans="1:8" x14ac:dyDescent="0.3">
      <c r="A567" s="12" t="str">
        <f>INDEX('ei names mapping'!$B$4:$R$33,MATCH(B537,'ei names mapping'!$A$4:$A$33,0),MATCH(G567,'ei names mapping'!$B$3:$R$3,0))</f>
        <v>petrol blending for two-stroke engines</v>
      </c>
      <c r="B567" s="16">
        <f>INDEX('vehicles specifications'!$B$3:$CK$86,MATCH(B540,'vehicles specifications'!$A$3:$A$86,0),MATCH(G567,'vehicles specifications'!$B$2:$CK$2,0))*INDEX('ei names mapping'!$B$137:$BK$220,MATCH(B540,'ei names mapping'!$A$137:$A$220,0),MATCH(G567,'ei names mapping'!$B$136:$BK$136,0))</f>
        <v>1.902129834749515E-2</v>
      </c>
      <c r="C567" s="12" t="str">
        <f>INDEX('ei names mapping'!$B$38:$BK$67,MATCH(B537,'ei names mapping'!$A$4:$A$33,0),MATCH(G567,'ei names mapping'!$B$3:$BK$3,0))</f>
        <v>CH</v>
      </c>
      <c r="D567" s="12" t="str">
        <f>INDEX('ei names mapping'!$B$104:$BK$133,MATCH(B537,'ei names mapping'!$A$4:$A$33,0),MATCH(G567,'ei names mapping'!$B$3:$BK$3,0))</f>
        <v>kilogram</v>
      </c>
      <c r="F567" s="12" t="s">
        <v>91</v>
      </c>
      <c r="G567" s="12" t="s">
        <v>27</v>
      </c>
      <c r="H567" s="12" t="str">
        <f>INDEX('ei names mapping'!$B$71:$BK$100,MATCH(B537,'ei names mapping'!$A$4:$A$33,0),MATCH(G567,'ei names mapping'!$B$3:$BK$3,0))</f>
        <v>petrol, two-stroke blend</v>
      </c>
    </row>
    <row r="568" spans="1:8" x14ac:dyDescent="0.3">
      <c r="A568" s="12" t="str">
        <f>INDEX('ei names mapping'!$B$4:$BK$33,MATCH(B537,'ei names mapping'!$A$4:$A$33,0),MATCH(G568,'ei names mapping'!$B$3:$BK$3,0))</f>
        <v>Carbon dioxide, fossil</v>
      </c>
      <c r="B568" s="16">
        <f>INDEX('vehicles specifications'!$B$3:$CK$86,MATCH(B540,'vehicles specifications'!$A$3:$A$86,0),MATCH(G568,'vehicles specifications'!$B$2:$CK$2,0))*INDEX('ei names mapping'!$B$137:$BK$220,MATCH(B540,'ei names mapping'!$A$137:$A$220,0),MATCH(G568,'ei names mapping'!$B$136:$BK$136,0))</f>
        <v>6.048772874503458E-2</v>
      </c>
      <c r="C568" s="12"/>
      <c r="D568" s="12" t="str">
        <f>INDEX('ei names mapping'!$B$104:$BK$133,MATCH(B537,'ei names mapping'!$A$4:$A$33,0),MATCH(G568,'ei names mapping'!$B$3:$BK$3,0))</f>
        <v>kilogram</v>
      </c>
      <c r="E568" s="12" t="str">
        <f>INDEX('ei names mapping'!$B$225:$BK$255,MATCH(B537,'ei names mapping'!$A$4:$A$33,0),MATCH(G568,'ei names mapping'!$B$3:$BK$3,0))</f>
        <v>air</v>
      </c>
      <c r="F568" s="12" t="s">
        <v>173</v>
      </c>
      <c r="G568" t="s">
        <v>67</v>
      </c>
      <c r="H568" s="12"/>
    </row>
    <row r="569" spans="1:8" x14ac:dyDescent="0.3">
      <c r="A569" s="12" t="str">
        <f>INDEX('ei names mapping'!$B$4:$BK$33,MATCH(B537,'ei names mapping'!$A$4:$A$33,0),MATCH(G569,'ei names mapping'!$B$3:$BK$3,0))</f>
        <v>Sulfur dioxide</v>
      </c>
      <c r="B569" s="15">
        <f>INDEX('vehicles specifications'!$B$3:$CK$86,MATCH(B540,'vehicles specifications'!$A$3:$A$86,0),MATCH(G569,'vehicles specifications'!$B$2:$CK$2,0))*INDEX('ei names mapping'!$B$137:$BK$220,MATCH(B540,'ei names mapping'!$A$137:$A$220,0),MATCH(G569,'ei names mapping'!$B$136:$BK$136,0))</f>
        <v>3.0434077355992238E-7</v>
      </c>
      <c r="C569" s="12"/>
      <c r="D569" s="12" t="str">
        <f>INDEX('ei names mapping'!$B$104:$BK$133,MATCH(B537,'ei names mapping'!$A$4:$A$33,0),MATCH(G569,'ei names mapping'!$B$3:$BK$3,0))</f>
        <v>kilogram</v>
      </c>
      <c r="E569" s="12" t="str">
        <f>INDEX('ei names mapping'!$B$225:$BK$255,MATCH(B537,'ei names mapping'!$A$4:$A$33,0),MATCH(G569,'ei names mapping'!$B$3:$BK$3,0))</f>
        <v>air</v>
      </c>
      <c r="F569" s="12" t="s">
        <v>173</v>
      </c>
      <c r="G569" t="s">
        <v>68</v>
      </c>
      <c r="H569" s="12"/>
    </row>
    <row r="570" spans="1:8" x14ac:dyDescent="0.3">
      <c r="A570" s="12" t="str">
        <f>INDEX('ei names mapping'!$B$4:$BK$33,MATCH(B537,'ei names mapping'!$A$4:$A$33,0),MATCH(G570,'ei names mapping'!$B$3:$BK$3,0))</f>
        <v>Benzene</v>
      </c>
      <c r="B570" s="15">
        <f>INDEX('vehicles specifications'!$B$3:$CK$86,MATCH(B540,'vehicles specifications'!$A$3:$A$86,0),MATCH(G570,'vehicles specifications'!$B$2:$CK$2,0))*INDEX('ei names mapping'!$B$137:$BK$220,MATCH(B540,'ei names mapping'!$A$137:$A$220,0),MATCH(G570,'ei names mapping'!$B$136:$BK$136,0))</f>
        <v>4.9037139839474579E-5</v>
      </c>
      <c r="C570" s="12"/>
      <c r="D570" s="12" t="str">
        <f>INDEX('ei names mapping'!$B$104:$BK$133,MATCH(B537,'ei names mapping'!$A$4:$A$33,0),MATCH(G570,'ei names mapping'!$B$3:$BK$3,0))</f>
        <v>kilogram</v>
      </c>
      <c r="E570" s="12" t="str">
        <f>INDEX('ei names mapping'!$B$225:$BK$255,MATCH(B537,'ei names mapping'!$A$4:$A$33,0),MATCH(G570,'ei names mapping'!$B$3:$BK$3,0))</f>
        <v>air</v>
      </c>
      <c r="F570" s="12" t="s">
        <v>173</v>
      </c>
      <c r="G570" t="s">
        <v>56</v>
      </c>
      <c r="H570" s="12"/>
    </row>
    <row r="571" spans="1:8" x14ac:dyDescent="0.3">
      <c r="A571" s="12" t="str">
        <f>INDEX('ei names mapping'!$B$4:$BK$33,MATCH(B537,'ei names mapping'!$A$4:$A$33,0),MATCH(G571,'ei names mapping'!$B$3:$BK$3,0))</f>
        <v>Methane, fossil</v>
      </c>
      <c r="B571" s="15">
        <f>INDEX('vehicles specifications'!$B$3:$CK$86,MATCH(B540,'vehicles specifications'!$A$3:$A$86,0),MATCH(G571,'vehicles specifications'!$B$2:$CK$2,0))*INDEX('ei names mapping'!$B$137:$BK$220,MATCH(B540,'ei names mapping'!$A$137:$A$220,0),MATCH(G571,'ei names mapping'!$B$136:$BK$136,0))</f>
        <v>2.2234893596900134E-5</v>
      </c>
      <c r="C571" s="12"/>
      <c r="D571" s="12" t="str">
        <f>INDEX('ei names mapping'!$B$104:$BK$133,MATCH(B537,'ei names mapping'!$A$4:$A$33,0),MATCH(G571,'ei names mapping'!$B$3:$BK$3,0))</f>
        <v>kilogram</v>
      </c>
      <c r="E571" s="12" t="str">
        <f>INDEX('ei names mapping'!$B$225:$BK$255,MATCH(B537,'ei names mapping'!$A$4:$A$33,0),MATCH(G571,'ei names mapping'!$B$3:$BK$3,0))</f>
        <v>air</v>
      </c>
      <c r="F571" s="12" t="s">
        <v>173</v>
      </c>
      <c r="G571" t="s">
        <v>57</v>
      </c>
      <c r="H571" s="12"/>
    </row>
    <row r="572" spans="1:8" x14ac:dyDescent="0.3">
      <c r="A572" s="12" t="str">
        <f>INDEX('ei names mapping'!$B$4:$BK$33,MATCH(B537,'ei names mapping'!$A$4:$A$33,0),MATCH(G572,'ei names mapping'!$B$3:$BK$3,0))</f>
        <v>Carbon monoxide, fossil</v>
      </c>
      <c r="B572" s="15">
        <f>INDEX('vehicles specifications'!$B$3:$CK$86,MATCH(B540,'vehicles specifications'!$A$3:$A$86,0),MATCH(G572,'vehicles specifications'!$B$2:$CK$2,0))*INDEX('ei names mapping'!$B$137:$BK$220,MATCH(B540,'ei names mapping'!$A$137:$A$220,0),MATCH(G572,'ei names mapping'!$B$136:$BK$136,0))</f>
        <v>2.3511140203956193E-3</v>
      </c>
      <c r="C572" s="12"/>
      <c r="D572" s="12" t="str">
        <f>INDEX('ei names mapping'!$B$104:$BK$133,MATCH(B537,'ei names mapping'!$A$4:$A$33,0),MATCH(G572,'ei names mapping'!$B$3:$BK$3,0))</f>
        <v>kilogram</v>
      </c>
      <c r="E572" s="12" t="str">
        <f>INDEX('ei names mapping'!$B$225:$BK$255,MATCH(B537,'ei names mapping'!$A$4:$A$33,0),MATCH(G572,'ei names mapping'!$B$3:$BK$3,0))</f>
        <v>air</v>
      </c>
      <c r="F572" s="12" t="s">
        <v>173</v>
      </c>
      <c r="G572" t="s">
        <v>58</v>
      </c>
      <c r="H572" s="12"/>
    </row>
    <row r="573" spans="1:8" x14ac:dyDescent="0.3">
      <c r="A573" s="12" t="str">
        <f>INDEX('ei names mapping'!$B$4:$BK$33,MATCH(B537,'ei names mapping'!$A$4:$A$33,0),MATCH(G573,'ei names mapping'!$B$3:$BK$3,0))</f>
        <v>Dinitrogen monoxide</v>
      </c>
      <c r="B573" s="15">
        <f>INDEX('vehicles specifications'!$B$3:$CK$86,MATCH(B540,'vehicles specifications'!$A$3:$A$86,0),MATCH(G573,'vehicles specifications'!$B$2:$CK$2,0))*INDEX('ei names mapping'!$B$137:$BK$220,MATCH(B540,'ei names mapping'!$A$137:$A$220,0),MATCH(G573,'ei names mapping'!$B$136:$BK$136,0))</f>
        <v>1.1281021611821482E-6</v>
      </c>
      <c r="C573" s="12"/>
      <c r="D573" s="12" t="str">
        <f>INDEX('ei names mapping'!$B$104:$BK$133,MATCH(B537,'ei names mapping'!$A$4:$A$33,0),MATCH(G573,'ei names mapping'!$B$3:$BK$3,0))</f>
        <v>kilogram</v>
      </c>
      <c r="E573" s="12" t="str">
        <f>INDEX('ei names mapping'!$B$225:$BK$255,MATCH(B537,'ei names mapping'!$A$4:$A$33,0),MATCH(G573,'ei names mapping'!$B$3:$BK$3,0))</f>
        <v>air</v>
      </c>
      <c r="F573" s="12" t="s">
        <v>173</v>
      </c>
      <c r="G573" t="s">
        <v>59</v>
      </c>
      <c r="H573" s="12"/>
    </row>
    <row r="574" spans="1:8" x14ac:dyDescent="0.3">
      <c r="A574" s="12" t="str">
        <f>INDEX('ei names mapping'!$B$4:$BK$33,MATCH(B537,'ei names mapping'!$A$4:$A$33,0),MATCH(G574,'ei names mapping'!$B$3:$BK$3,0))</f>
        <v>Ammonia</v>
      </c>
      <c r="B574" s="15">
        <f>INDEX('vehicles specifications'!$B$3:$CK$86,MATCH(B540,'vehicles specifications'!$A$3:$A$86,0),MATCH(G574,'vehicles specifications'!$B$2:$CK$2,0))*INDEX('ei names mapping'!$B$137:$BK$220,MATCH(B540,'ei names mapping'!$A$137:$A$220,0),MATCH(G574,'ei names mapping'!$B$136:$BK$136,0))</f>
        <v>1.1281021611821482E-6</v>
      </c>
      <c r="C574" s="12"/>
      <c r="D574" s="12" t="str">
        <f>INDEX('ei names mapping'!$B$104:$BK$133,MATCH(B537,'ei names mapping'!$A$4:$A$33,0),MATCH(G574,'ei names mapping'!$B$3:$BK$3,0))</f>
        <v>kilogram</v>
      </c>
      <c r="E574" s="12" t="str">
        <f>INDEX('ei names mapping'!$B$225:$BK$255,MATCH(B537,'ei names mapping'!$A$4:$A$33,0),MATCH(G574,'ei names mapping'!$B$3:$BK$3,0))</f>
        <v>air</v>
      </c>
      <c r="F574" s="12" t="s">
        <v>173</v>
      </c>
      <c r="G574" t="s">
        <v>60</v>
      </c>
      <c r="H574" s="12"/>
    </row>
    <row r="575" spans="1:8" x14ac:dyDescent="0.3">
      <c r="A575" s="12" t="str">
        <f>INDEX('ei names mapping'!$B$4:$BK$33,MATCH(B537,'ei names mapping'!$A$4:$A$33,0),MATCH(G575,'ei names mapping'!$B$3:$BK$3,0))</f>
        <v>Nitrogen oxides</v>
      </c>
      <c r="B575" s="15">
        <f>INDEX('vehicles specifications'!$B$3:$CK$86,MATCH(B540,'vehicles specifications'!$A$3:$A$86,0),MATCH(G575,'vehicles specifications'!$B$2:$CK$2,0))*INDEX('ei names mapping'!$B$137:$BK$220,MATCH(B540,'ei names mapping'!$A$137:$A$220,0),MATCH(G575,'ei names mapping'!$B$136:$BK$136,0))</f>
        <v>8.4597180733547286E-5</v>
      </c>
      <c r="C575" s="12"/>
      <c r="D575" s="12" t="str">
        <f>INDEX('ei names mapping'!$B$104:$BK$133,MATCH(B537,'ei names mapping'!$A$4:$A$33,0),MATCH(G575,'ei names mapping'!$B$3:$BK$3,0))</f>
        <v>kilogram</v>
      </c>
      <c r="E575" s="12" t="str">
        <f>INDEX('ei names mapping'!$B$225:$BK$255,MATCH(B537,'ei names mapping'!$A$4:$A$33,0),MATCH(G575,'ei names mapping'!$B$3:$BK$3,0))</f>
        <v>air</v>
      </c>
      <c r="F575" s="12" t="s">
        <v>173</v>
      </c>
      <c r="G575" s="12" t="s">
        <v>61</v>
      </c>
      <c r="H575" s="12"/>
    </row>
    <row r="576" spans="1:8" x14ac:dyDescent="0.3">
      <c r="A576" s="12" t="str">
        <f>INDEX('ei names mapping'!$B$4:$BK$33,MATCH(B537,'ei names mapping'!$A$4:$A$33,0),MATCH(G576,'ei names mapping'!$B$3:$BK$3,0))</f>
        <v>Particulates, &lt; 2.5 um</v>
      </c>
      <c r="B576" s="15">
        <f>INDEX('vehicles specifications'!$B$3:$CK$86,MATCH(B$540,'vehicles specifications'!$A$3:$A$86,0),MATCH(G576,'vehicles specifications'!$B$2:$CK$2,0))*INDEX('ei names mapping'!$B$137:$BK$220,MATCH(B$540,'ei names mapping'!$A$137:$A$220,0),MATCH(G576,'ei names mapping'!$B$136:$BK$136,0))</f>
        <v>6.4786907116690766E-6</v>
      </c>
      <c r="C576" s="12"/>
      <c r="D576" s="12" t="str">
        <f>INDEX('ei names mapping'!$B$104:$BK$133,MATCH(B537,'ei names mapping'!$A$4:$A$33,0),MATCH(G576,'ei names mapping'!$B$3:$BK$3,0))</f>
        <v>kilogram</v>
      </c>
      <c r="E576" s="12" t="str">
        <f>INDEX('ei names mapping'!$B$225:$BK$255,MATCH(B537,'ei names mapping'!$A$4:$A$33,0),MATCH(G576,'ei names mapping'!$B$3:$BK$3,0))</f>
        <v>air</v>
      </c>
      <c r="F576" s="12" t="s">
        <v>173</v>
      </c>
      <c r="G576" s="12" t="s">
        <v>63</v>
      </c>
      <c r="H576" s="12"/>
    </row>
    <row r="577" spans="1:8" s="21" customFormat="1" x14ac:dyDescent="0.3">
      <c r="A577" s="12" t="str">
        <f>INDEX('ei names mapping'!$B$4:$BK$33,MATCH(B$229,'ei names mapping'!$A$4:$A$33,0),MATCH(G577,'ei names mapping'!$B$3:$BK$3,0))</f>
        <v>NMVOC, non-methane volatile organic compounds, unspecified origin</v>
      </c>
      <c r="B577" s="15">
        <f>INDEX('vehicles specifications'!$B$3:$CK$86,MATCH(B$540,'vehicles specifications'!$A$3:$A$86,0),MATCH(G577,'vehicles specifications'!$B$2:$CK$2,0))*INDEX('ei names mapping'!$B$137:$BK$220,MATCH(B$540,'ei names mapping'!$A$137:$A$220,0),MATCH(G577,'ei names mapping'!$B$136:$BK$136,0))</f>
        <v>3.9544388704774156E-4</v>
      </c>
      <c r="C577" s="12"/>
      <c r="D577" s="12" t="str">
        <f>INDEX('ei names mapping'!$B$104:$BK$133,MATCH(B$229,'ei names mapping'!$A$4:$A$33,0),MATCH(G577,'ei names mapping'!$B$3:$BK$3,0))</f>
        <v>kilogram</v>
      </c>
      <c r="E577" s="12" t="str">
        <f>INDEX('ei names mapping'!$B$225:$BK$255,MATCH(B$229,'ei names mapping'!$A$4:$A$33,0),MATCH(G577,'ei names mapping'!$B$3:$BK$3,0))</f>
        <v>air</v>
      </c>
      <c r="F577" s="12" t="s">
        <v>173</v>
      </c>
      <c r="G577" s="12" t="s">
        <v>659</v>
      </c>
      <c r="H577" s="12"/>
    </row>
    <row r="578" spans="1:8" s="21" customFormat="1" x14ac:dyDescent="0.3">
      <c r="A578" s="12" t="str">
        <f>INDEX('ei names mapping'!$B$4:$BK$33,MATCH(B$229,'ei names mapping'!$A$4:$A$33,0),MATCH(G578,'ei names mapping'!$B$3:$BK$3,0))</f>
        <v>Ethane</v>
      </c>
      <c r="B578" s="15">
        <f>INDEX('vehicles specifications'!$B$3:$CK$86,MATCH(B$540,'vehicles specifications'!$A$3:$A$86,0),MATCH(G578,'vehicles specifications'!$B$2:$CK$2,0))*INDEX('ei names mapping'!$B$137:$BK$220,MATCH(B$540,'ei names mapping'!$A$137:$A$220,0),MATCH(G578,'ei names mapping'!$B$136:$BK$136,0))</f>
        <v>2.7883863830289469E-5</v>
      </c>
      <c r="C578" s="12"/>
      <c r="D578" s="12" t="str">
        <f>INDEX('ei names mapping'!$B$104:$BK$133,MATCH(B$229,'ei names mapping'!$A$4:$A$33,0),MATCH(G578,'ei names mapping'!$B$3:$BK$3,0))</f>
        <v>kilogram</v>
      </c>
      <c r="E578" s="12" t="str">
        <f>INDEX('ei names mapping'!$B$225:$BK$255,MATCH(B$229,'ei names mapping'!$A$4:$A$33,0),MATCH(G578,'ei names mapping'!$B$3:$BK$3,0))</f>
        <v>air</v>
      </c>
      <c r="F578" s="12" t="s">
        <v>173</v>
      </c>
      <c r="G578" s="12" t="s">
        <v>603</v>
      </c>
      <c r="H578" s="12"/>
    </row>
    <row r="579" spans="1:8" s="21" customFormat="1" x14ac:dyDescent="0.3">
      <c r="A579" s="12" t="str">
        <f>INDEX('ei names mapping'!$B$4:$BK$33,MATCH(B$229,'ei names mapping'!$A$4:$A$33,0),MATCH(G579,'ei names mapping'!$B$3:$BK$3,0))</f>
        <v>Propane</v>
      </c>
      <c r="B579" s="15">
        <f>INDEX('vehicles specifications'!$B$3:$CK$86,MATCH(B$540,'vehicles specifications'!$A$3:$A$86,0),MATCH(G579,'vehicles specifications'!$B$2:$CK$2,0))*INDEX('ei names mapping'!$B$137:$BK$220,MATCH(B$540,'ei names mapping'!$A$137:$A$220,0),MATCH(G579,'ei names mapping'!$B$136:$BK$136,0))</f>
        <v>5.6816650437893903E-6</v>
      </c>
      <c r="C579" s="12"/>
      <c r="D579" s="12" t="str">
        <f>INDEX('ei names mapping'!$B$104:$BK$133,MATCH(B$229,'ei names mapping'!$A$4:$A$33,0),MATCH(G579,'ei names mapping'!$B$3:$BK$3,0))</f>
        <v>kilogram</v>
      </c>
      <c r="E579" s="12" t="str">
        <f>INDEX('ei names mapping'!$B$225:$BK$255,MATCH(B$229,'ei names mapping'!$A$4:$A$33,0),MATCH(G579,'ei names mapping'!$B$3:$BK$3,0))</f>
        <v>air</v>
      </c>
      <c r="F579" s="12" t="s">
        <v>173</v>
      </c>
      <c r="G579" s="12" t="s">
        <v>604</v>
      </c>
      <c r="H579" s="12"/>
    </row>
    <row r="580" spans="1:8" s="21" customFormat="1" x14ac:dyDescent="0.3">
      <c r="A580" s="12" t="str">
        <f>INDEX('ei names mapping'!$B$4:$BK$33,MATCH(B$229,'ei names mapping'!$A$4:$A$33,0),MATCH(G580,'ei names mapping'!$B$3:$BK$3,0))</f>
        <v>Butane</v>
      </c>
      <c r="B580" s="15">
        <f>INDEX('vehicles specifications'!$B$3:$CK$86,MATCH(B$540,'vehicles specifications'!$A$3:$A$86,0),MATCH(G580,'vehicles specifications'!$B$2:$CK$2,0))*INDEX('ei names mapping'!$B$137:$BK$220,MATCH(B$540,'ei names mapping'!$A$137:$A$220,0),MATCH(G580,'ei names mapping'!$B$136:$BK$136,0))</f>
        <v>4.5802961276086779E-5</v>
      </c>
      <c r="C580" s="12"/>
      <c r="D580" s="12" t="str">
        <f>INDEX('ei names mapping'!$B$104:$BK$133,MATCH(B$229,'ei names mapping'!$A$4:$A$33,0),MATCH(G580,'ei names mapping'!$B$3:$BK$3,0))</f>
        <v>kilogram</v>
      </c>
      <c r="E580" s="12" t="str">
        <f>INDEX('ei names mapping'!$B$225:$BK$255,MATCH(B$229,'ei names mapping'!$A$4:$A$33,0),MATCH(G580,'ei names mapping'!$B$3:$BK$3,0))</f>
        <v>air</v>
      </c>
      <c r="F580" s="12" t="s">
        <v>173</v>
      </c>
      <c r="G580" s="12" t="s">
        <v>605</v>
      </c>
      <c r="H580" s="12"/>
    </row>
    <row r="581" spans="1:8" s="21" customFormat="1" x14ac:dyDescent="0.3">
      <c r="A581" s="12" t="str">
        <f>INDEX('ei names mapping'!$B$4:$BK$33,MATCH(B$229,'ei names mapping'!$A$4:$A$33,0),MATCH(G581,'ei names mapping'!$B$3:$BK$3,0))</f>
        <v>Pentane</v>
      </c>
      <c r="B581" s="15">
        <f>INDEX('vehicles specifications'!$B$3:$CK$86,MATCH(B$540,'vehicles specifications'!$A$3:$A$86,0),MATCH(G581,'vehicles specifications'!$B$2:$CK$2,0))*INDEX('ei names mapping'!$B$137:$BK$220,MATCH(B$540,'ei names mapping'!$A$137:$A$220,0),MATCH(G581,'ei names mapping'!$B$136:$BK$136,0))</f>
        <v>1.8793199760226445E-5</v>
      </c>
      <c r="C581" s="12"/>
      <c r="D581" s="12" t="str">
        <f>INDEX('ei names mapping'!$B$104:$BK$133,MATCH(B$229,'ei names mapping'!$A$4:$A$33,0),MATCH(G581,'ei names mapping'!$B$3:$BK$3,0))</f>
        <v>kilogram</v>
      </c>
      <c r="E581" s="12" t="str">
        <f>INDEX('ei names mapping'!$B$225:$BK$255,MATCH(B$229,'ei names mapping'!$A$4:$A$33,0),MATCH(G581,'ei names mapping'!$B$3:$BK$3,0))</f>
        <v>air</v>
      </c>
      <c r="F581" s="12" t="s">
        <v>173</v>
      </c>
      <c r="G581" s="12" t="s">
        <v>606</v>
      </c>
      <c r="H581" s="12"/>
    </row>
    <row r="582" spans="1:8" s="21" customFormat="1" x14ac:dyDescent="0.3">
      <c r="A582" s="12" t="str">
        <f>INDEX('ei names mapping'!$B$4:$BK$33,MATCH(B$229,'ei names mapping'!$A$4:$A$33,0),MATCH(G582,'ei names mapping'!$B$3:$BK$3,0))</f>
        <v>Hexane</v>
      </c>
      <c r="B582" s="15">
        <f>INDEX('vehicles specifications'!$B$3:$CK$86,MATCH(B$540,'vehicles specifications'!$A$3:$A$86,0),MATCH(G582,'vehicles specifications'!$B$2:$CK$2,0))*INDEX('ei names mapping'!$B$137:$BK$220,MATCH(B$540,'ei names mapping'!$A$137:$A$220,0),MATCH(G582,'ei names mapping'!$B$136:$BK$136,0))</f>
        <v>1.4073047262309106E-5</v>
      </c>
      <c r="C582" s="12"/>
      <c r="D582" s="12" t="str">
        <f>INDEX('ei names mapping'!$B$104:$BK$133,MATCH(B$229,'ei names mapping'!$A$4:$A$33,0),MATCH(G582,'ei names mapping'!$B$3:$BK$3,0))</f>
        <v>kilogram</v>
      </c>
      <c r="E582" s="12" t="str">
        <f>INDEX('ei names mapping'!$B$225:$BK$255,MATCH(B$229,'ei names mapping'!$A$4:$A$33,0),MATCH(G582,'ei names mapping'!$B$3:$BK$3,0))</f>
        <v>air</v>
      </c>
      <c r="F582" s="12" t="s">
        <v>173</v>
      </c>
      <c r="G582" s="12" t="s">
        <v>607</v>
      </c>
      <c r="H582" s="12"/>
    </row>
    <row r="583" spans="1:8" s="21" customFormat="1" x14ac:dyDescent="0.3">
      <c r="A583" s="12" t="str">
        <f>INDEX('ei names mapping'!$B$4:$BK$33,MATCH(B$229,'ei names mapping'!$A$4:$A$33,0),MATCH(G583,'ei names mapping'!$B$3:$BK$3,0))</f>
        <v>Cyclohexane</v>
      </c>
      <c r="B583" s="15">
        <f>INDEX('vehicles specifications'!$B$3:$CK$86,MATCH(B$540,'vehicles specifications'!$A$3:$A$86,0),MATCH(G583,'vehicles specifications'!$B$2:$CK$2,0))*INDEX('ei names mapping'!$B$137:$BK$220,MATCH(B$540,'ei names mapping'!$A$137:$A$220,0),MATCH(G583,'ei names mapping'!$B$136:$BK$136,0))</f>
        <v>9.9647663844921616E-6</v>
      </c>
      <c r="C583" s="12"/>
      <c r="D583" s="12" t="str">
        <f>INDEX('ei names mapping'!$B$104:$BK$133,MATCH(B$229,'ei names mapping'!$A$4:$A$33,0),MATCH(G583,'ei names mapping'!$B$3:$BK$3,0))</f>
        <v>kilogram</v>
      </c>
      <c r="E583" s="12" t="str">
        <f>INDEX('ei names mapping'!$B$225:$BK$255,MATCH(B$229,'ei names mapping'!$A$4:$A$33,0),MATCH(G583,'ei names mapping'!$B$3:$BK$3,0))</f>
        <v>air</v>
      </c>
      <c r="F583" s="12" t="s">
        <v>173</v>
      </c>
      <c r="G583" s="12" t="s">
        <v>608</v>
      </c>
      <c r="H583" s="12"/>
    </row>
    <row r="584" spans="1:8" s="21" customFormat="1" x14ac:dyDescent="0.3">
      <c r="A584" s="12" t="str">
        <f>INDEX('ei names mapping'!$B$4:$BK$33,MATCH(B$229,'ei names mapping'!$A$4:$A$33,0),MATCH(G584,'ei names mapping'!$B$3:$BK$3,0))</f>
        <v>Heptane</v>
      </c>
      <c r="B584" s="15">
        <f>INDEX('vehicles specifications'!$B$3:$CK$86,MATCH(B$540,'vehicles specifications'!$A$3:$A$86,0),MATCH(G584,'vehicles specifications'!$B$2:$CK$2,0))*INDEX('ei names mapping'!$B$137:$BK$220,MATCH(B$540,'ei names mapping'!$A$137:$A$220,0),MATCH(G584,'ei names mapping'!$B$136:$BK$136,0))</f>
        <v>6.4683571267756131E-6</v>
      </c>
      <c r="C584" s="12"/>
      <c r="D584" s="12" t="str">
        <f>INDEX('ei names mapping'!$B$104:$BK$133,MATCH(B$229,'ei names mapping'!$A$4:$A$33,0),MATCH(G584,'ei names mapping'!$B$3:$BK$3,0))</f>
        <v>kilogram</v>
      </c>
      <c r="E584" s="12" t="str">
        <f>INDEX('ei names mapping'!$B$225:$BK$255,MATCH(B$229,'ei names mapping'!$A$4:$A$33,0),MATCH(G584,'ei names mapping'!$B$3:$BK$3,0))</f>
        <v>air</v>
      </c>
      <c r="F584" s="12" t="s">
        <v>173</v>
      </c>
      <c r="G584" s="12" t="s">
        <v>609</v>
      </c>
      <c r="H584" s="12"/>
    </row>
    <row r="585" spans="1:8" s="21" customFormat="1" x14ac:dyDescent="0.3">
      <c r="A585" s="12" t="str">
        <f>INDEX('ei names mapping'!$B$4:$BK$33,MATCH(B$229,'ei names mapping'!$A$4:$A$33,0),MATCH(G585,'ei names mapping'!$B$3:$BK$3,0))</f>
        <v>Ethene</v>
      </c>
      <c r="B585" s="15">
        <f>INDEX('vehicles specifications'!$B$3:$CK$86,MATCH(B$540,'vehicles specifications'!$A$3:$A$86,0),MATCH(G585,'vehicles specifications'!$B$2:$CK$2,0))*INDEX('ei names mapping'!$B$137:$BK$220,MATCH(B$540,'ei names mapping'!$A$137:$A$220,0),MATCH(G585,'ei names mapping'!$B$136:$BK$136,0))</f>
        <v>6.3809468953327002E-5</v>
      </c>
      <c r="C585" s="12"/>
      <c r="D585" s="12" t="str">
        <f>INDEX('ei names mapping'!$B$104:$BK$133,MATCH(B$229,'ei names mapping'!$A$4:$A$33,0),MATCH(G585,'ei names mapping'!$B$3:$BK$3,0))</f>
        <v>kilogram</v>
      </c>
      <c r="E585" s="12" t="str">
        <f>INDEX('ei names mapping'!$B$225:$BK$255,MATCH(B$229,'ei names mapping'!$A$4:$A$33,0),MATCH(G585,'ei names mapping'!$B$3:$BK$3,0))</f>
        <v>air</v>
      </c>
      <c r="F585" s="12" t="s">
        <v>173</v>
      </c>
      <c r="G585" s="12" t="s">
        <v>610</v>
      </c>
      <c r="H585" s="12"/>
    </row>
    <row r="586" spans="1:8" s="21" customFormat="1" x14ac:dyDescent="0.3">
      <c r="A586" s="12" t="str">
        <f>INDEX('ei names mapping'!$B$4:$BK$33,MATCH(B$229,'ei names mapping'!$A$4:$A$33,0),MATCH(G586,'ei names mapping'!$B$3:$BK$3,0))</f>
        <v>Propene</v>
      </c>
      <c r="B586" s="15">
        <f>INDEX('vehicles specifications'!$B$3:$CK$86,MATCH(B$540,'vehicles specifications'!$A$3:$A$86,0),MATCH(G586,'vehicles specifications'!$B$2:$CK$2,0))*INDEX('ei names mapping'!$B$137:$BK$220,MATCH(B$540,'ei names mapping'!$A$137:$A$220,0),MATCH(G586,'ei names mapping'!$B$136:$BK$136,0))</f>
        <v>3.3390708411193032E-5</v>
      </c>
      <c r="C586" s="12"/>
      <c r="D586" s="12" t="str">
        <f>INDEX('ei names mapping'!$B$104:$BK$133,MATCH(B$229,'ei names mapping'!$A$4:$A$33,0),MATCH(G586,'ei names mapping'!$B$3:$BK$3,0))</f>
        <v>kilogram</v>
      </c>
      <c r="E586" s="12" t="str">
        <f>INDEX('ei names mapping'!$B$225:$BK$255,MATCH(B$229,'ei names mapping'!$A$4:$A$33,0),MATCH(G586,'ei names mapping'!$B$3:$BK$3,0))</f>
        <v>air</v>
      </c>
      <c r="F586" s="12" t="s">
        <v>173</v>
      </c>
      <c r="G586" s="12" t="s">
        <v>611</v>
      </c>
      <c r="H586" s="12"/>
    </row>
    <row r="587" spans="1:8" s="21" customFormat="1" x14ac:dyDescent="0.3">
      <c r="A587" s="12" t="str">
        <f>INDEX('ei names mapping'!$B$4:$BK$33,MATCH(B$229,'ei names mapping'!$A$4:$A$33,0),MATCH(G587,'ei names mapping'!$B$3:$BK$3,0))</f>
        <v>1-Pentene</v>
      </c>
      <c r="B587" s="15">
        <f>INDEX('vehicles specifications'!$B$3:$CK$86,MATCH(B$540,'vehicles specifications'!$A$3:$A$86,0),MATCH(G587,'vehicles specifications'!$B$2:$CK$2,0))*INDEX('ei names mapping'!$B$137:$BK$220,MATCH(B$540,'ei names mapping'!$A$137:$A$220,0),MATCH(G587,'ei names mapping'!$B$136:$BK$136,0))</f>
        <v>9.6151254587205081E-7</v>
      </c>
      <c r="C587" s="12"/>
      <c r="D587" s="12" t="str">
        <f>INDEX('ei names mapping'!$B$104:$BK$133,MATCH(B$229,'ei names mapping'!$A$4:$A$33,0),MATCH(G587,'ei names mapping'!$B$3:$BK$3,0))</f>
        <v>kilogram</v>
      </c>
      <c r="E587" s="12" t="str">
        <f>INDEX('ei names mapping'!$B$225:$BK$255,MATCH(B$229,'ei names mapping'!$A$4:$A$33,0),MATCH(G587,'ei names mapping'!$B$3:$BK$3,0))</f>
        <v>air</v>
      </c>
      <c r="F587" s="12" t="s">
        <v>173</v>
      </c>
      <c r="G587" s="12" t="s">
        <v>612</v>
      </c>
      <c r="H587" s="12"/>
    </row>
    <row r="588" spans="1:8" s="21" customFormat="1" x14ac:dyDescent="0.3">
      <c r="A588" s="12" t="str">
        <f>INDEX('ei names mapping'!$B$4:$BK$33,MATCH(B$229,'ei names mapping'!$A$4:$A$33,0),MATCH(G588,'ei names mapping'!$B$3:$BK$3,0))</f>
        <v>Toluene</v>
      </c>
      <c r="B588" s="15">
        <f>INDEX('vehicles specifications'!$B$3:$CK$86,MATCH(B$540,'vehicles specifications'!$A$3:$A$86,0),MATCH(G588,'vehicles specifications'!$B$2:$CK$2,0))*INDEX('ei names mapping'!$B$137:$BK$220,MATCH(B$540,'ei names mapping'!$A$137:$A$220,0),MATCH(G588,'ei names mapping'!$B$136:$BK$136,0))</f>
        <v>9.5976434124319234E-5</v>
      </c>
      <c r="C588" s="12"/>
      <c r="D588" s="12" t="str">
        <f>INDEX('ei names mapping'!$B$104:$BK$133,MATCH(B$229,'ei names mapping'!$A$4:$A$33,0),MATCH(G588,'ei names mapping'!$B$3:$BK$3,0))</f>
        <v>kilogram</v>
      </c>
      <c r="E588" s="12" t="str">
        <f>INDEX('ei names mapping'!$B$225:$BK$255,MATCH(B$229,'ei names mapping'!$A$4:$A$33,0),MATCH(G588,'ei names mapping'!$B$3:$BK$3,0))</f>
        <v>air</v>
      </c>
      <c r="F588" s="12" t="s">
        <v>173</v>
      </c>
      <c r="G588" s="12" t="s">
        <v>613</v>
      </c>
      <c r="H588" s="12"/>
    </row>
    <row r="589" spans="1:8" s="21" customFormat="1" x14ac:dyDescent="0.3">
      <c r="A589" s="12" t="str">
        <f>INDEX('ei names mapping'!$B$4:$BK$33,MATCH(B$229,'ei names mapping'!$A$4:$A$33,0),MATCH(G589,'ei names mapping'!$B$3:$BK$3,0))</f>
        <v>m-Xylene</v>
      </c>
      <c r="B589" s="15">
        <f>INDEX('vehicles specifications'!$B$3:$CK$86,MATCH(B$540,'vehicles specifications'!$A$3:$A$86,0),MATCH(G589,'vehicles specifications'!$B$2:$CK$2,0))*INDEX('ei names mapping'!$B$137:$BK$220,MATCH(B$540,'ei names mapping'!$A$137:$A$220,0),MATCH(G589,'ei names mapping'!$B$136:$BK$136,0))</f>
        <v>4.7463755673502142E-5</v>
      </c>
      <c r="C589" s="12"/>
      <c r="D589" s="12" t="str">
        <f>INDEX('ei names mapping'!$B$104:$BK$133,MATCH(B$229,'ei names mapping'!$A$4:$A$33,0),MATCH(G589,'ei names mapping'!$B$3:$BK$3,0))</f>
        <v>kilogram</v>
      </c>
      <c r="E589" s="12" t="str">
        <f>INDEX('ei names mapping'!$B$225:$BK$255,MATCH(B$229,'ei names mapping'!$A$4:$A$33,0),MATCH(G589,'ei names mapping'!$B$3:$BK$3,0))</f>
        <v>air</v>
      </c>
      <c r="F589" s="12" t="s">
        <v>173</v>
      </c>
      <c r="G589" s="12" t="s">
        <v>614</v>
      </c>
      <c r="H589" s="12"/>
    </row>
    <row r="590" spans="1:8" s="21" customFormat="1" x14ac:dyDescent="0.3">
      <c r="A590" s="12" t="str">
        <f>INDEX('ei names mapping'!$B$4:$BK$33,MATCH(B$229,'ei names mapping'!$A$4:$A$33,0),MATCH(G590,'ei names mapping'!$B$3:$BK$3,0))</f>
        <v>o-Xylene</v>
      </c>
      <c r="B590" s="15">
        <f>INDEX('vehicles specifications'!$B$3:$CK$86,MATCH(B$540,'vehicles specifications'!$A$3:$A$86,0),MATCH(G590,'vehicles specifications'!$B$2:$CK$2,0))*INDEX('ei names mapping'!$B$137:$BK$220,MATCH(B$540,'ei names mapping'!$A$137:$A$220,0),MATCH(G590,'ei names mapping'!$B$136:$BK$136,0))</f>
        <v>1.9754712306098495E-5</v>
      </c>
      <c r="C590" s="12"/>
      <c r="D590" s="12" t="str">
        <f>INDEX('ei names mapping'!$B$104:$BK$133,MATCH(B$229,'ei names mapping'!$A$4:$A$33,0),MATCH(G590,'ei names mapping'!$B$3:$BK$3,0))</f>
        <v>kilogram</v>
      </c>
      <c r="E590" s="12" t="str">
        <f>INDEX('ei names mapping'!$B$225:$BK$255,MATCH(B$229,'ei names mapping'!$A$4:$A$33,0),MATCH(G590,'ei names mapping'!$B$3:$BK$3,0))</f>
        <v>air</v>
      </c>
      <c r="F590" s="12" t="s">
        <v>173</v>
      </c>
      <c r="G590" s="12" t="s">
        <v>615</v>
      </c>
      <c r="H590" s="12"/>
    </row>
    <row r="591" spans="1:8" s="21" customFormat="1" x14ac:dyDescent="0.3">
      <c r="A591" s="12" t="str">
        <f>INDEX('ei names mapping'!$B$4:$BK$33,MATCH(B$229,'ei names mapping'!$A$4:$A$33,0),MATCH(G591,'ei names mapping'!$B$3:$BK$3,0))</f>
        <v>Formaldehyde</v>
      </c>
      <c r="B591" s="15">
        <f>INDEX('vehicles specifications'!$B$3:$CK$86,MATCH(B$540,'vehicles specifications'!$A$3:$A$86,0),MATCH(G591,'vehicles specifications'!$B$2:$CK$2,0))*INDEX('ei names mapping'!$B$137:$BK$220,MATCH(B$540,'ei names mapping'!$A$137:$A$220,0),MATCH(G591,'ei names mapping'!$B$136:$BK$136,0))</f>
        <v>1.485973934529533E-5</v>
      </c>
      <c r="C591" s="12"/>
      <c r="D591" s="12" t="str">
        <f>INDEX('ei names mapping'!$B$104:$BK$133,MATCH(B$229,'ei names mapping'!$A$4:$A$33,0),MATCH(G591,'ei names mapping'!$B$3:$BK$3,0))</f>
        <v>kilogram</v>
      </c>
      <c r="E591" s="12" t="str">
        <f>INDEX('ei names mapping'!$B$225:$BK$255,MATCH(B$229,'ei names mapping'!$A$4:$A$33,0),MATCH(G591,'ei names mapping'!$B$3:$BK$3,0))</f>
        <v>air</v>
      </c>
      <c r="F591" s="12" t="s">
        <v>173</v>
      </c>
      <c r="G591" s="12" t="s">
        <v>616</v>
      </c>
      <c r="H591" s="12"/>
    </row>
    <row r="592" spans="1:8" s="21" customFormat="1" x14ac:dyDescent="0.3">
      <c r="A592" s="12" t="str">
        <f>INDEX('ei names mapping'!$B$4:$BK$33,MATCH(B$229,'ei names mapping'!$A$4:$A$33,0),MATCH(G592,'ei names mapping'!$B$3:$BK$3,0))</f>
        <v>Acetaldehyde</v>
      </c>
      <c r="B592" s="15">
        <f>INDEX('vehicles specifications'!$B$3:$CK$86,MATCH(B$540,'vehicles specifications'!$A$3:$A$86,0),MATCH(G592,'vehicles specifications'!$B$2:$CK$2,0))*INDEX('ei names mapping'!$B$137:$BK$220,MATCH(B$540,'ei names mapping'!$A$137:$A$220,0),MATCH(G592,'ei names mapping'!$B$136:$BK$136,0))</f>
        <v>6.5557673582185264E-6</v>
      </c>
      <c r="C592" s="12"/>
      <c r="D592" s="12" t="str">
        <f>INDEX('ei names mapping'!$B$104:$BK$133,MATCH(B$229,'ei names mapping'!$A$4:$A$33,0),MATCH(G592,'ei names mapping'!$B$3:$BK$3,0))</f>
        <v>kilogram</v>
      </c>
      <c r="E592" s="12" t="str">
        <f>INDEX('ei names mapping'!$B$225:$BK$255,MATCH(B$229,'ei names mapping'!$A$4:$A$33,0),MATCH(G592,'ei names mapping'!$B$3:$BK$3,0))</f>
        <v>air</v>
      </c>
      <c r="F592" s="12" t="s">
        <v>173</v>
      </c>
      <c r="G592" s="12" t="s">
        <v>617</v>
      </c>
      <c r="H592" s="12"/>
    </row>
    <row r="593" spans="1:8" s="21" customFormat="1" x14ac:dyDescent="0.3">
      <c r="A593" s="12" t="str">
        <f>INDEX('ei names mapping'!$B$4:$BK$33,MATCH(B$229,'ei names mapping'!$A$4:$A$33,0),MATCH(G593,'ei names mapping'!$B$3:$BK$3,0))</f>
        <v>Benzaldehyde</v>
      </c>
      <c r="B593" s="15">
        <f>INDEX('vehicles specifications'!$B$3:$CK$86,MATCH(B$540,'vehicles specifications'!$A$3:$A$86,0),MATCH(G593,'vehicles specifications'!$B$2:$CK$2,0))*INDEX('ei names mapping'!$B$137:$BK$220,MATCH(B$540,'ei names mapping'!$A$137:$A$220,0),MATCH(G593,'ei names mapping'!$B$136:$BK$136,0))</f>
        <v>1.9230250917441016E-6</v>
      </c>
      <c r="C593" s="12"/>
      <c r="D593" s="12" t="str">
        <f>INDEX('ei names mapping'!$B$104:$BK$133,MATCH(B$229,'ei names mapping'!$A$4:$A$33,0),MATCH(G593,'ei names mapping'!$B$3:$BK$3,0))</f>
        <v>kilogram</v>
      </c>
      <c r="E593" s="12" t="str">
        <f>INDEX('ei names mapping'!$B$225:$BK$255,MATCH(B$229,'ei names mapping'!$A$4:$A$33,0),MATCH(G593,'ei names mapping'!$B$3:$BK$3,0))</f>
        <v>air</v>
      </c>
      <c r="F593" s="12" t="s">
        <v>173</v>
      </c>
      <c r="G593" s="12" t="s">
        <v>618</v>
      </c>
      <c r="H593" s="12"/>
    </row>
    <row r="594" spans="1:8" s="21" customFormat="1" x14ac:dyDescent="0.3">
      <c r="A594" s="12" t="str">
        <f>INDEX('ei names mapping'!$B$4:$BK$33,MATCH(B$229,'ei names mapping'!$A$4:$A$33,0),MATCH(G594,'ei names mapping'!$B$3:$BK$3,0))</f>
        <v>Acetone</v>
      </c>
      <c r="B594" s="15">
        <f>INDEX('vehicles specifications'!$B$3:$CK$86,MATCH(B$540,'vehicles specifications'!$A$3:$A$86,0),MATCH(G594,'vehicles specifications'!$B$2:$CK$2,0))*INDEX('ei names mapping'!$B$137:$BK$220,MATCH(B$540,'ei names mapping'!$A$137:$A$220,0),MATCH(G594,'ei names mapping'!$B$136:$BK$136,0))</f>
        <v>5.3320241180177364E-6</v>
      </c>
      <c r="C594" s="12"/>
      <c r="D594" s="12" t="str">
        <f>INDEX('ei names mapping'!$B$104:$BK$133,MATCH(B$229,'ei names mapping'!$A$4:$A$33,0),MATCH(G594,'ei names mapping'!$B$3:$BK$3,0))</f>
        <v>kilogram</v>
      </c>
      <c r="E594" s="12" t="str">
        <f>INDEX('ei names mapping'!$B$225:$BK$255,MATCH(B$229,'ei names mapping'!$A$4:$A$33,0),MATCH(G594,'ei names mapping'!$B$3:$BK$3,0))</f>
        <v>air</v>
      </c>
      <c r="F594" s="12" t="s">
        <v>173</v>
      </c>
      <c r="G594" s="12" t="s">
        <v>619</v>
      </c>
      <c r="H594" s="12"/>
    </row>
    <row r="595" spans="1:8" s="21" customFormat="1" x14ac:dyDescent="0.3">
      <c r="A595" s="12" t="str">
        <f>INDEX('ei names mapping'!$B$4:$BK$33,MATCH(B$229,'ei names mapping'!$A$4:$A$33,0),MATCH(G595,'ei names mapping'!$B$3:$BK$3,0))</f>
        <v>Methyl ethyl ketone</v>
      </c>
      <c r="B595" s="15">
        <f>INDEX('vehicles specifications'!$B$3:$CK$86,MATCH(B$540,'vehicles specifications'!$A$3:$A$86,0),MATCH(G595,'vehicles specifications'!$B$2:$CK$2,0))*INDEX('ei names mapping'!$B$137:$BK$220,MATCH(B$540,'ei names mapping'!$A$137:$A$220,0),MATCH(G595,'ei names mapping'!$B$136:$BK$136,0))</f>
        <v>0</v>
      </c>
      <c r="C595" s="12"/>
      <c r="D595" s="12" t="str">
        <f>INDEX('ei names mapping'!$B$104:$BK$133,MATCH(B$229,'ei names mapping'!$A$4:$A$33,0),MATCH(G595,'ei names mapping'!$B$3:$BK$3,0))</f>
        <v>kilogram</v>
      </c>
      <c r="E595" s="12" t="str">
        <f>INDEX('ei names mapping'!$B$225:$BK$255,MATCH(B$229,'ei names mapping'!$A$4:$A$33,0),MATCH(G595,'ei names mapping'!$B$3:$BK$3,0))</f>
        <v>air</v>
      </c>
      <c r="F595" s="12" t="s">
        <v>173</v>
      </c>
      <c r="G595" s="12" t="s">
        <v>622</v>
      </c>
      <c r="H595" s="12"/>
    </row>
    <row r="596" spans="1:8" s="21" customFormat="1" x14ac:dyDescent="0.3">
      <c r="A596" s="12" t="str">
        <f>INDEX('ei names mapping'!$B$4:$BK$33,MATCH(B$229,'ei names mapping'!$A$4:$A$33,0),MATCH(G596,'ei names mapping'!$B$3:$BK$3,0))</f>
        <v>Acrolein</v>
      </c>
      <c r="B596" s="15">
        <f>INDEX('vehicles specifications'!$B$3:$CK$86,MATCH(B$540,'vehicles specifications'!$A$3:$A$86,0),MATCH(G596,'vehicles specifications'!$B$2:$CK$2,0))*INDEX('ei names mapping'!$B$137:$BK$220,MATCH(B$540,'ei names mapping'!$A$137:$A$220,0),MATCH(G596,'ei names mapping'!$B$136:$BK$136,0))</f>
        <v>1.6607943974153603E-6</v>
      </c>
      <c r="C596" s="12"/>
      <c r="D596" s="12" t="str">
        <f>INDEX('ei names mapping'!$B$104:$BK$133,MATCH(B$229,'ei names mapping'!$A$4:$A$33,0),MATCH(G596,'ei names mapping'!$B$3:$BK$3,0))</f>
        <v>kilogram</v>
      </c>
      <c r="E596" s="12" t="str">
        <f>INDEX('ei names mapping'!$B$225:$BK$255,MATCH(B$229,'ei names mapping'!$A$4:$A$33,0),MATCH(G596,'ei names mapping'!$B$3:$BK$3,0))</f>
        <v>air</v>
      </c>
      <c r="F596" s="12" t="s">
        <v>173</v>
      </c>
      <c r="G596" s="12" t="s">
        <v>620</v>
      </c>
      <c r="H596" s="12"/>
    </row>
    <row r="597" spans="1:8" s="21" customFormat="1" x14ac:dyDescent="0.3">
      <c r="A597" s="12" t="str">
        <f>INDEX('ei names mapping'!$B$4:$BK$33,MATCH(B$229,'ei names mapping'!$A$4:$A$33,0),MATCH(G597,'ei names mapping'!$B$3:$BK$3,0))</f>
        <v>Styrene</v>
      </c>
      <c r="B597" s="15">
        <f>INDEX('vehicles specifications'!$B$3:$CK$86,MATCH(B$540,'vehicles specifications'!$A$3:$A$86,0),MATCH(G597,'vehicles specifications'!$B$2:$CK$2,0))*INDEX('ei names mapping'!$B$137:$BK$220,MATCH(B$540,'ei names mapping'!$A$137:$A$220,0),MATCH(G597,'ei names mapping'!$B$136:$BK$136,0))</f>
        <v>8.8284333757342832E-6</v>
      </c>
      <c r="C597" s="12"/>
      <c r="D597" s="12" t="str">
        <f>INDEX('ei names mapping'!$B$104:$BK$133,MATCH(B$229,'ei names mapping'!$A$4:$A$33,0),MATCH(G597,'ei names mapping'!$B$3:$BK$3,0))</f>
        <v>kilogram</v>
      </c>
      <c r="E597" s="12" t="str">
        <f>INDEX('ei names mapping'!$B$225:$BK$255,MATCH(B$229,'ei names mapping'!$A$4:$A$33,0),MATCH(G597,'ei names mapping'!$B$3:$BK$3,0))</f>
        <v>air</v>
      </c>
      <c r="F597" s="12" t="s">
        <v>173</v>
      </c>
      <c r="G597" s="12" t="s">
        <v>621</v>
      </c>
      <c r="H597" s="12"/>
    </row>
    <row r="598" spans="1:8" s="21" customFormat="1" x14ac:dyDescent="0.3">
      <c r="A598" s="12" t="str">
        <f>INDEX('ei names mapping'!$B$4:$BK$33,MATCH(B$229,'ei names mapping'!$A$4:$A$33,0),MATCH(G598,'ei names mapping'!$B$3:$BK$3,0))</f>
        <v>PAH, polycyclic aromatic hydrocarbons</v>
      </c>
      <c r="B598" s="15">
        <f>INDEX('vehicles specifications'!$B$3:$CK$86,MATCH(B$540,'vehicles specifications'!$A$3:$A$86,0),MATCH(G598,'vehicles specifications'!$B$2:$CK$2,0))*INDEX('ei names mapping'!$B$137:$BK$220,MATCH(B$540,'ei names mapping'!$A$137:$A$220,0),MATCH(G598,'ei names mapping'!$B$136:$BK$136,0))</f>
        <v>2.8066306137696041E-8</v>
      </c>
      <c r="C598" s="12"/>
      <c r="D598" s="12" t="str">
        <f>INDEX('ei names mapping'!$B$104:$BK$133,MATCH(B$229,'ei names mapping'!$A$4:$A$33,0),MATCH(G598,'ei names mapping'!$B$3:$BK$3,0))</f>
        <v>kilogram</v>
      </c>
      <c r="E598" s="12" t="str">
        <f>INDEX('ei names mapping'!$B$225:$BK$255,MATCH(B$229,'ei names mapping'!$A$4:$A$33,0),MATCH(G598,'ei names mapping'!$B$3:$BK$3,0))</f>
        <v>air</v>
      </c>
      <c r="F598" s="12" t="s">
        <v>173</v>
      </c>
      <c r="G598" s="12" t="s">
        <v>623</v>
      </c>
      <c r="H598" s="12"/>
    </row>
    <row r="599" spans="1:8" s="21" customFormat="1" x14ac:dyDescent="0.3">
      <c r="A599" s="12" t="str">
        <f>INDEX('ei names mapping'!$B$4:$BK$33,MATCH(B$229,'ei names mapping'!$A$4:$A$33,0),MATCH(G599,'ei names mapping'!$B$3:$BK$3,0))</f>
        <v>Arsenic</v>
      </c>
      <c r="B599" s="15">
        <f>INDEX('vehicles specifications'!$B$3:$CK$86,MATCH(B$540,'vehicles specifications'!$A$3:$A$86,0),MATCH(G599,'vehicles specifications'!$B$2:$CK$2,0))*INDEX('ei names mapping'!$B$137:$BK$220,MATCH(B$540,'ei names mapping'!$A$137:$A$220,0),MATCH(G599,'ei names mapping'!$B$136:$BK$136,0))</f>
        <v>2.4195091498013828E-10</v>
      </c>
      <c r="C599" s="12"/>
      <c r="D599" s="12" t="str">
        <f>INDEX('ei names mapping'!$B$104:$BK$133,MATCH(B$229,'ei names mapping'!$A$4:$A$33,0),MATCH(G599,'ei names mapping'!$B$3:$BK$3,0))</f>
        <v>kilogram</v>
      </c>
      <c r="E599" s="12" t="str">
        <f>INDEX('ei names mapping'!$B$225:$BK$255,MATCH(B$229,'ei names mapping'!$A$4:$A$33,0),MATCH(G599,'ei names mapping'!$B$3:$BK$3,0))</f>
        <v>air</v>
      </c>
      <c r="F599" s="12" t="s">
        <v>173</v>
      </c>
      <c r="G599" s="12" t="s">
        <v>624</v>
      </c>
      <c r="H599" s="12"/>
    </row>
    <row r="600" spans="1:8" s="21" customFormat="1" x14ac:dyDescent="0.3">
      <c r="A600" s="12" t="str">
        <f>INDEX('ei names mapping'!$B$4:$BK$33,MATCH(B$229,'ei names mapping'!$A$4:$A$33,0),MATCH(G600,'ei names mapping'!$B$3:$BK$3,0))</f>
        <v>Selenium</v>
      </c>
      <c r="B600" s="15">
        <f>INDEX('vehicles specifications'!$B$3:$CK$86,MATCH(B$540,'vehicles specifications'!$A$3:$A$86,0),MATCH(G600,'vehicles specifications'!$B$2:$CK$2,0))*INDEX('ei names mapping'!$B$137:$BK$220,MATCH(B$540,'ei names mapping'!$A$137:$A$220,0),MATCH(G600,'ei names mapping'!$B$136:$BK$136,0))</f>
        <v>1.6130060998675886E-10</v>
      </c>
      <c r="C600" s="12"/>
      <c r="D600" s="12" t="str">
        <f>INDEX('ei names mapping'!$B$104:$BK$133,MATCH(B$229,'ei names mapping'!$A$4:$A$33,0),MATCH(G600,'ei names mapping'!$B$3:$BK$3,0))</f>
        <v>kilogram</v>
      </c>
      <c r="E600" s="12" t="str">
        <f>INDEX('ei names mapping'!$B$225:$BK$255,MATCH(B$229,'ei names mapping'!$A$4:$A$33,0),MATCH(G600,'ei names mapping'!$B$3:$BK$3,0))</f>
        <v>air</v>
      </c>
      <c r="F600" s="12" t="s">
        <v>173</v>
      </c>
      <c r="G600" s="12" t="s">
        <v>625</v>
      </c>
      <c r="H600" s="12"/>
    </row>
    <row r="601" spans="1:8" s="21" customFormat="1" x14ac:dyDescent="0.3">
      <c r="A601" s="12" t="str">
        <f>INDEX('ei names mapping'!$B$4:$BK$33,MATCH(B$229,'ei names mapping'!$A$4:$A$33,0),MATCH(G601,'ei names mapping'!$B$3:$BK$3,0))</f>
        <v>Zinc</v>
      </c>
      <c r="B601" s="15">
        <f>INDEX('vehicles specifications'!$B$3:$CK$86,MATCH(B$540,'vehicles specifications'!$A$3:$A$86,0),MATCH(G601,'vehicles specifications'!$B$2:$CK$2,0))*INDEX('ei names mapping'!$B$137:$BK$220,MATCH(B$540,'ei names mapping'!$A$137:$A$220,0),MATCH(G601,'ei names mapping'!$B$136:$BK$136,0))</f>
        <v>1.7420465878569957E-6</v>
      </c>
      <c r="C601" s="12"/>
      <c r="D601" s="12" t="str">
        <f>INDEX('ei names mapping'!$B$104:$BK$133,MATCH(B$229,'ei names mapping'!$A$4:$A$33,0),MATCH(G601,'ei names mapping'!$B$3:$BK$3,0))</f>
        <v>kilogram</v>
      </c>
      <c r="E601" s="12" t="str">
        <f>INDEX('ei names mapping'!$B$225:$BK$255,MATCH(B$229,'ei names mapping'!$A$4:$A$33,0),MATCH(G601,'ei names mapping'!$B$3:$BK$3,0))</f>
        <v>air</v>
      </c>
      <c r="F601" s="12" t="s">
        <v>173</v>
      </c>
      <c r="G601" s="12" t="s">
        <v>626</v>
      </c>
      <c r="H601" s="12"/>
    </row>
    <row r="602" spans="1:8" s="21" customFormat="1" x14ac:dyDescent="0.3">
      <c r="A602" s="12" t="str">
        <f>INDEX('ei names mapping'!$B$4:$BK$33,MATCH(B$229,'ei names mapping'!$A$4:$A$33,0),MATCH(G602,'ei names mapping'!$B$3:$BK$3,0))</f>
        <v>Copper</v>
      </c>
      <c r="B602" s="15">
        <f>INDEX('vehicles specifications'!$B$3:$CK$86,MATCH(B$540,'vehicles specifications'!$A$3:$A$86,0),MATCH(G602,'vehicles specifications'!$B$2:$CK$2,0))*INDEX('ei names mapping'!$B$137:$BK$220,MATCH(B$540,'ei names mapping'!$A$137:$A$220,0),MATCH(G602,'ei names mapping'!$B$136:$BK$136,0))</f>
        <v>3.3873128097219361E-8</v>
      </c>
      <c r="C602" s="12"/>
      <c r="D602" s="12" t="str">
        <f>INDEX('ei names mapping'!$B$104:$BK$133,MATCH(B$229,'ei names mapping'!$A$4:$A$33,0),MATCH(G602,'ei names mapping'!$B$3:$BK$3,0))</f>
        <v>kilogram</v>
      </c>
      <c r="E602" s="12" t="str">
        <f>INDEX('ei names mapping'!$B$225:$BK$255,MATCH(B$229,'ei names mapping'!$A$4:$A$33,0),MATCH(G602,'ei names mapping'!$B$3:$BK$3,0))</f>
        <v>air</v>
      </c>
      <c r="F602" s="12" t="s">
        <v>173</v>
      </c>
      <c r="G602" s="12" t="s">
        <v>581</v>
      </c>
      <c r="H602" s="12"/>
    </row>
    <row r="603" spans="1:8" s="21" customFormat="1" x14ac:dyDescent="0.3">
      <c r="A603" s="12" t="str">
        <f>INDEX('ei names mapping'!$B$4:$BK$33,MATCH(B$229,'ei names mapping'!$A$4:$A$33,0),MATCH(G603,'ei names mapping'!$B$3:$BK$3,0))</f>
        <v>Nickel</v>
      </c>
      <c r="B603" s="15">
        <f>INDEX('vehicles specifications'!$B$3:$CK$86,MATCH(B$540,'vehicles specifications'!$A$3:$A$86,0),MATCH(G603,'vehicles specifications'!$B$2:$CK$2,0))*INDEX('ei names mapping'!$B$137:$BK$220,MATCH(B$540,'ei names mapping'!$A$137:$A$220,0),MATCH(G603,'ei names mapping'!$B$136:$BK$136,0))</f>
        <v>1.0484539649139326E-8</v>
      </c>
      <c r="C603" s="12"/>
      <c r="D603" s="12" t="str">
        <f>INDEX('ei names mapping'!$B$104:$BK$133,MATCH(B$229,'ei names mapping'!$A$4:$A$33,0),MATCH(G603,'ei names mapping'!$B$3:$BK$3,0))</f>
        <v>kilogram</v>
      </c>
      <c r="E603" s="12" t="str">
        <f>INDEX('ei names mapping'!$B$225:$BK$255,MATCH(B$229,'ei names mapping'!$A$4:$A$33,0),MATCH(G603,'ei names mapping'!$B$3:$BK$3,0))</f>
        <v>air</v>
      </c>
      <c r="F603" s="12" t="s">
        <v>173</v>
      </c>
      <c r="G603" s="12" t="s">
        <v>583</v>
      </c>
      <c r="H603" s="12"/>
    </row>
    <row r="604" spans="1:8" s="21" customFormat="1" x14ac:dyDescent="0.3">
      <c r="A604" s="12" t="str">
        <f>INDEX('ei names mapping'!$B$4:$BK$33,MATCH(B$229,'ei names mapping'!$A$4:$A$33,0),MATCH(G604,'ei names mapping'!$B$3:$BK$3,0))</f>
        <v>Chromium</v>
      </c>
      <c r="B604" s="15">
        <f>INDEX('vehicles specifications'!$B$3:$CK$86,MATCH(B$540,'vehicles specifications'!$A$3:$A$86,0),MATCH(G604,'vehicles specifications'!$B$2:$CK$2,0))*INDEX('ei names mapping'!$B$137:$BK$220,MATCH(B$540,'ei names mapping'!$A$137:$A$220,0),MATCH(G604,'ei names mapping'!$B$136:$BK$136,0))</f>
        <v>1.2904048798940712E-8</v>
      </c>
      <c r="C604" s="12"/>
      <c r="D604" s="12" t="str">
        <f>INDEX('ei names mapping'!$B$104:$BK$133,MATCH(B$229,'ei names mapping'!$A$4:$A$33,0),MATCH(G604,'ei names mapping'!$B$3:$BK$3,0))</f>
        <v>kilogram</v>
      </c>
      <c r="E604" s="12" t="str">
        <f>INDEX('ei names mapping'!$B$225:$BK$255,MATCH(B$229,'ei names mapping'!$A$4:$A$33,0),MATCH(G604,'ei names mapping'!$B$3:$BK$3,0))</f>
        <v>air</v>
      </c>
      <c r="F604" s="12" t="s">
        <v>173</v>
      </c>
      <c r="G604" s="12" t="s">
        <v>582</v>
      </c>
      <c r="H604" s="12"/>
    </row>
    <row r="605" spans="1:8" s="21" customFormat="1" x14ac:dyDescent="0.3">
      <c r="A605" s="12" t="str">
        <f>INDEX('ei names mapping'!$B$4:$BK$33,MATCH(B$229,'ei names mapping'!$A$4:$A$33,0),MATCH(G605,'ei names mapping'!$B$3:$BK$3,0))</f>
        <v>Chromium VI</v>
      </c>
      <c r="B605" s="15">
        <f>INDEX('vehicles specifications'!$B$3:$CK$86,MATCH(B$540,'vehicles specifications'!$A$3:$A$86,0),MATCH(G605,'vehicles specifications'!$B$2:$CK$2,0))*INDEX('ei names mapping'!$B$137:$BK$220,MATCH(B$540,'ei names mapping'!$A$137:$A$220,0),MATCH(G605,'ei names mapping'!$B$136:$BK$136,0))</f>
        <v>2.5808097597881416E-11</v>
      </c>
      <c r="C605" s="12"/>
      <c r="D605" s="12" t="str">
        <f>INDEX('ei names mapping'!$B$104:$BK$133,MATCH(B$229,'ei names mapping'!$A$4:$A$33,0),MATCH(G605,'ei names mapping'!$B$3:$BK$3,0))</f>
        <v>kilogram</v>
      </c>
      <c r="E605" s="12" t="str">
        <f>INDEX('ei names mapping'!$B$225:$BK$255,MATCH(B$229,'ei names mapping'!$A$4:$A$33,0),MATCH(G605,'ei names mapping'!$B$3:$BK$3,0))</f>
        <v>air</v>
      </c>
      <c r="F605" s="12" t="s">
        <v>173</v>
      </c>
      <c r="G605" s="12" t="s">
        <v>629</v>
      </c>
      <c r="H605" s="12"/>
    </row>
    <row r="606" spans="1:8" s="21" customFormat="1" x14ac:dyDescent="0.3">
      <c r="A606" s="12" t="str">
        <f>INDEX('ei names mapping'!$B$4:$BK$33,MATCH(B$229,'ei names mapping'!$A$4:$A$33,0),MATCH(G606,'ei names mapping'!$B$3:$BK$3,0))</f>
        <v>Mercury</v>
      </c>
      <c r="B606" s="15">
        <f>INDEX('vehicles specifications'!$B$3:$CK$86,MATCH(B$540,'vehicles specifications'!$A$3:$A$86,0),MATCH(G606,'vehicles specifications'!$B$2:$CK$2,0))*INDEX('ei names mapping'!$B$137:$BK$220,MATCH(B$540,'ei names mapping'!$A$137:$A$220,0),MATCH(G606,'ei names mapping'!$B$136:$BK$136,0))</f>
        <v>7.0165765344240103E-9</v>
      </c>
      <c r="C606" s="12"/>
      <c r="D606" s="12" t="str">
        <f>INDEX('ei names mapping'!$B$104:$BK$133,MATCH(B$229,'ei names mapping'!$A$4:$A$33,0),MATCH(G606,'ei names mapping'!$B$3:$BK$3,0))</f>
        <v>kilogram</v>
      </c>
      <c r="E606" s="12" t="str">
        <f>INDEX('ei names mapping'!$B$225:$BK$255,MATCH(B$229,'ei names mapping'!$A$4:$A$33,0),MATCH(G606,'ei names mapping'!$B$3:$BK$3,0))</f>
        <v>air</v>
      </c>
      <c r="F606" s="12" t="s">
        <v>173</v>
      </c>
      <c r="G606" s="12" t="s">
        <v>627</v>
      </c>
      <c r="H606" s="12"/>
    </row>
    <row r="607" spans="1:8" s="21" customFormat="1" x14ac:dyDescent="0.3">
      <c r="A607" s="12" t="str">
        <f>INDEX('ei names mapping'!$B$4:$BK$33,MATCH(B$229,'ei names mapping'!$A$4:$A$33,0),MATCH(G607,'ei names mapping'!$B$3:$BK$3,0))</f>
        <v>Cadmium</v>
      </c>
      <c r="B607" s="15">
        <f>INDEX('vehicles specifications'!$B$3:$CK$86,MATCH(B$540,'vehicles specifications'!$A$3:$A$86,0),MATCH(G607,'vehicles specifications'!$B$2:$CK$2,0))*INDEX('ei names mapping'!$B$137:$BK$220,MATCH(B$540,'ei names mapping'!$A$137:$A$220,0),MATCH(G607,'ei names mapping'!$B$136:$BK$136,0))</f>
        <v>8.7102329392849792E-9</v>
      </c>
      <c r="C607" s="12"/>
      <c r="D607" s="12" t="str">
        <f>INDEX('ei names mapping'!$B$104:$BK$133,MATCH(B$229,'ei names mapping'!$A$4:$A$33,0),MATCH(G607,'ei names mapping'!$B$3:$BK$3,0))</f>
        <v>kilogram</v>
      </c>
      <c r="E607" s="12" t="str">
        <f>INDEX('ei names mapping'!$B$225:$BK$255,MATCH(B$229,'ei names mapping'!$A$4:$A$33,0),MATCH(G607,'ei names mapping'!$B$3:$BK$3,0))</f>
        <v>air</v>
      </c>
      <c r="F607" s="12" t="s">
        <v>173</v>
      </c>
      <c r="G607" s="12" t="s">
        <v>628</v>
      </c>
      <c r="H607" s="12"/>
    </row>
    <row r="608" spans="1:8" x14ac:dyDescent="0.3">
      <c r="A608" s="12" t="str">
        <f>INDEX('ei names mapping'!$B$4:$BK$33,MATCH(B537,'ei names mapping'!$A$4:$A$33,0),MATCH(G608,'ei names mapping'!$B$3:$BK$3,0))</f>
        <v>treatment of road wear emissions, passenger car</v>
      </c>
      <c r="B608" s="16">
        <f>INDEX('vehicles specifications'!$B$3:$CK$86,MATCH(B540,'vehicles specifications'!$A$3:$A$86,0),MATCH(G608,'vehicles specifications'!$B$2:$CK$2,0))*INDEX('ei names mapping'!$B$137:$BK$220,MATCH(B540,'ei names mapping'!$A$137:$A$220,0),MATCH(G608,'ei names mapping'!$B$136:$BK$136,0))</f>
        <v>-6.0000000000000002E-6</v>
      </c>
      <c r="C608" s="12" t="str">
        <f>INDEX('ei names mapping'!$B$38:$BK$67,MATCH(B537,'ei names mapping'!$A$4:$A$33,0),MATCH(G608,'ei names mapping'!$B$3:$BK$3,0))</f>
        <v>RER</v>
      </c>
      <c r="D608" s="12" t="str">
        <f>INDEX('ei names mapping'!$B$104:$BK$133,MATCH(B537,'ei names mapping'!$A$4:$A$33,0),MATCH(G608,'ei names mapping'!$B$3:$BK$3,0))</f>
        <v>kilogram</v>
      </c>
      <c r="E608" s="12"/>
      <c r="F608" s="12" t="s">
        <v>91</v>
      </c>
      <c r="G608" t="s">
        <v>29</v>
      </c>
      <c r="H608" s="12" t="str">
        <f>INDEX('ei names mapping'!$B$71:$BK$100,MATCH(B537,'ei names mapping'!$A$4:$A$33,0),MATCH(G608,'ei names mapping'!$B$3:$BK$3,0))</f>
        <v>road wear emissions, passenger car</v>
      </c>
    </row>
    <row r="609" spans="1:8" x14ac:dyDescent="0.3">
      <c r="A609" s="12" t="str">
        <f>INDEX('ei names mapping'!$B$4:$BK$33,MATCH(B537,'ei names mapping'!$A$4:$A$33,0),MATCH(G609,'ei names mapping'!$B$3:$BK$3,0))</f>
        <v>treatment of tyre wear emissions, passenger car</v>
      </c>
      <c r="B609" s="16">
        <f>INDEX('vehicles specifications'!$B$3:$CK$86,MATCH(B540,'vehicles specifications'!$A$3:$A$86,0),MATCH(G609,'vehicles specifications'!$B$2:$CK$2,0))*INDEX('ei names mapping'!$B$137:$BK$220,MATCH(B540,'ei names mapping'!$A$137:$A$220,0),MATCH(G609,'ei names mapping'!$B$136:$BK$136,0))</f>
        <v>-5.8379999999999998E-6</v>
      </c>
      <c r="C609" s="12" t="str">
        <f>INDEX('ei names mapping'!$B$38:$BK$67,MATCH(B537,'ei names mapping'!$A$4:$A$33,0),MATCH(G609,'ei names mapping'!$B$3:$BK$3,0))</f>
        <v>RER</v>
      </c>
      <c r="D609" s="12" t="str">
        <f>INDEX('ei names mapping'!$B$104:$BK$133,MATCH(B537,'ei names mapping'!$A$4:$A$33,0),MATCH(G609,'ei names mapping'!$B$3:$BK$3,0))</f>
        <v>kilogram</v>
      </c>
      <c r="E609" s="12"/>
      <c r="F609" s="12" t="s">
        <v>91</v>
      </c>
      <c r="G609" t="s">
        <v>30</v>
      </c>
      <c r="H609" s="12" t="str">
        <f>INDEX('ei names mapping'!$B$71:$BK$100,MATCH(B537,'ei names mapping'!$A$4:$A$33,0),MATCH(G609,'ei names mapping'!$B$3:$BK$3,0))</f>
        <v>tyre wear emissions, passenger car</v>
      </c>
    </row>
    <row r="610" spans="1:8" x14ac:dyDescent="0.3">
      <c r="A610" s="12" t="str">
        <f>INDEX('ei names mapping'!$B$4:$BK$33,MATCH(B537,'ei names mapping'!$A$4:$A$33,0),MATCH(G610,'ei names mapping'!$B$3:$BK$3,0))</f>
        <v>treatment of brake wear emissions, passenger car</v>
      </c>
      <c r="B610" s="16">
        <f>INDEX('vehicles specifications'!$B$3:$CK$86,MATCH(B540,'vehicles specifications'!$A$3:$A$86,0),MATCH(G610,'vehicles specifications'!$B$2:$CK$2,0))*INDEX('ei names mapping'!$B$137:$BK$220,MATCH(B540,'ei names mapping'!$A$137:$A$220,0),MATCH(G610,'ei names mapping'!$B$136:$BK$136,0))</f>
        <v>-3.6740000000000003E-6</v>
      </c>
      <c r="C610" s="12" t="str">
        <f>INDEX('ei names mapping'!$B$38:$BK$67,MATCH(B537,'ei names mapping'!$A$4:$A$33,0),MATCH(G610,'ei names mapping'!$B$3:$BK$3,0))</f>
        <v>RER</v>
      </c>
      <c r="D610" s="12" t="str">
        <f>INDEX('ei names mapping'!$B$104:$BK$133,MATCH(B537,'ei names mapping'!$A$4:$A$33,0),MATCH(G610,'ei names mapping'!$B$3:$BK$3,0))</f>
        <v>kilogram</v>
      </c>
      <c r="E610" s="12"/>
      <c r="F610" s="12" t="s">
        <v>91</v>
      </c>
      <c r="G610" t="s">
        <v>31</v>
      </c>
      <c r="H610" s="12" t="str">
        <f>INDEX('ei names mapping'!$B$71:$BK$100,MATCH(B537,'ei names mapping'!$A$4:$A$33,0),MATCH(G610,'ei names mapping'!$B$3:$BK$3,0))</f>
        <v>brake wear emissions, passenger car</v>
      </c>
    </row>
    <row r="612" spans="1:8" ht="15.6" x14ac:dyDescent="0.3">
      <c r="A612" s="11" t="s">
        <v>72</v>
      </c>
      <c r="B612" s="9" t="str">
        <f>"transport, "&amp;B614&amp;", "&amp;B616</f>
        <v>transport, Moped, gasoline, &lt;4kW, EURO-5, 2050</v>
      </c>
    </row>
    <row r="613" spans="1:8" x14ac:dyDescent="0.3">
      <c r="A613" t="s">
        <v>73</v>
      </c>
      <c r="B613" t="s">
        <v>37</v>
      </c>
    </row>
    <row r="614" spans="1:8" x14ac:dyDescent="0.3">
      <c r="A614" t="s">
        <v>87</v>
      </c>
      <c r="B614" t="s">
        <v>647</v>
      </c>
    </row>
    <row r="615" spans="1:8" x14ac:dyDescent="0.3">
      <c r="A615" t="s">
        <v>88</v>
      </c>
      <c r="B615" s="12"/>
    </row>
    <row r="616" spans="1:8" x14ac:dyDescent="0.3">
      <c r="A616" t="s">
        <v>89</v>
      </c>
      <c r="B616" s="12">
        <v>2050</v>
      </c>
    </row>
    <row r="617" spans="1:8" x14ac:dyDescent="0.3">
      <c r="A617" t="s">
        <v>131</v>
      </c>
      <c r="B617" s="12" t="str">
        <f>B614&amp;" - "&amp;B616&amp;" - "&amp;B613</f>
        <v>Moped, gasoline, &lt;4kW, EURO-5 - 2050 - CH</v>
      </c>
    </row>
    <row r="618" spans="1:8" x14ac:dyDescent="0.3">
      <c r="A618" t="s">
        <v>74</v>
      </c>
      <c r="B618" s="12" t="str">
        <f>"transport, "&amp;B614</f>
        <v>transport, Moped, gasoline, &lt;4kW, EURO-5</v>
      </c>
    </row>
    <row r="619" spans="1:8" x14ac:dyDescent="0.3">
      <c r="A619" t="s">
        <v>75</v>
      </c>
      <c r="B619" t="s">
        <v>76</v>
      </c>
    </row>
    <row r="620" spans="1:8" x14ac:dyDescent="0.3">
      <c r="A620" t="s">
        <v>77</v>
      </c>
      <c r="B620" t="s">
        <v>172</v>
      </c>
    </row>
    <row r="621" spans="1:8" x14ac:dyDescent="0.3">
      <c r="A621" t="s">
        <v>79</v>
      </c>
      <c r="B621" t="s">
        <v>90</v>
      </c>
    </row>
    <row r="622" spans="1:8" x14ac:dyDescent="0.3">
      <c r="A622" t="s">
        <v>132</v>
      </c>
      <c r="B622">
        <f>INDEX('vehicles specifications'!$B$3:$CK$86,MATCH(B617,'vehicles specifications'!$A$3:$A$86,0),MATCH("Lifetime [km]",'vehicles specifications'!$B$2:$CK$2,0))</f>
        <v>33400</v>
      </c>
    </row>
    <row r="623" spans="1:8" x14ac:dyDescent="0.3">
      <c r="A623" t="s">
        <v>133</v>
      </c>
      <c r="B623">
        <f>INDEX('vehicles specifications'!$B$3:$CK$86,MATCH(B617,'vehicles specifications'!$A$3:$A$86,0),MATCH("Passengers [unit]",'vehicles specifications'!$B$2:$CK$2,0))</f>
        <v>1</v>
      </c>
    </row>
    <row r="624" spans="1:8" x14ac:dyDescent="0.3">
      <c r="A624" t="s">
        <v>134</v>
      </c>
      <c r="B624">
        <f>INDEX('vehicles specifications'!$B$3:$CK$86,MATCH(B617,'vehicles specifications'!$A$3:$A$86,0),MATCH("Servicing [unit]",'vehicles specifications'!$B$2:$CK$2,0))</f>
        <v>1</v>
      </c>
    </row>
    <row r="625" spans="1:8" x14ac:dyDescent="0.3">
      <c r="A625" t="s">
        <v>135</v>
      </c>
      <c r="B625">
        <f>INDEX('vehicles specifications'!$B$3:$CK$86,MATCH(B617,'vehicles specifications'!$A$3:$A$86,0),MATCH("Energy battery replacement [unit]",'vehicles specifications'!$B$2:$CK$2,0))</f>
        <v>0</v>
      </c>
    </row>
    <row r="626" spans="1:8" x14ac:dyDescent="0.3">
      <c r="A626" t="s">
        <v>136</v>
      </c>
      <c r="B626">
        <f>INDEX('vehicles specifications'!$B$3:$CK$86,MATCH(B617,'vehicles specifications'!$A$3:$A$86,0),MATCH("Annual kilometers [km]",'vehicles specifications'!$B$2:$CK$2,0))</f>
        <v>2553</v>
      </c>
    </row>
    <row r="627" spans="1:8" x14ac:dyDescent="0.3">
      <c r="A627" t="s">
        <v>137</v>
      </c>
      <c r="B627" s="2">
        <f>INDEX('vehicles specifications'!$B$3:$CK$86,MATCH(B617,'vehicles specifications'!$A$3:$A$86,0),MATCH("Curb mass [kg]",'vehicles specifications'!$B$2:$CK$2,0))</f>
        <v>59.971624999999996</v>
      </c>
    </row>
    <row r="628" spans="1:8" x14ac:dyDescent="0.3">
      <c r="A628" t="s">
        <v>138</v>
      </c>
      <c r="B628">
        <f>INDEX('vehicles specifications'!$B$3:$CK$86,MATCH(B617,'vehicles specifications'!$A$3:$A$86,0),MATCH("Power [kW]",'vehicles specifications'!$B$2:$CK$2,0))</f>
        <v>2.5</v>
      </c>
    </row>
    <row r="629" spans="1:8" x14ac:dyDescent="0.3">
      <c r="A629" t="s">
        <v>139</v>
      </c>
      <c r="B629">
        <f>INDEX('vehicles specifications'!$B$3:$CK$86,MATCH(B617,'vehicles specifications'!$A$3:$A$86,0),MATCH("Energy battery mass [kg]",'vehicles specifications'!$B$2:$CK$2,0))</f>
        <v>0</v>
      </c>
    </row>
    <row r="630" spans="1:8" x14ac:dyDescent="0.3">
      <c r="A630" t="s">
        <v>140</v>
      </c>
      <c r="B630">
        <f>INDEX('vehicles specifications'!$B$3:$CK$86,MATCH(B617,'vehicles specifications'!$A$3:$A$86,0),MATCH("Electric energy available [kWh]",'vehicles specifications'!$B$2:$CK$2,0))</f>
        <v>0</v>
      </c>
    </row>
    <row r="631" spans="1:8" x14ac:dyDescent="0.3">
      <c r="A631" t="s">
        <v>143</v>
      </c>
      <c r="B631" s="2">
        <f>INDEX('vehicles specifications'!$B$3:$CK$86,MATCH(B617,'vehicles specifications'!$A$3:$A$86,0),MATCH("Oxydation energy stored [kWh]",'vehicles specifications'!$B$2:$CK$2,0))</f>
        <v>61.833333333333329</v>
      </c>
    </row>
    <row r="632" spans="1:8" x14ac:dyDescent="0.3">
      <c r="A632" t="s">
        <v>145</v>
      </c>
      <c r="B632">
        <f>INDEX('vehicles specifications'!$B$3:$CK$86,MATCH(B617,'vehicles specifications'!$A$3:$A$86,0),MATCH("Fuel mass [kg]",'vehicles specifications'!$B$2:$CK$2,0))</f>
        <v>5.25</v>
      </c>
    </row>
    <row r="633" spans="1:8" x14ac:dyDescent="0.3">
      <c r="A633" t="s">
        <v>141</v>
      </c>
      <c r="B633" s="2">
        <f>INDEX('vehicles specifications'!$B$3:$CK$86,MATCH(B617,'vehicles specifications'!$A$3:$A$86,0),MATCH("Range [km]",'vehicles specifications'!$B$2:$CK$2,0))</f>
        <v>278.79433917446761</v>
      </c>
    </row>
    <row r="634" spans="1:8" x14ac:dyDescent="0.3">
      <c r="A634" t="s">
        <v>142</v>
      </c>
      <c r="B634" t="str">
        <f>INDEX('vehicles specifications'!$B$3:$CK$86,MATCH(B617,'vehicles specifications'!$A$3:$A$86,0),MATCH("Emission standard",'vehicles specifications'!$B$2:$CK$2,0))</f>
        <v>EURO-5</v>
      </c>
    </row>
    <row r="635" spans="1:8" x14ac:dyDescent="0.3">
      <c r="A635" t="s">
        <v>144</v>
      </c>
      <c r="B635" s="6">
        <f>INDEX('vehicles specifications'!$B$3:$CK$86,MATCH(B617,'vehicles specifications'!$A$3:$A$86,0),MATCH("Lightweighting rate [%]",'vehicles specifications'!$B$2:$CK$2,0))</f>
        <v>7.0000000000000007E-2</v>
      </c>
    </row>
    <row r="636" spans="1:8" x14ac:dyDescent="0.3">
      <c r="A636" t="s">
        <v>84</v>
      </c>
      <c r="B636" s="21" t="str">
        <f>"Power: "&amp;B628&amp;" kW. Lifetime: "&amp;B622&amp;" km. Annual kilometers: "&amp;B626&amp;" km. Number of passengers: "&amp;B623&amp;". Curb mass: "&amp;ROUND(B627,1)&amp;" kg. Lightweighting of glider: "&amp;ROUND(B635*100,0)&amp;"%. Emission standard: "&amp;B634&amp;". Service visits throughout lifetime: "&amp;ROUND(B624,1)&amp;". Range: "&amp;ROUND(B633,0)&amp;" km. Battery capacity: "&amp;ROUND(B630,1)&amp;" kWh. Battery mass: "&amp;ROUND(B629,1)&amp; " kg. Battery replacement throughout lifetime: "&amp;ROUND(B625,1)&amp;". Fuel tank capacity: "&amp;ROUND(B631,1)&amp;" kWh. Fuel mass: "&amp;ROUND(B632,1)&amp;" kg. Documentation: "&amp;Readmefirst!$B$2&amp;", "&amp;Readmefirst!$B$3&amp;". "&amp;B621</f>
        <v>Power: 2.5 kW. Lifetime: 33400 km. Annual kilometers: 2553 km. Number of passengers: 1. Curb mass: 60 kg. Lightweighting of glider: 7%. Emission standard: EURO-5. Service visits throughout lifetime: 1. Range: 279 km. Battery capacity: 0 kWh. Battery mass: 0 kg. Battery replacement throughout lifetime: 0. Fuel tank capacity: 61.8 kWh. Fuel mass: 5.3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37" spans="1:8" ht="15.6" x14ac:dyDescent="0.3">
      <c r="A637" s="11" t="s">
        <v>80</v>
      </c>
    </row>
    <row r="638" spans="1:8" x14ac:dyDescent="0.3">
      <c r="A638" t="s">
        <v>81</v>
      </c>
      <c r="B638" t="s">
        <v>82</v>
      </c>
      <c r="C638" t="s">
        <v>73</v>
      </c>
      <c r="D638" t="s">
        <v>77</v>
      </c>
      <c r="E638" t="s">
        <v>83</v>
      </c>
      <c r="F638" t="s">
        <v>75</v>
      </c>
      <c r="G638" t="s">
        <v>84</v>
      </c>
      <c r="H638" t="s">
        <v>74</v>
      </c>
    </row>
    <row r="639" spans="1:8" x14ac:dyDescent="0.3">
      <c r="A639" s="12" t="str">
        <f>B612</f>
        <v>transport, Moped, gasoline, &lt;4kW, EURO-5, 2050</v>
      </c>
      <c r="B639" s="12">
        <v>1</v>
      </c>
      <c r="C639" s="12" t="str">
        <f>B613</f>
        <v>CH</v>
      </c>
      <c r="D639" s="12" t="s">
        <v>172</v>
      </c>
      <c r="E639" s="12"/>
      <c r="F639" s="12" t="s">
        <v>85</v>
      </c>
      <c r="G639" s="12" t="s">
        <v>86</v>
      </c>
      <c r="H639" s="12" t="str">
        <f>B618</f>
        <v>transport, Moped, gasoline, &lt;4kW, EURO-5</v>
      </c>
    </row>
    <row r="640" spans="1:8" x14ac:dyDescent="0.3">
      <c r="A640" s="12" t="str">
        <f>RIGHT(A639,LEN(A639)-11)</f>
        <v>Moped, gasoline, &lt;4kW, EURO-5, 2050</v>
      </c>
      <c r="B640" s="12">
        <f>1/B622</f>
        <v>2.9940119760479042E-5</v>
      </c>
      <c r="C640" s="12" t="str">
        <f>B613</f>
        <v>CH</v>
      </c>
      <c r="D640" s="12" t="s">
        <v>77</v>
      </c>
      <c r="E640" s="12"/>
      <c r="F640" s="12" t="s">
        <v>91</v>
      </c>
      <c r="G640" s="12"/>
      <c r="H640" s="12" t="str">
        <f>RIGHT(H639,LEN(H639)-11)</f>
        <v>Moped, gasoline, &lt;4kW, EURO-5</v>
      </c>
    </row>
    <row r="641" spans="1:8" s="21" customFormat="1" x14ac:dyDescent="0.3">
      <c r="A641" s="12" t="str">
        <f>INDEX('ei names mapping'!$B$4:$R$33,MATCH(B614,'ei names mapping'!$A$4:$A$33,0),MATCH(G641,'ei names mapping'!$B$3:$R$3,0))</f>
        <v>road construction</v>
      </c>
      <c r="B641" s="16">
        <f>INDEX('vehicles specifications'!$B$3:$CK$86,MATCH(B617,'vehicles specifications'!$A$3:$A$86,0),MATCH(G641,'vehicles specifications'!$B$2:$CK$2,0))*INDEX('ei names mapping'!$B$137:$BK$220,MATCH(B617,'ei names mapping'!$A$137:$A$220,0),MATCH(G641,'ei names mapping'!$B$136:$BK$136,0))</f>
        <v>7.0868762624999988E-5</v>
      </c>
      <c r="C641" s="12" t="str">
        <f>INDEX('ei names mapping'!$B$38:$R$67,MATCH(B614,'ei names mapping'!$A$4:$A$33,0),MATCH(G641,'ei names mapping'!$B$3:$R$3,0))</f>
        <v>CH</v>
      </c>
      <c r="D641" s="12" t="str">
        <f>INDEX('ei names mapping'!$B$104:$BK$133,MATCH(B614,'ei names mapping'!$A$4:$A$33,0),MATCH(G641,'ei names mapping'!$B$3:$BK$3,0))</f>
        <v>meter-year</v>
      </c>
      <c r="E641" s="12"/>
      <c r="F641" s="12" t="s">
        <v>91</v>
      </c>
      <c r="G641" s="21" t="s">
        <v>108</v>
      </c>
      <c r="H641" s="12" t="str">
        <f>INDEX('ei names mapping'!$B$71:$BK$100,MATCH(B614,'ei names mapping'!$A$4:$A$33,0),MATCH(G641,'ei names mapping'!$B$3:$BK$3,0))</f>
        <v>road</v>
      </c>
    </row>
    <row r="642" spans="1:8" x14ac:dyDescent="0.3">
      <c r="A642" s="12" t="str">
        <f>INDEX('ei names mapping'!$B$4:$R$33,MATCH(B614,'ei names mapping'!$A$4:$A$33,0),MATCH(G642,'ei names mapping'!$B$3:$R$3,0))</f>
        <v>road maintenance</v>
      </c>
      <c r="B642" s="16">
        <f>INDEX('vehicles specifications'!$B$3:$CK$86,MATCH(B617,'vehicles specifications'!$A$3:$A$86,0),MATCH(G642,'vehicles specifications'!$B$2:$CK$2,0))*INDEX('ei names mapping'!$B$137:$BK$220,MATCH(B617,'ei names mapping'!$A$137:$A$220,0),MATCH(G642,'ei names mapping'!$B$136:$BK$136,0))</f>
        <v>1.2899999999999999E-3</v>
      </c>
      <c r="C642" s="12" t="str">
        <f>INDEX('ei names mapping'!$B$38:$R$67,MATCH(B614,'ei names mapping'!$A$4:$A$33,0),MATCH(G642,'ei names mapping'!$B$3:$R$3,0))</f>
        <v>CH</v>
      </c>
      <c r="D642" s="12" t="str">
        <f>INDEX('ei names mapping'!$B$104:$BK$133,MATCH(B614,'ei names mapping'!$A$4:$A$33,0),MATCH(G642,'ei names mapping'!$B$3:$BK$3,0))</f>
        <v>meter-year</v>
      </c>
      <c r="E642" s="12"/>
      <c r="F642" s="12" t="s">
        <v>91</v>
      </c>
      <c r="G642" t="s">
        <v>117</v>
      </c>
      <c r="H642" s="12" t="str">
        <f>INDEX('ei names mapping'!$B$71:$BK$100,MATCH(B614,'ei names mapping'!$A$4:$A$33,0),MATCH(G642,'ei names mapping'!$B$3:$BK$3,0))</f>
        <v>road maintenance</v>
      </c>
    </row>
    <row r="643" spans="1:8" x14ac:dyDescent="0.3">
      <c r="A643" s="12" t="str">
        <f>INDEX('ei names mapping'!$B$4:$R$33,MATCH(B614,'ei names mapping'!$A$4:$A$33,0),MATCH(G643,'ei names mapping'!$B$3:$R$3,0))</f>
        <v>maintenance, motor scooter</v>
      </c>
      <c r="B643" s="16">
        <f>INDEX('vehicles specifications'!$B$3:$CK$86,MATCH(B617,'vehicles specifications'!$A$3:$A$86,0),MATCH(G643,'vehicles specifications'!$B$2:$CK$2,0))*INDEX('ei names mapping'!$B$137:$BK$220,MATCH(B617,'ei names mapping'!$A$137:$A$220,0),MATCH(G643,'ei names mapping'!$B$136:$BK$136,0))</f>
        <v>2.9940119760479042E-5</v>
      </c>
      <c r="C643" s="12" t="str">
        <f>INDEX('ei names mapping'!$B$38:$BK$67,MATCH(B614,'ei names mapping'!$A$4:$A$33,0),MATCH(G643,'ei names mapping'!$B$3:$BK$3,0))</f>
        <v>CH</v>
      </c>
      <c r="D643" s="12" t="str">
        <f>INDEX('ei names mapping'!$B$104:$BK$133,MATCH(B614,'ei names mapping'!$A$4:$A$33,0),MATCH(G643,'ei names mapping'!$B$3:$BK$3,0))</f>
        <v>unit</v>
      </c>
      <c r="F643" s="12" t="s">
        <v>91</v>
      </c>
      <c r="G643" s="12" t="s">
        <v>123</v>
      </c>
      <c r="H643" s="12" t="str">
        <f>INDEX('ei names mapping'!$B$71:$BK$100,MATCH(B614,'ei names mapping'!$A$4:$A$33,0),MATCH(G643,'ei names mapping'!$B$3:$BK$3,0))</f>
        <v>maintenance, motor scooter</v>
      </c>
    </row>
    <row r="644" spans="1:8" x14ac:dyDescent="0.3">
      <c r="A644" s="12" t="str">
        <f>INDEX('ei names mapping'!$B$4:$R$33,MATCH(B614,'ei names mapping'!$A$4:$A$33,0),MATCH(G644,'ei names mapping'!$B$3:$R$3,0))</f>
        <v>petrol blending for two-stroke engines</v>
      </c>
      <c r="B644" s="16">
        <f>INDEX('vehicles specifications'!$B$3:$CK$86,MATCH(B617,'vehicles specifications'!$A$3:$A$86,0),MATCH(G644,'vehicles specifications'!$B$2:$CK$2,0))*INDEX('ei names mapping'!$B$137:$BK$220,MATCH(B617,'ei names mapping'!$A$137:$A$220,0),MATCH(G644,'ei names mapping'!$B$136:$BK$136,0))</f>
        <v>1.8831085364020197E-2</v>
      </c>
      <c r="C644" s="12" t="str">
        <f>INDEX('ei names mapping'!$B$38:$BK$67,MATCH(B614,'ei names mapping'!$A$4:$A$33,0),MATCH(G644,'ei names mapping'!$B$3:$BK$3,0))</f>
        <v>CH</v>
      </c>
      <c r="D644" s="12" t="str">
        <f>INDEX('ei names mapping'!$B$104:$BK$133,MATCH(B614,'ei names mapping'!$A$4:$A$33,0),MATCH(G644,'ei names mapping'!$B$3:$BK$3,0))</f>
        <v>kilogram</v>
      </c>
      <c r="F644" s="12" t="s">
        <v>91</v>
      </c>
      <c r="G644" s="12" t="s">
        <v>27</v>
      </c>
      <c r="H644" s="12" t="str">
        <f>INDEX('ei names mapping'!$B$71:$BK$100,MATCH(B614,'ei names mapping'!$A$4:$A$33,0),MATCH(G644,'ei names mapping'!$B$3:$BK$3,0))</f>
        <v>petrol, two-stroke blend</v>
      </c>
    </row>
    <row r="645" spans="1:8" x14ac:dyDescent="0.3">
      <c r="A645" s="12" t="str">
        <f>INDEX('ei names mapping'!$B$4:$BK$33,MATCH(B614,'ei names mapping'!$A$4:$A$33,0),MATCH(G645,'ei names mapping'!$B$3:$BK$3,0))</f>
        <v>Carbon dioxide, fossil</v>
      </c>
      <c r="B645" s="16">
        <f>INDEX('vehicles specifications'!$B$3:$CK$86,MATCH(B617,'vehicles specifications'!$A$3:$A$86,0),MATCH(G645,'vehicles specifications'!$B$2:$CK$2,0))*INDEX('ei names mapping'!$B$137:$BK$220,MATCH(B617,'ei names mapping'!$A$137:$A$220,0),MATCH(G645,'ei names mapping'!$B$136:$BK$136,0))</f>
        <v>5.9882851457584228E-2</v>
      </c>
      <c r="C645" s="12"/>
      <c r="D645" s="12" t="str">
        <f>INDEX('ei names mapping'!$B$104:$BK$133,MATCH(B614,'ei names mapping'!$A$4:$A$33,0),MATCH(G645,'ei names mapping'!$B$3:$BK$3,0))</f>
        <v>kilogram</v>
      </c>
      <c r="E645" s="12" t="str">
        <f>INDEX('ei names mapping'!$B$225:$BK$255,MATCH(B614,'ei names mapping'!$A$4:$A$33,0),MATCH(G645,'ei names mapping'!$B$3:$BK$3,0))</f>
        <v>air</v>
      </c>
      <c r="F645" s="12" t="s">
        <v>173</v>
      </c>
      <c r="G645" t="s">
        <v>67</v>
      </c>
      <c r="H645" s="12"/>
    </row>
    <row r="646" spans="1:8" x14ac:dyDescent="0.3">
      <c r="A646" s="12" t="str">
        <f>INDEX('ei names mapping'!$B$4:$BK$33,MATCH(B614,'ei names mapping'!$A$4:$A$33,0),MATCH(G646,'ei names mapping'!$B$3:$BK$3,0))</f>
        <v>Sulfur dioxide</v>
      </c>
      <c r="B646" s="15">
        <f>INDEX('vehicles specifications'!$B$3:$CK$86,MATCH(B617,'vehicles specifications'!$A$3:$A$86,0),MATCH(G646,'vehicles specifications'!$B$2:$CK$2,0))*INDEX('ei names mapping'!$B$137:$BK$220,MATCH(B617,'ei names mapping'!$A$137:$A$220,0),MATCH(G646,'ei names mapping'!$B$136:$BK$136,0))</f>
        <v>3.0129736582432315E-7</v>
      </c>
      <c r="C646" s="12"/>
      <c r="D646" s="12" t="str">
        <f>INDEX('ei names mapping'!$B$104:$BK$133,MATCH(B614,'ei names mapping'!$A$4:$A$33,0),MATCH(G646,'ei names mapping'!$B$3:$BK$3,0))</f>
        <v>kilogram</v>
      </c>
      <c r="E646" s="12" t="str">
        <f>INDEX('ei names mapping'!$B$225:$BK$255,MATCH(B614,'ei names mapping'!$A$4:$A$33,0),MATCH(G646,'ei names mapping'!$B$3:$BK$3,0))</f>
        <v>air</v>
      </c>
      <c r="F646" s="12" t="s">
        <v>173</v>
      </c>
      <c r="G646" t="s">
        <v>68</v>
      </c>
      <c r="H646" s="12"/>
    </row>
    <row r="647" spans="1:8" x14ac:dyDescent="0.3">
      <c r="A647" s="12" t="str">
        <f>INDEX('ei names mapping'!$B$4:$BK$33,MATCH(B614,'ei names mapping'!$A$4:$A$33,0),MATCH(G647,'ei names mapping'!$B$3:$BK$3,0))</f>
        <v>Benzene</v>
      </c>
      <c r="B647" s="15">
        <f>INDEX('vehicles specifications'!$B$3:$CK$86,MATCH(B617,'vehicles specifications'!$A$3:$A$86,0),MATCH(G647,'vehicles specifications'!$B$2:$CK$2,0))*INDEX('ei names mapping'!$B$137:$BK$220,MATCH(B617,'ei names mapping'!$A$137:$A$220,0),MATCH(G647,'ei names mapping'!$B$136:$BK$136,0))</f>
        <v>4.854676844107983E-5</v>
      </c>
      <c r="C647" s="12"/>
      <c r="D647" s="12" t="str">
        <f>INDEX('ei names mapping'!$B$104:$BK$133,MATCH(B614,'ei names mapping'!$A$4:$A$33,0),MATCH(G647,'ei names mapping'!$B$3:$BK$3,0))</f>
        <v>kilogram</v>
      </c>
      <c r="E647" s="12" t="str">
        <f>INDEX('ei names mapping'!$B$225:$BK$255,MATCH(B614,'ei names mapping'!$A$4:$A$33,0),MATCH(G647,'ei names mapping'!$B$3:$BK$3,0))</f>
        <v>air</v>
      </c>
      <c r="F647" s="12" t="s">
        <v>173</v>
      </c>
      <c r="G647" t="s">
        <v>56</v>
      </c>
      <c r="H647" s="12"/>
    </row>
    <row r="648" spans="1:8" x14ac:dyDescent="0.3">
      <c r="A648" s="12" t="str">
        <f>INDEX('ei names mapping'!$B$4:$BK$33,MATCH(B614,'ei names mapping'!$A$4:$A$33,0),MATCH(G648,'ei names mapping'!$B$3:$BK$3,0))</f>
        <v>Methane, fossil</v>
      </c>
      <c r="B648" s="15">
        <f>INDEX('vehicles specifications'!$B$3:$CK$86,MATCH(B617,'vehicles specifications'!$A$3:$A$86,0),MATCH(G648,'vehicles specifications'!$B$2:$CK$2,0))*INDEX('ei names mapping'!$B$137:$BK$220,MATCH(B617,'ei names mapping'!$A$137:$A$220,0),MATCH(G648,'ei names mapping'!$B$136:$BK$136,0))</f>
        <v>2.2012544660931132E-5</v>
      </c>
      <c r="C648" s="12"/>
      <c r="D648" s="12" t="str">
        <f>INDEX('ei names mapping'!$B$104:$BK$133,MATCH(B614,'ei names mapping'!$A$4:$A$33,0),MATCH(G648,'ei names mapping'!$B$3:$BK$3,0))</f>
        <v>kilogram</v>
      </c>
      <c r="E648" s="12" t="str">
        <f>INDEX('ei names mapping'!$B$225:$BK$255,MATCH(B614,'ei names mapping'!$A$4:$A$33,0),MATCH(G648,'ei names mapping'!$B$3:$BK$3,0))</f>
        <v>air</v>
      </c>
      <c r="F648" s="12" t="s">
        <v>173</v>
      </c>
      <c r="G648" t="s">
        <v>57</v>
      </c>
      <c r="H648" s="12"/>
    </row>
    <row r="649" spans="1:8" x14ac:dyDescent="0.3">
      <c r="A649" s="12" t="str">
        <f>INDEX('ei names mapping'!$B$4:$BK$33,MATCH(B614,'ei names mapping'!$A$4:$A$33,0),MATCH(G649,'ei names mapping'!$B$3:$BK$3,0))</f>
        <v>Carbon monoxide, fossil</v>
      </c>
      <c r="B649" s="15">
        <f>INDEX('vehicles specifications'!$B$3:$CK$86,MATCH(B617,'vehicles specifications'!$A$3:$A$86,0),MATCH(G649,'vehicles specifications'!$B$2:$CK$2,0))*INDEX('ei names mapping'!$B$137:$BK$220,MATCH(B617,'ei names mapping'!$A$137:$A$220,0),MATCH(G649,'ei names mapping'!$B$136:$BK$136,0))</f>
        <v>2.3276028801916633E-3</v>
      </c>
      <c r="C649" s="12"/>
      <c r="D649" s="12" t="str">
        <f>INDEX('ei names mapping'!$B$104:$BK$133,MATCH(B614,'ei names mapping'!$A$4:$A$33,0),MATCH(G649,'ei names mapping'!$B$3:$BK$3,0))</f>
        <v>kilogram</v>
      </c>
      <c r="E649" s="12" t="str">
        <f>INDEX('ei names mapping'!$B$225:$BK$255,MATCH(B614,'ei names mapping'!$A$4:$A$33,0),MATCH(G649,'ei names mapping'!$B$3:$BK$3,0))</f>
        <v>air</v>
      </c>
      <c r="F649" s="12" t="s">
        <v>173</v>
      </c>
      <c r="G649" t="s">
        <v>58</v>
      </c>
      <c r="H649" s="12"/>
    </row>
    <row r="650" spans="1:8" x14ac:dyDescent="0.3">
      <c r="A650" s="12" t="str">
        <f>INDEX('ei names mapping'!$B$4:$BK$33,MATCH(B614,'ei names mapping'!$A$4:$A$33,0),MATCH(G650,'ei names mapping'!$B$3:$BK$3,0))</f>
        <v>Dinitrogen monoxide</v>
      </c>
      <c r="B650" s="15">
        <f>INDEX('vehicles specifications'!$B$3:$CK$86,MATCH(B617,'vehicles specifications'!$A$3:$A$86,0),MATCH(G650,'vehicles specifications'!$B$2:$CK$2,0))*INDEX('ei names mapping'!$B$137:$BK$220,MATCH(B617,'ei names mapping'!$A$137:$A$220,0),MATCH(G650,'ei names mapping'!$B$136:$BK$136,0))</f>
        <v>1.1168211395703267E-6</v>
      </c>
      <c r="C650" s="12"/>
      <c r="D650" s="12" t="str">
        <f>INDEX('ei names mapping'!$B$104:$BK$133,MATCH(B614,'ei names mapping'!$A$4:$A$33,0),MATCH(G650,'ei names mapping'!$B$3:$BK$3,0))</f>
        <v>kilogram</v>
      </c>
      <c r="E650" s="12" t="str">
        <f>INDEX('ei names mapping'!$B$225:$BK$255,MATCH(B614,'ei names mapping'!$A$4:$A$33,0),MATCH(G650,'ei names mapping'!$B$3:$BK$3,0))</f>
        <v>air</v>
      </c>
      <c r="F650" s="12" t="s">
        <v>173</v>
      </c>
      <c r="G650" t="s">
        <v>59</v>
      </c>
      <c r="H650" s="12"/>
    </row>
    <row r="651" spans="1:8" x14ac:dyDescent="0.3">
      <c r="A651" s="12" t="str">
        <f>INDEX('ei names mapping'!$B$4:$BK$33,MATCH(B614,'ei names mapping'!$A$4:$A$33,0),MATCH(G651,'ei names mapping'!$B$3:$BK$3,0))</f>
        <v>Ammonia</v>
      </c>
      <c r="B651" s="15">
        <f>INDEX('vehicles specifications'!$B$3:$CK$86,MATCH(B617,'vehicles specifications'!$A$3:$A$86,0),MATCH(G651,'vehicles specifications'!$B$2:$CK$2,0))*INDEX('ei names mapping'!$B$137:$BK$220,MATCH(B617,'ei names mapping'!$A$137:$A$220,0),MATCH(G651,'ei names mapping'!$B$136:$BK$136,0))</f>
        <v>1.1168211395703267E-6</v>
      </c>
      <c r="C651" s="12"/>
      <c r="D651" s="12" t="str">
        <f>INDEX('ei names mapping'!$B$104:$BK$133,MATCH(B614,'ei names mapping'!$A$4:$A$33,0),MATCH(G651,'ei names mapping'!$B$3:$BK$3,0))</f>
        <v>kilogram</v>
      </c>
      <c r="E651" s="12" t="str">
        <f>INDEX('ei names mapping'!$B$225:$BK$255,MATCH(B614,'ei names mapping'!$A$4:$A$33,0),MATCH(G651,'ei names mapping'!$B$3:$BK$3,0))</f>
        <v>air</v>
      </c>
      <c r="F651" s="12" t="s">
        <v>173</v>
      </c>
      <c r="G651" t="s">
        <v>60</v>
      </c>
      <c r="H651" s="12"/>
    </row>
    <row r="652" spans="1:8" x14ac:dyDescent="0.3">
      <c r="A652" s="12" t="str">
        <f>INDEX('ei names mapping'!$B$4:$BK$33,MATCH(B614,'ei names mapping'!$A$4:$A$33,0),MATCH(G652,'ei names mapping'!$B$3:$BK$3,0))</f>
        <v>Nitrogen oxides</v>
      </c>
      <c r="B652" s="15">
        <f>INDEX('vehicles specifications'!$B$3:$CK$86,MATCH(B617,'vehicles specifications'!$A$3:$A$86,0),MATCH(G652,'vehicles specifications'!$B$2:$CK$2,0))*INDEX('ei names mapping'!$B$137:$BK$220,MATCH(B617,'ei names mapping'!$A$137:$A$220,0),MATCH(G652,'ei names mapping'!$B$136:$BK$136,0))</f>
        <v>8.3751208926211812E-5</v>
      </c>
      <c r="C652" s="12"/>
      <c r="D652" s="12" t="str">
        <f>INDEX('ei names mapping'!$B$104:$BK$133,MATCH(B614,'ei names mapping'!$A$4:$A$33,0),MATCH(G652,'ei names mapping'!$B$3:$BK$3,0))</f>
        <v>kilogram</v>
      </c>
      <c r="E652" s="12" t="str">
        <f>INDEX('ei names mapping'!$B$225:$BK$255,MATCH(B614,'ei names mapping'!$A$4:$A$33,0),MATCH(G652,'ei names mapping'!$B$3:$BK$3,0))</f>
        <v>air</v>
      </c>
      <c r="F652" s="12" t="s">
        <v>173</v>
      </c>
      <c r="G652" s="12" t="s">
        <v>61</v>
      </c>
      <c r="H652" s="12"/>
    </row>
    <row r="653" spans="1:8" x14ac:dyDescent="0.3">
      <c r="A653" s="12" t="str">
        <f>INDEX('ei names mapping'!$B$4:$BK$33,MATCH(B614,'ei names mapping'!$A$4:$A$33,0),MATCH(G653,'ei names mapping'!$B$3:$BK$3,0))</f>
        <v>Particulates, &lt; 2.5 um</v>
      </c>
      <c r="B653" s="15">
        <f>INDEX('vehicles specifications'!$B$3:$CK$86,MATCH(B$617,'vehicles specifications'!$A$3:$A$86,0),MATCH(G653,'vehicles specifications'!$B$2:$CK$2,0))*INDEX('ei names mapping'!$B$137:$BK$220,MATCH(B$617,'ei names mapping'!$A$137:$A$220,0),MATCH(G653,'ei names mapping'!$B$136:$BK$136,0))</f>
        <v>6.4139038045523853E-6</v>
      </c>
      <c r="C653" s="12"/>
      <c r="D653" s="12" t="str">
        <f>INDEX('ei names mapping'!$B$104:$BK$133,MATCH(B614,'ei names mapping'!$A$4:$A$33,0),MATCH(G653,'ei names mapping'!$B$3:$BK$3,0))</f>
        <v>kilogram</v>
      </c>
      <c r="E653" s="12" t="str">
        <f>INDEX('ei names mapping'!$B$225:$BK$255,MATCH(B614,'ei names mapping'!$A$4:$A$33,0),MATCH(G653,'ei names mapping'!$B$3:$BK$3,0))</f>
        <v>air</v>
      </c>
      <c r="F653" s="12" t="s">
        <v>173</v>
      </c>
      <c r="G653" s="12" t="s">
        <v>63</v>
      </c>
      <c r="H653" s="12"/>
    </row>
    <row r="654" spans="1:8" s="21" customFormat="1" x14ac:dyDescent="0.3">
      <c r="A654" s="12" t="str">
        <f>INDEX('ei names mapping'!$B$4:$BK$33,MATCH(B$229,'ei names mapping'!$A$4:$A$33,0),MATCH(G654,'ei names mapping'!$B$3:$BK$3,0))</f>
        <v>NMVOC, non-methane volatile organic compounds, unspecified origin</v>
      </c>
      <c r="B654" s="15">
        <f>INDEX('vehicles specifications'!$B$3:$CK$86,MATCH(B$617,'vehicles specifications'!$A$3:$A$86,0),MATCH(G654,'vehicles specifications'!$B$2:$CK$2,0))*INDEX('ei names mapping'!$B$137:$BK$220,MATCH(B$617,'ei names mapping'!$A$137:$A$220,0),MATCH(G654,'ei names mapping'!$B$136:$BK$136,0))</f>
        <v>3.9148944817726415E-4</v>
      </c>
      <c r="C654" s="12"/>
      <c r="D654" s="12" t="str">
        <f>INDEX('ei names mapping'!$B$104:$BK$133,MATCH(B$229,'ei names mapping'!$A$4:$A$33,0),MATCH(G654,'ei names mapping'!$B$3:$BK$3,0))</f>
        <v>kilogram</v>
      </c>
      <c r="E654" s="12" t="str">
        <f>INDEX('ei names mapping'!$B$225:$BK$255,MATCH(B$229,'ei names mapping'!$A$4:$A$33,0),MATCH(G654,'ei names mapping'!$B$3:$BK$3,0))</f>
        <v>air</v>
      </c>
      <c r="F654" s="12" t="s">
        <v>173</v>
      </c>
      <c r="G654" s="12" t="s">
        <v>659</v>
      </c>
      <c r="H654" s="12"/>
    </row>
    <row r="655" spans="1:8" s="21" customFormat="1" x14ac:dyDescent="0.3">
      <c r="A655" s="12" t="str">
        <f>INDEX('ei names mapping'!$B$4:$BK$33,MATCH(B$229,'ei names mapping'!$A$4:$A$33,0),MATCH(G655,'ei names mapping'!$B$3:$BK$3,0))</f>
        <v>Ethane</v>
      </c>
      <c r="B655" s="15">
        <f>INDEX('vehicles specifications'!$B$3:$CK$86,MATCH(B$617,'vehicles specifications'!$A$3:$A$86,0),MATCH(G655,'vehicles specifications'!$B$2:$CK$2,0))*INDEX('ei names mapping'!$B$137:$BK$220,MATCH(B$617,'ei names mapping'!$A$137:$A$220,0),MATCH(G655,'ei names mapping'!$B$136:$BK$136,0))</f>
        <v>2.7605025191986573E-5</v>
      </c>
      <c r="C655" s="12"/>
      <c r="D655" s="12" t="str">
        <f>INDEX('ei names mapping'!$B$104:$BK$133,MATCH(B$229,'ei names mapping'!$A$4:$A$33,0),MATCH(G655,'ei names mapping'!$B$3:$BK$3,0))</f>
        <v>kilogram</v>
      </c>
      <c r="E655" s="12" t="str">
        <f>INDEX('ei names mapping'!$B$225:$BK$255,MATCH(B$229,'ei names mapping'!$A$4:$A$33,0),MATCH(G655,'ei names mapping'!$B$3:$BK$3,0))</f>
        <v>air</v>
      </c>
      <c r="F655" s="12" t="s">
        <v>173</v>
      </c>
      <c r="G655" s="12" t="s">
        <v>603</v>
      </c>
      <c r="H655" s="12"/>
    </row>
    <row r="656" spans="1:8" s="21" customFormat="1" x14ac:dyDescent="0.3">
      <c r="A656" s="12" t="str">
        <f>INDEX('ei names mapping'!$B$4:$BK$33,MATCH(B$229,'ei names mapping'!$A$4:$A$33,0),MATCH(G656,'ei names mapping'!$B$3:$BK$3,0))</f>
        <v>Propane</v>
      </c>
      <c r="B656" s="15">
        <f>INDEX('vehicles specifications'!$B$3:$CK$86,MATCH(B$617,'vehicles specifications'!$A$3:$A$86,0),MATCH(G656,'vehicles specifications'!$B$2:$CK$2,0))*INDEX('ei names mapping'!$B$137:$BK$220,MATCH(B$617,'ei names mapping'!$A$137:$A$220,0),MATCH(G656,'ei names mapping'!$B$136:$BK$136,0))</f>
        <v>5.6248483933514962E-6</v>
      </c>
      <c r="C656" s="12"/>
      <c r="D656" s="12" t="str">
        <f>INDEX('ei names mapping'!$B$104:$BK$133,MATCH(B$229,'ei names mapping'!$A$4:$A$33,0),MATCH(G656,'ei names mapping'!$B$3:$BK$3,0))</f>
        <v>kilogram</v>
      </c>
      <c r="E656" s="12" t="str">
        <f>INDEX('ei names mapping'!$B$225:$BK$255,MATCH(B$229,'ei names mapping'!$A$4:$A$33,0),MATCH(G656,'ei names mapping'!$B$3:$BK$3,0))</f>
        <v>air</v>
      </c>
      <c r="F656" s="12" t="s">
        <v>173</v>
      </c>
      <c r="G656" s="12" t="s">
        <v>604</v>
      </c>
      <c r="H656" s="12"/>
    </row>
    <row r="657" spans="1:8" s="21" customFormat="1" x14ac:dyDescent="0.3">
      <c r="A657" s="12" t="str">
        <f>INDEX('ei names mapping'!$B$4:$BK$33,MATCH(B$229,'ei names mapping'!$A$4:$A$33,0),MATCH(G657,'ei names mapping'!$B$3:$BK$3,0))</f>
        <v>Butane</v>
      </c>
      <c r="B657" s="15">
        <f>INDEX('vehicles specifications'!$B$3:$CK$86,MATCH(B$617,'vehicles specifications'!$A$3:$A$86,0),MATCH(G657,'vehicles specifications'!$B$2:$CK$2,0))*INDEX('ei names mapping'!$B$137:$BK$220,MATCH(B$617,'ei names mapping'!$A$137:$A$220,0),MATCH(G657,'ei names mapping'!$B$136:$BK$136,0))</f>
        <v>4.5344931663325912E-5</v>
      </c>
      <c r="C657" s="12"/>
      <c r="D657" s="12" t="str">
        <f>INDEX('ei names mapping'!$B$104:$BK$133,MATCH(B$229,'ei names mapping'!$A$4:$A$33,0),MATCH(G657,'ei names mapping'!$B$3:$BK$3,0))</f>
        <v>kilogram</v>
      </c>
      <c r="E657" s="12" t="str">
        <f>INDEX('ei names mapping'!$B$225:$BK$255,MATCH(B$229,'ei names mapping'!$A$4:$A$33,0),MATCH(G657,'ei names mapping'!$B$3:$BK$3,0))</f>
        <v>air</v>
      </c>
      <c r="F657" s="12" t="s">
        <v>173</v>
      </c>
      <c r="G657" s="12" t="s">
        <v>605</v>
      </c>
      <c r="H657" s="12"/>
    </row>
    <row r="658" spans="1:8" s="21" customFormat="1" x14ac:dyDescent="0.3">
      <c r="A658" s="12" t="str">
        <f>INDEX('ei names mapping'!$B$4:$BK$33,MATCH(B$229,'ei names mapping'!$A$4:$A$33,0),MATCH(G658,'ei names mapping'!$B$3:$BK$3,0))</f>
        <v>Pentane</v>
      </c>
      <c r="B658" s="15">
        <f>INDEX('vehicles specifications'!$B$3:$CK$86,MATCH(B$617,'vehicles specifications'!$A$3:$A$86,0),MATCH(G658,'vehicles specifications'!$B$2:$CK$2,0))*INDEX('ei names mapping'!$B$137:$BK$220,MATCH(B$617,'ei names mapping'!$A$137:$A$220,0),MATCH(G658,'ei names mapping'!$B$136:$BK$136,0))</f>
        <v>1.8605267762624179E-5</v>
      </c>
      <c r="C658" s="12"/>
      <c r="D658" s="12" t="str">
        <f>INDEX('ei names mapping'!$B$104:$BK$133,MATCH(B$229,'ei names mapping'!$A$4:$A$33,0),MATCH(G658,'ei names mapping'!$B$3:$BK$3,0))</f>
        <v>kilogram</v>
      </c>
      <c r="E658" s="12" t="str">
        <f>INDEX('ei names mapping'!$B$225:$BK$255,MATCH(B$229,'ei names mapping'!$A$4:$A$33,0),MATCH(G658,'ei names mapping'!$B$3:$BK$3,0))</f>
        <v>air</v>
      </c>
      <c r="F658" s="12" t="s">
        <v>173</v>
      </c>
      <c r="G658" s="12" t="s">
        <v>606</v>
      </c>
      <c r="H658" s="12"/>
    </row>
    <row r="659" spans="1:8" s="21" customFormat="1" x14ac:dyDescent="0.3">
      <c r="A659" s="12" t="str">
        <f>INDEX('ei names mapping'!$B$4:$BK$33,MATCH(B$229,'ei names mapping'!$A$4:$A$33,0),MATCH(G659,'ei names mapping'!$B$3:$BK$3,0))</f>
        <v>Hexane</v>
      </c>
      <c r="B659" s="15">
        <f>INDEX('vehicles specifications'!$B$3:$CK$86,MATCH(B$617,'vehicles specifications'!$A$3:$A$86,0),MATCH(G659,'vehicles specifications'!$B$2:$CK$2,0))*INDEX('ei names mapping'!$B$137:$BK$220,MATCH(B$617,'ei names mapping'!$A$137:$A$220,0),MATCH(G659,'ei names mapping'!$B$136:$BK$136,0))</f>
        <v>1.3932316789686016E-5</v>
      </c>
      <c r="C659" s="12"/>
      <c r="D659" s="12" t="str">
        <f>INDEX('ei names mapping'!$B$104:$BK$133,MATCH(B$229,'ei names mapping'!$A$4:$A$33,0),MATCH(G659,'ei names mapping'!$B$3:$BK$3,0))</f>
        <v>kilogram</v>
      </c>
      <c r="E659" s="12" t="str">
        <f>INDEX('ei names mapping'!$B$225:$BK$255,MATCH(B$229,'ei names mapping'!$A$4:$A$33,0),MATCH(G659,'ei names mapping'!$B$3:$BK$3,0))</f>
        <v>air</v>
      </c>
      <c r="F659" s="12" t="s">
        <v>173</v>
      </c>
      <c r="G659" s="12" t="s">
        <v>607</v>
      </c>
      <c r="H659" s="12"/>
    </row>
    <row r="660" spans="1:8" s="21" customFormat="1" x14ac:dyDescent="0.3">
      <c r="A660" s="12" t="str">
        <f>INDEX('ei names mapping'!$B$4:$BK$33,MATCH(B$229,'ei names mapping'!$A$4:$A$33,0),MATCH(G660,'ei names mapping'!$B$3:$BK$3,0))</f>
        <v>Cyclohexane</v>
      </c>
      <c r="B660" s="15">
        <f>INDEX('vehicles specifications'!$B$3:$CK$86,MATCH(B$617,'vehicles specifications'!$A$3:$A$86,0),MATCH(G660,'vehicles specifications'!$B$2:$CK$2,0))*INDEX('ei names mapping'!$B$137:$BK$220,MATCH(B$617,'ei names mapping'!$A$137:$A$220,0),MATCH(G660,'ei names mapping'!$B$136:$BK$136,0))</f>
        <v>9.8651187206472398E-6</v>
      </c>
      <c r="C660" s="12"/>
      <c r="D660" s="12" t="str">
        <f>INDEX('ei names mapping'!$B$104:$BK$133,MATCH(B$229,'ei names mapping'!$A$4:$A$33,0),MATCH(G660,'ei names mapping'!$B$3:$BK$3,0))</f>
        <v>kilogram</v>
      </c>
      <c r="E660" s="12" t="str">
        <f>INDEX('ei names mapping'!$B$225:$BK$255,MATCH(B$229,'ei names mapping'!$A$4:$A$33,0),MATCH(G660,'ei names mapping'!$B$3:$BK$3,0))</f>
        <v>air</v>
      </c>
      <c r="F660" s="12" t="s">
        <v>173</v>
      </c>
      <c r="G660" s="12" t="s">
        <v>608</v>
      </c>
      <c r="H660" s="12"/>
    </row>
    <row r="661" spans="1:8" s="21" customFormat="1" x14ac:dyDescent="0.3">
      <c r="A661" s="12" t="str">
        <f>INDEX('ei names mapping'!$B$4:$BK$33,MATCH(B$229,'ei names mapping'!$A$4:$A$33,0),MATCH(G661,'ei names mapping'!$B$3:$BK$3,0))</f>
        <v>Heptane</v>
      </c>
      <c r="B661" s="15">
        <f>INDEX('vehicles specifications'!$B$3:$CK$86,MATCH(B$617,'vehicles specifications'!$A$3:$A$86,0),MATCH(G661,'vehicles specifications'!$B$2:$CK$2,0))*INDEX('ei names mapping'!$B$137:$BK$220,MATCH(B$617,'ei names mapping'!$A$137:$A$220,0),MATCH(G661,'ei names mapping'!$B$136:$BK$136,0))</f>
        <v>6.4036735555078573E-6</v>
      </c>
      <c r="C661" s="12"/>
      <c r="D661" s="12" t="str">
        <f>INDEX('ei names mapping'!$B$104:$BK$133,MATCH(B$229,'ei names mapping'!$A$4:$A$33,0),MATCH(G661,'ei names mapping'!$B$3:$BK$3,0))</f>
        <v>kilogram</v>
      </c>
      <c r="E661" s="12" t="str">
        <f>INDEX('ei names mapping'!$B$225:$BK$255,MATCH(B$229,'ei names mapping'!$A$4:$A$33,0),MATCH(G661,'ei names mapping'!$B$3:$BK$3,0))</f>
        <v>air</v>
      </c>
      <c r="F661" s="12" t="s">
        <v>173</v>
      </c>
      <c r="G661" s="12" t="s">
        <v>609</v>
      </c>
      <c r="H661" s="12"/>
    </row>
    <row r="662" spans="1:8" s="21" customFormat="1" x14ac:dyDescent="0.3">
      <c r="A662" s="12" t="str">
        <f>INDEX('ei names mapping'!$B$4:$BK$33,MATCH(B$229,'ei names mapping'!$A$4:$A$33,0),MATCH(G662,'ei names mapping'!$B$3:$BK$3,0))</f>
        <v>Ethene</v>
      </c>
      <c r="B662" s="15">
        <f>INDEX('vehicles specifications'!$B$3:$CK$86,MATCH(B$617,'vehicles specifications'!$A$3:$A$86,0),MATCH(G662,'vehicles specifications'!$B$2:$CK$2,0))*INDEX('ei names mapping'!$B$137:$BK$220,MATCH(B$617,'ei names mapping'!$A$137:$A$220,0),MATCH(G662,'ei names mapping'!$B$136:$BK$136,0))</f>
        <v>6.3171374263793726E-5</v>
      </c>
      <c r="C662" s="12"/>
      <c r="D662" s="12" t="str">
        <f>INDEX('ei names mapping'!$B$104:$BK$133,MATCH(B$229,'ei names mapping'!$A$4:$A$33,0),MATCH(G662,'ei names mapping'!$B$3:$BK$3,0))</f>
        <v>kilogram</v>
      </c>
      <c r="E662" s="12" t="str">
        <f>INDEX('ei names mapping'!$B$225:$BK$255,MATCH(B$229,'ei names mapping'!$A$4:$A$33,0),MATCH(G662,'ei names mapping'!$B$3:$BK$3,0))</f>
        <v>air</v>
      </c>
      <c r="F662" s="12" t="s">
        <v>173</v>
      </c>
      <c r="G662" s="12" t="s">
        <v>610</v>
      </c>
      <c r="H662" s="12"/>
    </row>
    <row r="663" spans="1:8" s="21" customFormat="1" x14ac:dyDescent="0.3">
      <c r="A663" s="12" t="str">
        <f>INDEX('ei names mapping'!$B$4:$BK$33,MATCH(B$229,'ei names mapping'!$A$4:$A$33,0),MATCH(G663,'ei names mapping'!$B$3:$BK$3,0))</f>
        <v>Propene</v>
      </c>
      <c r="B663" s="15">
        <f>INDEX('vehicles specifications'!$B$3:$CK$86,MATCH(B$617,'vehicles specifications'!$A$3:$A$86,0),MATCH(G663,'vehicles specifications'!$B$2:$CK$2,0))*INDEX('ei names mapping'!$B$137:$BK$220,MATCH(B$617,'ei names mapping'!$A$137:$A$220,0),MATCH(G663,'ei names mapping'!$B$136:$BK$136,0))</f>
        <v>3.3056801327081096E-5</v>
      </c>
      <c r="C663" s="12"/>
      <c r="D663" s="12" t="str">
        <f>INDEX('ei names mapping'!$B$104:$BK$133,MATCH(B$229,'ei names mapping'!$A$4:$A$33,0),MATCH(G663,'ei names mapping'!$B$3:$BK$3,0))</f>
        <v>kilogram</v>
      </c>
      <c r="E663" s="12" t="str">
        <f>INDEX('ei names mapping'!$B$225:$BK$255,MATCH(B$229,'ei names mapping'!$A$4:$A$33,0),MATCH(G663,'ei names mapping'!$B$3:$BK$3,0))</f>
        <v>air</v>
      </c>
      <c r="F663" s="12" t="s">
        <v>173</v>
      </c>
      <c r="G663" s="12" t="s">
        <v>611</v>
      </c>
      <c r="H663" s="12"/>
    </row>
    <row r="664" spans="1:8" s="21" customFormat="1" x14ac:dyDescent="0.3">
      <c r="A664" s="12" t="str">
        <f>INDEX('ei names mapping'!$B$4:$BK$33,MATCH(B$229,'ei names mapping'!$A$4:$A$33,0),MATCH(G664,'ei names mapping'!$B$3:$BK$3,0))</f>
        <v>1-Pentene</v>
      </c>
      <c r="B664" s="15">
        <f>INDEX('vehicles specifications'!$B$3:$CK$86,MATCH(B$617,'vehicles specifications'!$A$3:$A$86,0),MATCH(G664,'vehicles specifications'!$B$2:$CK$2,0))*INDEX('ei names mapping'!$B$137:$BK$220,MATCH(B$617,'ei names mapping'!$A$137:$A$220,0),MATCH(G664,'ei names mapping'!$B$136:$BK$136,0))</f>
        <v>9.5189742041333027E-7</v>
      </c>
      <c r="C664" s="12"/>
      <c r="D664" s="12" t="str">
        <f>INDEX('ei names mapping'!$B$104:$BK$133,MATCH(B$229,'ei names mapping'!$A$4:$A$33,0),MATCH(G664,'ei names mapping'!$B$3:$BK$3,0))</f>
        <v>kilogram</v>
      </c>
      <c r="E664" s="12" t="str">
        <f>INDEX('ei names mapping'!$B$225:$BK$255,MATCH(B$229,'ei names mapping'!$A$4:$A$33,0),MATCH(G664,'ei names mapping'!$B$3:$BK$3,0))</f>
        <v>air</v>
      </c>
      <c r="F664" s="12" t="s">
        <v>173</v>
      </c>
      <c r="G664" s="12" t="s">
        <v>612</v>
      </c>
      <c r="H664" s="12"/>
    </row>
    <row r="665" spans="1:8" s="21" customFormat="1" x14ac:dyDescent="0.3">
      <c r="A665" s="12" t="str">
        <f>INDEX('ei names mapping'!$B$4:$BK$33,MATCH(B$229,'ei names mapping'!$A$4:$A$33,0),MATCH(G665,'ei names mapping'!$B$3:$BK$3,0))</f>
        <v>Toluene</v>
      </c>
      <c r="B665" s="15">
        <f>INDEX('vehicles specifications'!$B$3:$CK$86,MATCH(B$617,'vehicles specifications'!$A$3:$A$86,0),MATCH(G665,'vehicles specifications'!$B$2:$CK$2,0))*INDEX('ei names mapping'!$B$137:$BK$220,MATCH(B$617,'ei names mapping'!$A$137:$A$220,0),MATCH(G665,'ei names mapping'!$B$136:$BK$136,0))</f>
        <v>9.5016669783076047E-5</v>
      </c>
      <c r="C665" s="12"/>
      <c r="D665" s="12" t="str">
        <f>INDEX('ei names mapping'!$B$104:$BK$133,MATCH(B$229,'ei names mapping'!$A$4:$A$33,0),MATCH(G665,'ei names mapping'!$B$3:$BK$3,0))</f>
        <v>kilogram</v>
      </c>
      <c r="E665" s="12" t="str">
        <f>INDEX('ei names mapping'!$B$225:$BK$255,MATCH(B$229,'ei names mapping'!$A$4:$A$33,0),MATCH(G665,'ei names mapping'!$B$3:$BK$3,0))</f>
        <v>air</v>
      </c>
      <c r="F665" s="12" t="s">
        <v>173</v>
      </c>
      <c r="G665" s="12" t="s">
        <v>613</v>
      </c>
      <c r="H665" s="12"/>
    </row>
    <row r="666" spans="1:8" s="21" customFormat="1" x14ac:dyDescent="0.3">
      <c r="A666" s="12" t="str">
        <f>INDEX('ei names mapping'!$B$4:$BK$33,MATCH(B$229,'ei names mapping'!$A$4:$A$33,0),MATCH(G666,'ei names mapping'!$B$3:$BK$3,0))</f>
        <v>m-Xylene</v>
      </c>
      <c r="B666" s="15">
        <f>INDEX('vehicles specifications'!$B$3:$CK$86,MATCH(B$617,'vehicles specifications'!$A$3:$A$86,0),MATCH(G666,'vehicles specifications'!$B$2:$CK$2,0))*INDEX('ei names mapping'!$B$137:$BK$220,MATCH(B$617,'ei names mapping'!$A$137:$A$220,0),MATCH(G666,'ei names mapping'!$B$136:$BK$136,0))</f>
        <v>4.698911811676712E-5</v>
      </c>
      <c r="C666" s="12"/>
      <c r="D666" s="12" t="str">
        <f>INDEX('ei names mapping'!$B$104:$BK$133,MATCH(B$229,'ei names mapping'!$A$4:$A$33,0),MATCH(G666,'ei names mapping'!$B$3:$BK$3,0))</f>
        <v>kilogram</v>
      </c>
      <c r="E666" s="12" t="str">
        <f>INDEX('ei names mapping'!$B$225:$BK$255,MATCH(B$229,'ei names mapping'!$A$4:$A$33,0),MATCH(G666,'ei names mapping'!$B$3:$BK$3,0))</f>
        <v>air</v>
      </c>
      <c r="F666" s="12" t="s">
        <v>173</v>
      </c>
      <c r="G666" s="12" t="s">
        <v>614</v>
      </c>
      <c r="H666" s="12"/>
    </row>
    <row r="667" spans="1:8" s="21" customFormat="1" x14ac:dyDescent="0.3">
      <c r="A667" s="12" t="str">
        <f>INDEX('ei names mapping'!$B$4:$BK$33,MATCH(B$229,'ei names mapping'!$A$4:$A$33,0),MATCH(G667,'ei names mapping'!$B$3:$BK$3,0))</f>
        <v>o-Xylene</v>
      </c>
      <c r="B667" s="15">
        <f>INDEX('vehicles specifications'!$B$3:$CK$86,MATCH(B$617,'vehicles specifications'!$A$3:$A$86,0),MATCH(G667,'vehicles specifications'!$B$2:$CK$2,0))*INDEX('ei names mapping'!$B$137:$BK$220,MATCH(B$617,'ei names mapping'!$A$137:$A$220,0),MATCH(G667,'ei names mapping'!$B$136:$BK$136,0))</f>
        <v>1.9557165183037508E-5</v>
      </c>
      <c r="C667" s="12"/>
      <c r="D667" s="12" t="str">
        <f>INDEX('ei names mapping'!$B$104:$BK$133,MATCH(B$229,'ei names mapping'!$A$4:$A$33,0),MATCH(G667,'ei names mapping'!$B$3:$BK$3,0))</f>
        <v>kilogram</v>
      </c>
      <c r="E667" s="12" t="str">
        <f>INDEX('ei names mapping'!$B$225:$BK$255,MATCH(B$229,'ei names mapping'!$A$4:$A$33,0),MATCH(G667,'ei names mapping'!$B$3:$BK$3,0))</f>
        <v>air</v>
      </c>
      <c r="F667" s="12" t="s">
        <v>173</v>
      </c>
      <c r="G667" s="12" t="s">
        <v>615</v>
      </c>
      <c r="H667" s="12"/>
    </row>
    <row r="668" spans="1:8" s="21" customFormat="1" x14ac:dyDescent="0.3">
      <c r="A668" s="12" t="str">
        <f>INDEX('ei names mapping'!$B$4:$BK$33,MATCH(B$229,'ei names mapping'!$A$4:$A$33,0),MATCH(G668,'ei names mapping'!$B$3:$BK$3,0))</f>
        <v>Formaldehyde</v>
      </c>
      <c r="B668" s="15">
        <f>INDEX('vehicles specifications'!$B$3:$CK$86,MATCH(B$617,'vehicles specifications'!$A$3:$A$86,0),MATCH(G668,'vehicles specifications'!$B$2:$CK$2,0))*INDEX('ei names mapping'!$B$137:$BK$220,MATCH(B$617,'ei names mapping'!$A$137:$A$220,0),MATCH(G668,'ei names mapping'!$B$136:$BK$136,0))</f>
        <v>1.4711141951842378E-5</v>
      </c>
      <c r="C668" s="12"/>
      <c r="D668" s="12" t="str">
        <f>INDEX('ei names mapping'!$B$104:$BK$133,MATCH(B$229,'ei names mapping'!$A$4:$A$33,0),MATCH(G668,'ei names mapping'!$B$3:$BK$3,0))</f>
        <v>kilogram</v>
      </c>
      <c r="E668" s="12" t="str">
        <f>INDEX('ei names mapping'!$B$225:$BK$255,MATCH(B$229,'ei names mapping'!$A$4:$A$33,0),MATCH(G668,'ei names mapping'!$B$3:$BK$3,0))</f>
        <v>air</v>
      </c>
      <c r="F668" s="12" t="s">
        <v>173</v>
      </c>
      <c r="G668" s="12" t="s">
        <v>616</v>
      </c>
      <c r="H668" s="12"/>
    </row>
    <row r="669" spans="1:8" s="21" customFormat="1" x14ac:dyDescent="0.3">
      <c r="A669" s="12" t="str">
        <f>INDEX('ei names mapping'!$B$4:$BK$33,MATCH(B$229,'ei names mapping'!$A$4:$A$33,0),MATCH(G669,'ei names mapping'!$B$3:$BK$3,0))</f>
        <v>Acetaldehyde</v>
      </c>
      <c r="B669" s="15">
        <f>INDEX('vehicles specifications'!$B$3:$CK$86,MATCH(B$617,'vehicles specifications'!$A$3:$A$86,0),MATCH(G669,'vehicles specifications'!$B$2:$CK$2,0))*INDEX('ei names mapping'!$B$137:$BK$220,MATCH(B$617,'ei names mapping'!$A$137:$A$220,0),MATCH(G669,'ei names mapping'!$B$136:$BK$136,0))</f>
        <v>6.4902096846363412E-6</v>
      </c>
      <c r="C669" s="12"/>
      <c r="D669" s="12" t="str">
        <f>INDEX('ei names mapping'!$B$104:$BK$133,MATCH(B$229,'ei names mapping'!$A$4:$A$33,0),MATCH(G669,'ei names mapping'!$B$3:$BK$3,0))</f>
        <v>kilogram</v>
      </c>
      <c r="E669" s="12" t="str">
        <f>INDEX('ei names mapping'!$B$225:$BK$255,MATCH(B$229,'ei names mapping'!$A$4:$A$33,0),MATCH(G669,'ei names mapping'!$B$3:$BK$3,0))</f>
        <v>air</v>
      </c>
      <c r="F669" s="12" t="s">
        <v>173</v>
      </c>
      <c r="G669" s="12" t="s">
        <v>617</v>
      </c>
      <c r="H669" s="12"/>
    </row>
    <row r="670" spans="1:8" s="21" customFormat="1" x14ac:dyDescent="0.3">
      <c r="A670" s="12" t="str">
        <f>INDEX('ei names mapping'!$B$4:$BK$33,MATCH(B$229,'ei names mapping'!$A$4:$A$33,0),MATCH(G670,'ei names mapping'!$B$3:$BK$3,0))</f>
        <v>Benzaldehyde</v>
      </c>
      <c r="B670" s="15">
        <f>INDEX('vehicles specifications'!$B$3:$CK$86,MATCH(B$617,'vehicles specifications'!$A$3:$A$86,0),MATCH(G670,'vehicles specifications'!$B$2:$CK$2,0))*INDEX('ei names mapping'!$B$137:$BK$220,MATCH(B$617,'ei names mapping'!$A$137:$A$220,0),MATCH(G670,'ei names mapping'!$B$136:$BK$136,0))</f>
        <v>1.9037948408266605E-6</v>
      </c>
      <c r="C670" s="12"/>
      <c r="D670" s="12" t="str">
        <f>INDEX('ei names mapping'!$B$104:$BK$133,MATCH(B$229,'ei names mapping'!$A$4:$A$33,0),MATCH(G670,'ei names mapping'!$B$3:$BK$3,0))</f>
        <v>kilogram</v>
      </c>
      <c r="E670" s="12" t="str">
        <f>INDEX('ei names mapping'!$B$225:$BK$255,MATCH(B$229,'ei names mapping'!$A$4:$A$33,0),MATCH(G670,'ei names mapping'!$B$3:$BK$3,0))</f>
        <v>air</v>
      </c>
      <c r="F670" s="12" t="s">
        <v>173</v>
      </c>
      <c r="G670" s="12" t="s">
        <v>618</v>
      </c>
      <c r="H670" s="12"/>
    </row>
    <row r="671" spans="1:8" s="21" customFormat="1" x14ac:dyDescent="0.3">
      <c r="A671" s="12" t="str">
        <f>INDEX('ei names mapping'!$B$4:$BK$33,MATCH(B$229,'ei names mapping'!$A$4:$A$33,0),MATCH(G671,'ei names mapping'!$B$3:$BK$3,0))</f>
        <v>Acetone</v>
      </c>
      <c r="B671" s="15">
        <f>INDEX('vehicles specifications'!$B$3:$CK$86,MATCH(B$617,'vehicles specifications'!$A$3:$A$86,0),MATCH(G671,'vehicles specifications'!$B$2:$CK$2,0))*INDEX('ei names mapping'!$B$137:$BK$220,MATCH(B$617,'ei names mapping'!$A$137:$A$220,0),MATCH(G671,'ei names mapping'!$B$136:$BK$136,0))</f>
        <v>5.2787038768375589E-6</v>
      </c>
      <c r="C671" s="12"/>
      <c r="D671" s="12" t="str">
        <f>INDEX('ei names mapping'!$B$104:$BK$133,MATCH(B$229,'ei names mapping'!$A$4:$A$33,0),MATCH(G671,'ei names mapping'!$B$3:$BK$3,0))</f>
        <v>kilogram</v>
      </c>
      <c r="E671" s="12" t="str">
        <f>INDEX('ei names mapping'!$B$225:$BK$255,MATCH(B$229,'ei names mapping'!$A$4:$A$33,0),MATCH(G671,'ei names mapping'!$B$3:$BK$3,0))</f>
        <v>air</v>
      </c>
      <c r="F671" s="12" t="s">
        <v>173</v>
      </c>
      <c r="G671" s="12" t="s">
        <v>619</v>
      </c>
      <c r="H671" s="12"/>
    </row>
    <row r="672" spans="1:8" s="21" customFormat="1" x14ac:dyDescent="0.3">
      <c r="A672" s="12" t="str">
        <f>INDEX('ei names mapping'!$B$4:$BK$33,MATCH(B$229,'ei names mapping'!$A$4:$A$33,0),MATCH(G672,'ei names mapping'!$B$3:$BK$3,0))</f>
        <v>Methyl ethyl ketone</v>
      </c>
      <c r="B672" s="15">
        <f>INDEX('vehicles specifications'!$B$3:$CK$86,MATCH(B$617,'vehicles specifications'!$A$3:$A$86,0),MATCH(G672,'vehicles specifications'!$B$2:$CK$2,0))*INDEX('ei names mapping'!$B$137:$BK$220,MATCH(B$617,'ei names mapping'!$A$137:$A$220,0),MATCH(G672,'ei names mapping'!$B$136:$BK$136,0))</f>
        <v>0</v>
      </c>
      <c r="C672" s="12"/>
      <c r="D672" s="12" t="str">
        <f>INDEX('ei names mapping'!$B$104:$BK$133,MATCH(B$229,'ei names mapping'!$A$4:$A$33,0),MATCH(G672,'ei names mapping'!$B$3:$BK$3,0))</f>
        <v>kilogram</v>
      </c>
      <c r="E672" s="12" t="str">
        <f>INDEX('ei names mapping'!$B$225:$BK$255,MATCH(B$229,'ei names mapping'!$A$4:$A$33,0),MATCH(G672,'ei names mapping'!$B$3:$BK$3,0))</f>
        <v>air</v>
      </c>
      <c r="F672" s="12" t="s">
        <v>173</v>
      </c>
      <c r="G672" s="12" t="s">
        <v>622</v>
      </c>
      <c r="H672" s="12"/>
    </row>
    <row r="673" spans="1:8" s="21" customFormat="1" x14ac:dyDescent="0.3">
      <c r="A673" s="12" t="str">
        <f>INDEX('ei names mapping'!$B$4:$BK$33,MATCH(B$229,'ei names mapping'!$A$4:$A$33,0),MATCH(G673,'ei names mapping'!$B$3:$BK$3,0))</f>
        <v>Acrolein</v>
      </c>
      <c r="B673" s="15">
        <f>INDEX('vehicles specifications'!$B$3:$CK$86,MATCH(B$617,'vehicles specifications'!$A$3:$A$86,0),MATCH(G673,'vehicles specifications'!$B$2:$CK$2,0))*INDEX('ei names mapping'!$B$137:$BK$220,MATCH(B$617,'ei names mapping'!$A$137:$A$220,0),MATCH(G673,'ei names mapping'!$B$136:$BK$136,0))</f>
        <v>1.6441864534412067E-6</v>
      </c>
      <c r="C673" s="12"/>
      <c r="D673" s="12" t="str">
        <f>INDEX('ei names mapping'!$B$104:$BK$133,MATCH(B$229,'ei names mapping'!$A$4:$A$33,0),MATCH(G673,'ei names mapping'!$B$3:$BK$3,0))</f>
        <v>kilogram</v>
      </c>
      <c r="E673" s="12" t="str">
        <f>INDEX('ei names mapping'!$B$225:$BK$255,MATCH(B$229,'ei names mapping'!$A$4:$A$33,0),MATCH(G673,'ei names mapping'!$B$3:$BK$3,0))</f>
        <v>air</v>
      </c>
      <c r="F673" s="12" t="s">
        <v>173</v>
      </c>
      <c r="G673" s="12" t="s">
        <v>620</v>
      </c>
      <c r="H673" s="12"/>
    </row>
    <row r="674" spans="1:8" s="21" customFormat="1" x14ac:dyDescent="0.3">
      <c r="A674" s="12" t="str">
        <f>INDEX('ei names mapping'!$B$4:$BK$33,MATCH(B$229,'ei names mapping'!$A$4:$A$33,0),MATCH(G674,'ei names mapping'!$B$3:$BK$3,0))</f>
        <v>Styrene</v>
      </c>
      <c r="B674" s="15">
        <f>INDEX('vehicles specifications'!$B$3:$CK$86,MATCH(B$617,'vehicles specifications'!$A$3:$A$86,0),MATCH(G674,'vehicles specifications'!$B$2:$CK$2,0))*INDEX('ei names mapping'!$B$137:$BK$220,MATCH(B$617,'ei names mapping'!$A$137:$A$220,0),MATCH(G674,'ei names mapping'!$B$136:$BK$136,0))</f>
        <v>8.7401490419769389E-6</v>
      </c>
      <c r="C674" s="12"/>
      <c r="D674" s="12" t="str">
        <f>INDEX('ei names mapping'!$B$104:$BK$133,MATCH(B$229,'ei names mapping'!$A$4:$A$33,0),MATCH(G674,'ei names mapping'!$B$3:$BK$3,0))</f>
        <v>kilogram</v>
      </c>
      <c r="E674" s="12" t="str">
        <f>INDEX('ei names mapping'!$B$225:$BK$255,MATCH(B$229,'ei names mapping'!$A$4:$A$33,0),MATCH(G674,'ei names mapping'!$B$3:$BK$3,0))</f>
        <v>air</v>
      </c>
      <c r="F674" s="12" t="s">
        <v>173</v>
      </c>
      <c r="G674" s="12" t="s">
        <v>621</v>
      </c>
      <c r="H674" s="12"/>
    </row>
    <row r="675" spans="1:8" s="21" customFormat="1" x14ac:dyDescent="0.3">
      <c r="A675" s="12" t="str">
        <f>INDEX('ei names mapping'!$B$4:$BK$33,MATCH(B$229,'ei names mapping'!$A$4:$A$33,0),MATCH(G675,'ei names mapping'!$B$3:$BK$3,0))</f>
        <v>PAH, polycyclic aromatic hydrocarbons</v>
      </c>
      <c r="B675" s="15">
        <f>INDEX('vehicles specifications'!$B$3:$CK$86,MATCH(B$617,'vehicles specifications'!$A$3:$A$86,0),MATCH(G675,'vehicles specifications'!$B$2:$CK$2,0))*INDEX('ei names mapping'!$B$137:$BK$220,MATCH(B$617,'ei names mapping'!$A$137:$A$220,0),MATCH(G675,'ei names mapping'!$B$136:$BK$136,0))</f>
        <v>2.7785643076319082E-8</v>
      </c>
      <c r="C675" s="12"/>
      <c r="D675" s="12" t="str">
        <f>INDEX('ei names mapping'!$B$104:$BK$133,MATCH(B$229,'ei names mapping'!$A$4:$A$33,0),MATCH(G675,'ei names mapping'!$B$3:$BK$3,0))</f>
        <v>kilogram</v>
      </c>
      <c r="E675" s="12" t="str">
        <f>INDEX('ei names mapping'!$B$225:$BK$255,MATCH(B$229,'ei names mapping'!$A$4:$A$33,0),MATCH(G675,'ei names mapping'!$B$3:$BK$3,0))</f>
        <v>air</v>
      </c>
      <c r="F675" s="12" t="s">
        <v>173</v>
      </c>
      <c r="G675" s="12" t="s">
        <v>623</v>
      </c>
      <c r="H675" s="12"/>
    </row>
    <row r="676" spans="1:8" s="21" customFormat="1" x14ac:dyDescent="0.3">
      <c r="A676" s="12" t="str">
        <f>INDEX('ei names mapping'!$B$4:$BK$33,MATCH(B$229,'ei names mapping'!$A$4:$A$33,0),MATCH(G676,'ei names mapping'!$B$3:$BK$3,0))</f>
        <v>Arsenic</v>
      </c>
      <c r="B676" s="15">
        <f>INDEX('vehicles specifications'!$B$3:$CK$86,MATCH(B$617,'vehicles specifications'!$A$3:$A$86,0),MATCH(G676,'vehicles specifications'!$B$2:$CK$2,0))*INDEX('ei names mapping'!$B$137:$BK$220,MATCH(B$617,'ei names mapping'!$A$137:$A$220,0),MATCH(G676,'ei names mapping'!$B$136:$BK$136,0))</f>
        <v>2.3953140583033693E-10</v>
      </c>
      <c r="C676" s="12"/>
      <c r="D676" s="12" t="str">
        <f>INDEX('ei names mapping'!$B$104:$BK$133,MATCH(B$229,'ei names mapping'!$A$4:$A$33,0),MATCH(G676,'ei names mapping'!$B$3:$BK$3,0))</f>
        <v>kilogram</v>
      </c>
      <c r="E676" s="12" t="str">
        <f>INDEX('ei names mapping'!$B$225:$BK$255,MATCH(B$229,'ei names mapping'!$A$4:$A$33,0),MATCH(G676,'ei names mapping'!$B$3:$BK$3,0))</f>
        <v>air</v>
      </c>
      <c r="F676" s="12" t="s">
        <v>173</v>
      </c>
      <c r="G676" s="12" t="s">
        <v>624</v>
      </c>
      <c r="H676" s="12"/>
    </row>
    <row r="677" spans="1:8" s="21" customFormat="1" x14ac:dyDescent="0.3">
      <c r="A677" s="12" t="str">
        <f>INDEX('ei names mapping'!$B$4:$BK$33,MATCH(B$229,'ei names mapping'!$A$4:$A$33,0),MATCH(G677,'ei names mapping'!$B$3:$BK$3,0))</f>
        <v>Selenium</v>
      </c>
      <c r="B677" s="15">
        <f>INDEX('vehicles specifications'!$B$3:$CK$86,MATCH(B$617,'vehicles specifications'!$A$3:$A$86,0),MATCH(G677,'vehicles specifications'!$B$2:$CK$2,0))*INDEX('ei names mapping'!$B$137:$BK$220,MATCH(B$617,'ei names mapping'!$A$137:$A$220,0),MATCH(G677,'ei names mapping'!$B$136:$BK$136,0))</f>
        <v>1.5968760388689128E-10</v>
      </c>
      <c r="C677" s="12"/>
      <c r="D677" s="12" t="str">
        <f>INDEX('ei names mapping'!$B$104:$BK$133,MATCH(B$229,'ei names mapping'!$A$4:$A$33,0),MATCH(G677,'ei names mapping'!$B$3:$BK$3,0))</f>
        <v>kilogram</v>
      </c>
      <c r="E677" s="12" t="str">
        <f>INDEX('ei names mapping'!$B$225:$BK$255,MATCH(B$229,'ei names mapping'!$A$4:$A$33,0),MATCH(G677,'ei names mapping'!$B$3:$BK$3,0))</f>
        <v>air</v>
      </c>
      <c r="F677" s="12" t="s">
        <v>173</v>
      </c>
      <c r="G677" s="12" t="s">
        <v>625</v>
      </c>
      <c r="H677" s="12"/>
    </row>
    <row r="678" spans="1:8" s="21" customFormat="1" x14ac:dyDescent="0.3">
      <c r="A678" s="12" t="str">
        <f>INDEX('ei names mapping'!$B$4:$BK$33,MATCH(B$229,'ei names mapping'!$A$4:$A$33,0),MATCH(G678,'ei names mapping'!$B$3:$BK$3,0))</f>
        <v>Zinc</v>
      </c>
      <c r="B678" s="15">
        <f>INDEX('vehicles specifications'!$B$3:$CK$86,MATCH(B$617,'vehicles specifications'!$A$3:$A$86,0),MATCH(G678,'vehicles specifications'!$B$2:$CK$2,0))*INDEX('ei names mapping'!$B$137:$BK$220,MATCH(B$617,'ei names mapping'!$A$137:$A$220,0),MATCH(G678,'ei names mapping'!$B$136:$BK$136,0))</f>
        <v>1.7246261219784257E-6</v>
      </c>
      <c r="C678" s="12"/>
      <c r="D678" s="12" t="str">
        <f>INDEX('ei names mapping'!$B$104:$BK$133,MATCH(B$229,'ei names mapping'!$A$4:$A$33,0),MATCH(G678,'ei names mapping'!$B$3:$BK$3,0))</f>
        <v>kilogram</v>
      </c>
      <c r="E678" s="12" t="str">
        <f>INDEX('ei names mapping'!$B$225:$BK$255,MATCH(B$229,'ei names mapping'!$A$4:$A$33,0),MATCH(G678,'ei names mapping'!$B$3:$BK$3,0))</f>
        <v>air</v>
      </c>
      <c r="F678" s="12" t="s">
        <v>173</v>
      </c>
      <c r="G678" s="12" t="s">
        <v>626</v>
      </c>
      <c r="H678" s="12"/>
    </row>
    <row r="679" spans="1:8" s="21" customFormat="1" x14ac:dyDescent="0.3">
      <c r="A679" s="12" t="str">
        <f>INDEX('ei names mapping'!$B$4:$BK$33,MATCH(B$229,'ei names mapping'!$A$4:$A$33,0),MATCH(G679,'ei names mapping'!$B$3:$BK$3,0))</f>
        <v>Copper</v>
      </c>
      <c r="B679" s="15">
        <f>INDEX('vehicles specifications'!$B$3:$CK$86,MATCH(B$617,'vehicles specifications'!$A$3:$A$86,0),MATCH(G679,'vehicles specifications'!$B$2:$CK$2,0))*INDEX('ei names mapping'!$B$137:$BK$220,MATCH(B$617,'ei names mapping'!$A$137:$A$220,0),MATCH(G679,'ei names mapping'!$B$136:$BK$136,0))</f>
        <v>3.3534396816247166E-8</v>
      </c>
      <c r="C679" s="12"/>
      <c r="D679" s="12" t="str">
        <f>INDEX('ei names mapping'!$B$104:$BK$133,MATCH(B$229,'ei names mapping'!$A$4:$A$33,0),MATCH(G679,'ei names mapping'!$B$3:$BK$3,0))</f>
        <v>kilogram</v>
      </c>
      <c r="E679" s="12" t="str">
        <f>INDEX('ei names mapping'!$B$225:$BK$255,MATCH(B$229,'ei names mapping'!$A$4:$A$33,0),MATCH(G679,'ei names mapping'!$B$3:$BK$3,0))</f>
        <v>air</v>
      </c>
      <c r="F679" s="12" t="s">
        <v>173</v>
      </c>
      <c r="G679" s="12" t="s">
        <v>581</v>
      </c>
      <c r="H679" s="12"/>
    </row>
    <row r="680" spans="1:8" s="21" customFormat="1" x14ac:dyDescent="0.3">
      <c r="A680" s="12" t="str">
        <f>INDEX('ei names mapping'!$B$4:$BK$33,MATCH(B$229,'ei names mapping'!$A$4:$A$33,0),MATCH(G680,'ei names mapping'!$B$3:$BK$3,0))</f>
        <v>Nickel</v>
      </c>
      <c r="B680" s="15">
        <f>INDEX('vehicles specifications'!$B$3:$CK$86,MATCH(B$617,'vehicles specifications'!$A$3:$A$86,0),MATCH(G680,'vehicles specifications'!$B$2:$CK$2,0))*INDEX('ei names mapping'!$B$137:$BK$220,MATCH(B$617,'ei names mapping'!$A$137:$A$220,0),MATCH(G680,'ei names mapping'!$B$136:$BK$136,0))</f>
        <v>1.0379694252647933E-8</v>
      </c>
      <c r="C680" s="12"/>
      <c r="D680" s="12" t="str">
        <f>INDEX('ei names mapping'!$B$104:$BK$133,MATCH(B$229,'ei names mapping'!$A$4:$A$33,0),MATCH(G680,'ei names mapping'!$B$3:$BK$3,0))</f>
        <v>kilogram</v>
      </c>
      <c r="E680" s="12" t="str">
        <f>INDEX('ei names mapping'!$B$225:$BK$255,MATCH(B$229,'ei names mapping'!$A$4:$A$33,0),MATCH(G680,'ei names mapping'!$B$3:$BK$3,0))</f>
        <v>air</v>
      </c>
      <c r="F680" s="12" t="s">
        <v>173</v>
      </c>
      <c r="G680" s="12" t="s">
        <v>583</v>
      </c>
      <c r="H680" s="12"/>
    </row>
    <row r="681" spans="1:8" s="21" customFormat="1" x14ac:dyDescent="0.3">
      <c r="A681" s="12" t="str">
        <f>INDEX('ei names mapping'!$B$4:$BK$33,MATCH(B$229,'ei names mapping'!$A$4:$A$33,0),MATCH(G681,'ei names mapping'!$B$3:$BK$3,0))</f>
        <v>Chromium</v>
      </c>
      <c r="B681" s="15">
        <f>INDEX('vehicles specifications'!$B$3:$CK$86,MATCH(B$617,'vehicles specifications'!$A$3:$A$86,0),MATCH(G681,'vehicles specifications'!$B$2:$CK$2,0))*INDEX('ei names mapping'!$B$137:$BK$220,MATCH(B$617,'ei names mapping'!$A$137:$A$220,0),MATCH(G681,'ei names mapping'!$B$136:$BK$136,0))</f>
        <v>1.2775008310951305E-8</v>
      </c>
      <c r="C681" s="12"/>
      <c r="D681" s="12" t="str">
        <f>INDEX('ei names mapping'!$B$104:$BK$133,MATCH(B$229,'ei names mapping'!$A$4:$A$33,0),MATCH(G681,'ei names mapping'!$B$3:$BK$3,0))</f>
        <v>kilogram</v>
      </c>
      <c r="E681" s="12" t="str">
        <f>INDEX('ei names mapping'!$B$225:$BK$255,MATCH(B$229,'ei names mapping'!$A$4:$A$33,0),MATCH(G681,'ei names mapping'!$B$3:$BK$3,0))</f>
        <v>air</v>
      </c>
      <c r="F681" s="12" t="s">
        <v>173</v>
      </c>
      <c r="G681" s="12" t="s">
        <v>582</v>
      </c>
      <c r="H681" s="12"/>
    </row>
    <row r="682" spans="1:8" s="21" customFormat="1" x14ac:dyDescent="0.3">
      <c r="A682" s="12" t="str">
        <f>INDEX('ei names mapping'!$B$4:$BK$33,MATCH(B$229,'ei names mapping'!$A$4:$A$33,0),MATCH(G682,'ei names mapping'!$B$3:$BK$3,0))</f>
        <v>Chromium VI</v>
      </c>
      <c r="B682" s="15">
        <f>INDEX('vehicles specifications'!$B$3:$CK$86,MATCH(B$617,'vehicles specifications'!$A$3:$A$86,0),MATCH(G682,'vehicles specifications'!$B$2:$CK$2,0))*INDEX('ei names mapping'!$B$137:$BK$220,MATCH(B$617,'ei names mapping'!$A$137:$A$220,0),MATCH(G682,'ei names mapping'!$B$136:$BK$136,0))</f>
        <v>2.5550016621902604E-11</v>
      </c>
      <c r="C682" s="12"/>
      <c r="D682" s="12" t="str">
        <f>INDEX('ei names mapping'!$B$104:$BK$133,MATCH(B$229,'ei names mapping'!$A$4:$A$33,0),MATCH(G682,'ei names mapping'!$B$3:$BK$3,0))</f>
        <v>kilogram</v>
      </c>
      <c r="E682" s="12" t="str">
        <f>INDEX('ei names mapping'!$B$225:$BK$255,MATCH(B$229,'ei names mapping'!$A$4:$A$33,0),MATCH(G682,'ei names mapping'!$B$3:$BK$3,0))</f>
        <v>air</v>
      </c>
      <c r="F682" s="12" t="s">
        <v>173</v>
      </c>
      <c r="G682" s="12" t="s">
        <v>629</v>
      </c>
      <c r="H682" s="12"/>
    </row>
    <row r="683" spans="1:8" s="21" customFormat="1" x14ac:dyDescent="0.3">
      <c r="A683" s="12" t="str">
        <f>INDEX('ei names mapping'!$B$4:$BK$33,MATCH(B$229,'ei names mapping'!$A$4:$A$33,0),MATCH(G683,'ei names mapping'!$B$3:$BK$3,0))</f>
        <v>Mercury</v>
      </c>
      <c r="B683" s="15">
        <f>INDEX('vehicles specifications'!$B$3:$CK$86,MATCH(B$617,'vehicles specifications'!$A$3:$A$86,0),MATCH(G683,'vehicles specifications'!$B$2:$CK$2,0))*INDEX('ei names mapping'!$B$137:$BK$220,MATCH(B$617,'ei names mapping'!$A$137:$A$220,0),MATCH(G683,'ei names mapping'!$B$136:$BK$136,0))</f>
        <v>6.9464107690797704E-9</v>
      </c>
      <c r="C683" s="12"/>
      <c r="D683" s="12" t="str">
        <f>INDEX('ei names mapping'!$B$104:$BK$133,MATCH(B$229,'ei names mapping'!$A$4:$A$33,0),MATCH(G683,'ei names mapping'!$B$3:$BK$3,0))</f>
        <v>kilogram</v>
      </c>
      <c r="E683" s="12" t="str">
        <f>INDEX('ei names mapping'!$B$225:$BK$255,MATCH(B$229,'ei names mapping'!$A$4:$A$33,0),MATCH(G683,'ei names mapping'!$B$3:$BK$3,0))</f>
        <v>air</v>
      </c>
      <c r="F683" s="12" t="s">
        <v>173</v>
      </c>
      <c r="G683" s="12" t="s">
        <v>627</v>
      </c>
      <c r="H683" s="12"/>
    </row>
    <row r="684" spans="1:8" s="21" customFormat="1" x14ac:dyDescent="0.3">
      <c r="A684" s="12" t="str">
        <f>INDEX('ei names mapping'!$B$4:$BK$33,MATCH(B$229,'ei names mapping'!$A$4:$A$33,0),MATCH(G684,'ei names mapping'!$B$3:$BK$3,0))</f>
        <v>Cadmium</v>
      </c>
      <c r="B684" s="15">
        <f>INDEX('vehicles specifications'!$B$3:$CK$86,MATCH(B$617,'vehicles specifications'!$A$3:$A$86,0),MATCH(G684,'vehicles specifications'!$B$2:$CK$2,0))*INDEX('ei names mapping'!$B$137:$BK$220,MATCH(B$617,'ei names mapping'!$A$137:$A$220,0),MATCH(G684,'ei names mapping'!$B$136:$BK$136,0))</f>
        <v>8.6231306098921297E-9</v>
      </c>
      <c r="C684" s="12"/>
      <c r="D684" s="12" t="str">
        <f>INDEX('ei names mapping'!$B$104:$BK$133,MATCH(B$229,'ei names mapping'!$A$4:$A$33,0),MATCH(G684,'ei names mapping'!$B$3:$BK$3,0))</f>
        <v>kilogram</v>
      </c>
      <c r="E684" s="12" t="str">
        <f>INDEX('ei names mapping'!$B$225:$BK$255,MATCH(B$229,'ei names mapping'!$A$4:$A$33,0),MATCH(G684,'ei names mapping'!$B$3:$BK$3,0))</f>
        <v>air</v>
      </c>
      <c r="F684" s="12" t="s">
        <v>173</v>
      </c>
      <c r="G684" s="12" t="s">
        <v>628</v>
      </c>
      <c r="H684" s="12"/>
    </row>
    <row r="685" spans="1:8" x14ac:dyDescent="0.3">
      <c r="A685" s="12" t="str">
        <f>INDEX('ei names mapping'!$B$4:$BK$33,MATCH(B614,'ei names mapping'!$A$4:$A$33,0),MATCH(G685,'ei names mapping'!$B$3:$BK$3,0))</f>
        <v>treatment of road wear emissions, passenger car</v>
      </c>
      <c r="B685" s="16">
        <f>INDEX('vehicles specifications'!$B$3:$CK$86,MATCH(B617,'vehicles specifications'!$A$3:$A$86,0),MATCH(G685,'vehicles specifications'!$B$2:$CK$2,0))*INDEX('ei names mapping'!$B$137:$BK$220,MATCH(B617,'ei names mapping'!$A$137:$A$220,0),MATCH(G685,'ei names mapping'!$B$136:$BK$136,0))</f>
        <v>-6.0000000000000002E-6</v>
      </c>
      <c r="C685" s="12" t="str">
        <f>INDEX('ei names mapping'!$B$38:$BK$67,MATCH(B614,'ei names mapping'!$A$4:$A$33,0),MATCH(G685,'ei names mapping'!$B$3:$BK$3,0))</f>
        <v>RER</v>
      </c>
      <c r="D685" s="12" t="str">
        <f>INDEX('ei names mapping'!$B$104:$BK$133,MATCH(B614,'ei names mapping'!$A$4:$A$33,0),MATCH(G685,'ei names mapping'!$B$3:$BK$3,0))</f>
        <v>kilogram</v>
      </c>
      <c r="E685" s="12"/>
      <c r="F685" s="12" t="s">
        <v>91</v>
      </c>
      <c r="G685" t="s">
        <v>29</v>
      </c>
      <c r="H685" s="12" t="str">
        <f>INDEX('ei names mapping'!$B$71:$BK$100,MATCH(B614,'ei names mapping'!$A$4:$A$33,0),MATCH(G685,'ei names mapping'!$B$3:$BK$3,0))</f>
        <v>road wear emissions, passenger car</v>
      </c>
    </row>
    <row r="686" spans="1:8" x14ac:dyDescent="0.3">
      <c r="A686" s="12" t="str">
        <f>INDEX('ei names mapping'!$B$4:$BK$33,MATCH(B614,'ei names mapping'!$A$4:$A$33,0),MATCH(G686,'ei names mapping'!$B$3:$BK$3,0))</f>
        <v>treatment of tyre wear emissions, passenger car</v>
      </c>
      <c r="B686" s="16">
        <f>INDEX('vehicles specifications'!$B$3:$CK$86,MATCH(B617,'vehicles specifications'!$A$3:$A$86,0),MATCH(G686,'vehicles specifications'!$B$2:$CK$2,0))*INDEX('ei names mapping'!$B$137:$BK$220,MATCH(B617,'ei names mapping'!$A$137:$A$220,0),MATCH(G686,'ei names mapping'!$B$136:$BK$136,0))</f>
        <v>-5.8379999999999998E-6</v>
      </c>
      <c r="C686" s="12" t="str">
        <f>INDEX('ei names mapping'!$B$38:$BK$67,MATCH(B614,'ei names mapping'!$A$4:$A$33,0),MATCH(G686,'ei names mapping'!$B$3:$BK$3,0))</f>
        <v>RER</v>
      </c>
      <c r="D686" s="12" t="str">
        <f>INDEX('ei names mapping'!$B$104:$BK$133,MATCH(B614,'ei names mapping'!$A$4:$A$33,0),MATCH(G686,'ei names mapping'!$B$3:$BK$3,0))</f>
        <v>kilogram</v>
      </c>
      <c r="E686" s="12"/>
      <c r="F686" s="12" t="s">
        <v>91</v>
      </c>
      <c r="G686" t="s">
        <v>30</v>
      </c>
      <c r="H686" s="12" t="str">
        <f>INDEX('ei names mapping'!$B$71:$BK$100,MATCH(B614,'ei names mapping'!$A$4:$A$33,0),MATCH(G686,'ei names mapping'!$B$3:$BK$3,0))</f>
        <v>tyre wear emissions, passenger car</v>
      </c>
    </row>
    <row r="687" spans="1:8" x14ac:dyDescent="0.3">
      <c r="A687" s="12" t="str">
        <f>INDEX('ei names mapping'!$B$4:$BK$33,MATCH(B614,'ei names mapping'!$A$4:$A$33,0),MATCH(G687,'ei names mapping'!$B$3:$BK$3,0))</f>
        <v>treatment of brake wear emissions, passenger car</v>
      </c>
      <c r="B687" s="16">
        <f>INDEX('vehicles specifications'!$B$3:$CK$86,MATCH(B617,'vehicles specifications'!$A$3:$A$86,0),MATCH(G687,'vehicles specifications'!$B$2:$CK$2,0))*INDEX('ei names mapping'!$B$137:$BK$220,MATCH(B617,'ei names mapping'!$A$137:$A$220,0),MATCH(G687,'ei names mapping'!$B$136:$BK$136,0))</f>
        <v>-3.6740000000000003E-6</v>
      </c>
      <c r="C687" s="12" t="str">
        <f>INDEX('ei names mapping'!$B$38:$BK$67,MATCH(B614,'ei names mapping'!$A$4:$A$33,0),MATCH(G687,'ei names mapping'!$B$3:$BK$3,0))</f>
        <v>RER</v>
      </c>
      <c r="D687" s="12" t="str">
        <f>INDEX('ei names mapping'!$B$104:$BK$133,MATCH(B614,'ei names mapping'!$A$4:$A$33,0),MATCH(G687,'ei names mapping'!$B$3:$BK$3,0))</f>
        <v>kilogram</v>
      </c>
      <c r="E687" s="12"/>
      <c r="F687" s="12" t="s">
        <v>91</v>
      </c>
      <c r="G687" t="s">
        <v>31</v>
      </c>
      <c r="H687" s="12" t="str">
        <f>INDEX('ei names mapping'!$B$71:$BK$100,MATCH(B614,'ei names mapping'!$A$4:$A$33,0),MATCH(G687,'ei names mapping'!$B$3:$BK$3,0))</f>
        <v>brake wear emissions, passenger car</v>
      </c>
    </row>
    <row r="689" spans="1:8" x14ac:dyDescent="0.3">
      <c r="A689" s="12"/>
      <c r="B689" s="12"/>
      <c r="C689" s="12"/>
      <c r="D689" s="12"/>
      <c r="E689" s="12"/>
      <c r="F689" s="12"/>
      <c r="G689" s="12"/>
      <c r="H689" s="12"/>
    </row>
    <row r="690" spans="1:8" x14ac:dyDescent="0.3">
      <c r="A690" s="12"/>
      <c r="B690" s="12"/>
      <c r="C690" s="12"/>
      <c r="D690" s="12"/>
      <c r="E690" s="12"/>
      <c r="F690" s="12"/>
      <c r="G690" s="12"/>
      <c r="H690" s="12"/>
    </row>
    <row r="691" spans="1:8" x14ac:dyDescent="0.3">
      <c r="A691" s="12"/>
      <c r="B691" s="16"/>
      <c r="C691" s="12"/>
      <c r="D691" s="12"/>
      <c r="E691" s="12"/>
      <c r="F691" s="12"/>
      <c r="H691" s="12"/>
    </row>
    <row r="692" spans="1:8" x14ac:dyDescent="0.3">
      <c r="A692" s="12"/>
      <c r="B692" s="17"/>
      <c r="C692" s="12"/>
      <c r="D692" s="12"/>
      <c r="E692" s="12"/>
      <c r="F692" s="12"/>
      <c r="H692" s="12"/>
    </row>
    <row r="693" spans="1:8" x14ac:dyDescent="0.3">
      <c r="A693" s="12"/>
      <c r="B693" s="16"/>
      <c r="C693" s="12"/>
      <c r="D693" s="12"/>
      <c r="E693" s="12"/>
      <c r="F693" s="12"/>
      <c r="H693" s="12"/>
    </row>
    <row r="695" spans="1:8" ht="15.6" x14ac:dyDescent="0.3">
      <c r="A695" s="11"/>
      <c r="B695" s="9"/>
    </row>
    <row r="698" spans="1:8" x14ac:dyDescent="0.3">
      <c r="B698" s="12"/>
    </row>
    <row r="699" spans="1:8" x14ac:dyDescent="0.3">
      <c r="B699" s="12"/>
    </row>
    <row r="700" spans="1:8" x14ac:dyDescent="0.3">
      <c r="B700" s="12"/>
    </row>
    <row r="701" spans="1:8" x14ac:dyDescent="0.3">
      <c r="B701" s="12"/>
    </row>
    <row r="718" spans="1:2" x14ac:dyDescent="0.3">
      <c r="B718" s="6"/>
    </row>
    <row r="720" spans="1:2" ht="15.6" x14ac:dyDescent="0.3">
      <c r="A720" s="11"/>
    </row>
    <row r="722" spans="1:8" x14ac:dyDescent="0.3">
      <c r="A722" s="12"/>
      <c r="B722" s="12"/>
      <c r="C722" s="12"/>
      <c r="D722" s="12"/>
      <c r="E722" s="12"/>
      <c r="F722" s="12"/>
      <c r="G722" s="12"/>
      <c r="H722" s="12"/>
    </row>
    <row r="723" spans="1:8" x14ac:dyDescent="0.3">
      <c r="A723" s="12"/>
      <c r="B723" s="12"/>
      <c r="C723" s="12"/>
      <c r="D723" s="12"/>
      <c r="E723" s="12"/>
      <c r="F723" s="12"/>
      <c r="G723" s="12"/>
      <c r="H723" s="12"/>
    </row>
    <row r="724" spans="1:8" x14ac:dyDescent="0.3">
      <c r="A724" s="12"/>
      <c r="B724" s="16"/>
      <c r="C724" s="12"/>
      <c r="D724" s="12"/>
      <c r="E724" s="12"/>
      <c r="F724" s="12"/>
      <c r="H724" s="12"/>
    </row>
    <row r="725" spans="1:8" x14ac:dyDescent="0.3">
      <c r="A725" s="12"/>
      <c r="B725" s="17"/>
      <c r="C725" s="12"/>
      <c r="D725" s="12"/>
      <c r="E725" s="12"/>
      <c r="F725" s="12"/>
      <c r="H725" s="12"/>
    </row>
    <row r="726" spans="1:8" x14ac:dyDescent="0.3">
      <c r="A726" s="12"/>
      <c r="B726" s="16"/>
      <c r="C726" s="12"/>
      <c r="D726" s="12"/>
      <c r="E726" s="12"/>
      <c r="F726" s="12"/>
      <c r="H726" s="12"/>
    </row>
    <row r="728" spans="1:8" ht="15.6" x14ac:dyDescent="0.3">
      <c r="A728" s="11"/>
      <c r="B728" s="9"/>
    </row>
    <row r="731" spans="1:8" x14ac:dyDescent="0.3">
      <c r="B731" s="12"/>
    </row>
    <row r="732" spans="1:8" x14ac:dyDescent="0.3">
      <c r="B732" s="12"/>
    </row>
    <row r="733" spans="1:8" x14ac:dyDescent="0.3">
      <c r="B733" s="12"/>
    </row>
    <row r="734" spans="1:8" x14ac:dyDescent="0.3">
      <c r="B734" s="12"/>
    </row>
    <row r="751" spans="2:2" x14ac:dyDescent="0.3">
      <c r="B751" s="6"/>
    </row>
    <row r="753" spans="1:8" ht="15.6" x14ac:dyDescent="0.3">
      <c r="A753" s="11"/>
    </row>
    <row r="755" spans="1:8" x14ac:dyDescent="0.3">
      <c r="A755" s="12"/>
      <c r="B755" s="12"/>
      <c r="C755" s="12"/>
      <c r="D755" s="12"/>
      <c r="E755" s="12"/>
      <c r="F755" s="12"/>
      <c r="G755" s="12"/>
      <c r="H755" s="12"/>
    </row>
    <row r="756" spans="1:8" x14ac:dyDescent="0.3">
      <c r="A756" s="12"/>
      <c r="B756" s="12"/>
      <c r="C756" s="12"/>
      <c r="D756" s="12"/>
      <c r="E756" s="12"/>
      <c r="F756" s="12"/>
      <c r="G756" s="12"/>
      <c r="H756" s="12"/>
    </row>
    <row r="757" spans="1:8" x14ac:dyDescent="0.3">
      <c r="A757" s="12"/>
      <c r="B757" s="16"/>
      <c r="C757" s="12"/>
      <c r="D757" s="12"/>
      <c r="E757" s="12"/>
      <c r="F757" s="12"/>
      <c r="H757" s="12"/>
    </row>
    <row r="758" spans="1:8" x14ac:dyDescent="0.3">
      <c r="A758" s="12"/>
      <c r="B758" s="17"/>
      <c r="C758" s="12"/>
      <c r="D758" s="12"/>
      <c r="E758" s="12"/>
      <c r="F758" s="12"/>
      <c r="H758" s="12"/>
    </row>
    <row r="759" spans="1:8" x14ac:dyDescent="0.3">
      <c r="A759" s="12"/>
      <c r="B759" s="16"/>
      <c r="C759" s="12"/>
      <c r="D759" s="12"/>
      <c r="E759" s="12"/>
      <c r="F759" s="12"/>
      <c r="H759" s="12"/>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3"/>
  <sheetViews>
    <sheetView topLeftCell="A145" workbookViewId="0">
      <selection activeCell="E160" sqref="E160"/>
    </sheetView>
  </sheetViews>
  <sheetFormatPr defaultRowHeight="14.4" x14ac:dyDescent="0.3"/>
  <cols>
    <col min="1" max="1" width="44.44140625" customWidth="1"/>
    <col min="2" max="2" width="15.6640625" bestFit="1" customWidth="1"/>
    <col min="7" max="7" width="14" bestFit="1" customWidth="1"/>
  </cols>
  <sheetData>
    <row r="1" spans="1:2" ht="15.6" x14ac:dyDescent="0.3">
      <c r="A1" s="11" t="s">
        <v>72</v>
      </c>
      <c r="B1" s="9" t="str">
        <f>B3&amp;", "&amp;B5</f>
        <v>Bicycle, conventional, urban, 2020</v>
      </c>
    </row>
    <row r="2" spans="1:2" x14ac:dyDescent="0.3">
      <c r="A2" t="s">
        <v>73</v>
      </c>
      <c r="B2" t="s">
        <v>37</v>
      </c>
    </row>
    <row r="3" spans="1:2" x14ac:dyDescent="0.3">
      <c r="A3" t="s">
        <v>87</v>
      </c>
      <c r="B3" t="s">
        <v>33</v>
      </c>
    </row>
    <row r="4" spans="1:2" x14ac:dyDescent="0.3">
      <c r="A4" t="s">
        <v>88</v>
      </c>
      <c r="B4" s="12"/>
    </row>
    <row r="5" spans="1:2" x14ac:dyDescent="0.3">
      <c r="A5" t="s">
        <v>89</v>
      </c>
      <c r="B5" s="12">
        <v>2020</v>
      </c>
    </row>
    <row r="6" spans="1:2" x14ac:dyDescent="0.3">
      <c r="A6" t="s">
        <v>131</v>
      </c>
      <c r="B6" s="12" t="str">
        <f>B3&amp;" - "&amp;B5&amp;" - "&amp;B2</f>
        <v>Bicycle, conventional, urban - 2020 - CH</v>
      </c>
    </row>
    <row r="7" spans="1:2" x14ac:dyDescent="0.3">
      <c r="A7" t="s">
        <v>74</v>
      </c>
      <c r="B7" t="str">
        <f>B3</f>
        <v>Bicycle, conventional, urban</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10000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2.5</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1000</v>
      </c>
    </row>
    <row r="16" spans="1:2" x14ac:dyDescent="0.3">
      <c r="A16" t="s">
        <v>137</v>
      </c>
      <c r="B16">
        <f>INDEX('vehicles specifications'!$B$3:$CK$86,MATCH(B6,'vehicles specifications'!$A$3:$A$86,0),MATCH("Curb mass [kg]",'vehicles specifications'!$B$2:$CK$2,0))</f>
        <v>12</v>
      </c>
    </row>
    <row r="17" spans="1:8" x14ac:dyDescent="0.3">
      <c r="A17" t="s">
        <v>138</v>
      </c>
      <c r="B17">
        <f>INDEX('vehicles specifications'!$B$3:$CK$86,MATCH(B6,'vehicles specifications'!$A$3:$A$86,0),MATCH("Power [kW]",'vehicles specifications'!$B$2:$CK$2,0))</f>
        <v>0</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f>INDEX('vehicles specifications'!$B$3:$CK$86,MATCH(B6,'vehicles specifications'!$A$3:$A$86,0),MATCH("Oxydation energy stored [kWh]",'vehicles specifications'!$B$2:$CK$2,0))</f>
        <v>0</v>
      </c>
    </row>
    <row r="21" spans="1:8" x14ac:dyDescent="0.3">
      <c r="A21" t="s">
        <v>145</v>
      </c>
      <c r="B21">
        <f>INDEX('vehicles specifications'!$B$3:$CK$86,MATCH(B6,'vehicles specifications'!$A$3:$A$86,0),MATCH("Fuel mass [kg]",'vehicles specifications'!$B$2:$CK$2,0))</f>
        <v>0</v>
      </c>
    </row>
    <row r="22" spans="1:8" x14ac:dyDescent="0.3">
      <c r="A22" t="s">
        <v>141</v>
      </c>
      <c r="B22">
        <f>INDEX('vehicles specifications'!$B$3:$CK$86,MATCH(B6,'vehicles specifications'!$A$3:$A$86,0),MATCH("Range [km]",'vehicles specifications'!$B$2:$CK$2,0))</f>
        <v>0</v>
      </c>
    </row>
    <row r="23" spans="1:8" x14ac:dyDescent="0.3">
      <c r="A23" t="s">
        <v>142</v>
      </c>
      <c r="B23" t="str">
        <f>INDEX('vehicles specifications'!$B$3:$CK$86,MATCH(B6,'vehicles specifications'!$A$3:$A$86,0),MATCH("Emission standard",'vehicles specifications'!$B$2:$CK$2,0))</f>
        <v>None</v>
      </c>
    </row>
    <row r="24" spans="1:8" x14ac:dyDescent="0.3">
      <c r="A24" t="s">
        <v>144</v>
      </c>
      <c r="B24" s="6">
        <f>INDEX('vehicles specifications'!$B$3:$CK$86,MATCH(B6,'vehicles specifications'!$A$3:$A$86,0),MATCH("Lightweighting rate [%]",'vehicles specifications'!$B$2:$CK$2,0))</f>
        <v>0</v>
      </c>
    </row>
    <row r="25" spans="1:8" s="21" customFormat="1" x14ac:dyDescent="0.3">
      <c r="A25" s="21" t="s">
        <v>513</v>
      </c>
      <c r="B25" s="6" t="s">
        <v>514</v>
      </c>
    </row>
    <row r="26" spans="1:8" s="21" customFormat="1" x14ac:dyDescent="0.3">
      <c r="A26" s="21" t="s">
        <v>515</v>
      </c>
      <c r="B26" s="2">
        <v>15900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"&amp;ROUND(B13,1)&amp;".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0 kW. Lifetime: 10000 km. Annual kilometers: 1000 km. Number of passengers: 1. Curb mass: 12 kg. Lightweighting of glider: 0%. Emission standard: None. Service visits throughout lifetime: 2.5. Range: 0 km. Battery capacity: 0 kWh. Battery mass: 0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Bicycle, conventional, urban, 2020</v>
      </c>
      <c r="B31" s="12">
        <v>1</v>
      </c>
      <c r="C31" s="12" t="str">
        <f>B2</f>
        <v>CH</v>
      </c>
      <c r="D31" s="12" t="str">
        <f>B9</f>
        <v>unit</v>
      </c>
      <c r="E31" s="12"/>
      <c r="F31" s="12" t="s">
        <v>85</v>
      </c>
      <c r="G31" s="12" t="s">
        <v>86</v>
      </c>
      <c r="H31" s="12" t="str">
        <f>B3</f>
        <v>Bicycle, conventional, urban</v>
      </c>
    </row>
    <row r="32" spans="1:8" x14ac:dyDescent="0.3">
      <c r="A32" s="12" t="str">
        <f>INDEX('ei names mapping'!$B$4:$R$33,MATCH($B$3,'ei names mapping'!$A$4:$A$33,0),MATCH(G32,'ei names mapping'!$B$3:$R$3,0))</f>
        <v>bicycle production</v>
      </c>
      <c r="B32" s="14">
        <f>INDEX('vehicles specifications'!$B$3:$CK$86,MATCH(B6,'vehicles specifications'!$A$3:$A$86,0),MATCH(G32,'vehicles specifications'!$B$2:$CK$2,0))*INDEX('ei names mapping'!$B$137:$BK$220,MATCH(B6,'ei names mapping'!$A$137:$A$220,0),MATCH(G32,'ei names mapping'!$B$136:$BK$136,0))</f>
        <v>0.70588235294117641</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bicycle</v>
      </c>
    </row>
    <row r="33" spans="1:8" s="21" customFormat="1" x14ac:dyDescent="0.3">
      <c r="A33" s="12" t="str">
        <f>INDEX('ei names mapping'!$B$4:$R$33,MATCH(B3,'ei names mapping'!$A$4:$A$33,0),MATCH(G33,'ei names mapping'!$B$3:$R$3,0))</f>
        <v>glider lightweighting</v>
      </c>
      <c r="B33" s="16">
        <f>INDEX('vehicles specifications'!$B$3:$CK$86,MATCH(B6,'vehicles specifications'!$A$3:$A$86,0),MATCH(G33,'vehicles specifications'!$B$2:$CK$2,0))*INDEX('ei names mapping'!$B$137:$BK$220,MATCH(B6,'ei names mapping'!$A$137:$A$220,0),MATCH(G33,'ei names mapping'!$B$136:$BK$136,0))</f>
        <v>0</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14</v>
      </c>
      <c r="H33" s="12" t="str">
        <f>INDEX('ei names mapping'!$B$71:$R$100,MATCH(B3,'ei names mapping'!$A$4:$A$33,0),MATCH(G33,'ei names mapping'!$B$3:$R$3,0))</f>
        <v>glider lightweighting</v>
      </c>
    </row>
    <row r="34" spans="1:8" s="21" customFormat="1" x14ac:dyDescent="0.3">
      <c r="A34" s="22" t="s">
        <v>468</v>
      </c>
      <c r="B34" s="21">
        <f>(B16/1000)*B27</f>
        <v>12</v>
      </c>
      <c r="C34" s="21" t="s">
        <v>94</v>
      </c>
      <c r="D34" s="21" t="s">
        <v>243</v>
      </c>
      <c r="F34" s="21" t="s">
        <v>91</v>
      </c>
      <c r="H34" s="22" t="s">
        <v>469</v>
      </c>
    </row>
    <row r="35" spans="1:8" s="21" customFormat="1" x14ac:dyDescent="0.3">
      <c r="A35" s="22" t="s">
        <v>467</v>
      </c>
      <c r="B35" s="2">
        <f>(B16/1000)*B26</f>
        <v>190.8</v>
      </c>
      <c r="C35" s="21" t="s">
        <v>98</v>
      </c>
      <c r="D35" s="21" t="s">
        <v>243</v>
      </c>
      <c r="F35" s="21" t="s">
        <v>91</v>
      </c>
      <c r="H35" s="22" t="s">
        <v>467</v>
      </c>
    </row>
    <row r="37" spans="1:8" ht="15.6" x14ac:dyDescent="0.3">
      <c r="A37" s="11" t="s">
        <v>72</v>
      </c>
      <c r="B37" s="9" t="str">
        <f>B39&amp;", "&amp;B41</f>
        <v>Bicycle, conventional, urban, 2030</v>
      </c>
    </row>
    <row r="38" spans="1:8" x14ac:dyDescent="0.3">
      <c r="A38" t="s">
        <v>73</v>
      </c>
      <c r="B38" t="s">
        <v>37</v>
      </c>
    </row>
    <row r="39" spans="1:8" x14ac:dyDescent="0.3">
      <c r="A39" t="s">
        <v>87</v>
      </c>
      <c r="B39" t="s">
        <v>33</v>
      </c>
    </row>
    <row r="40" spans="1:8" x14ac:dyDescent="0.3">
      <c r="A40" t="s">
        <v>88</v>
      </c>
      <c r="B40" s="12"/>
    </row>
    <row r="41" spans="1:8" x14ac:dyDescent="0.3">
      <c r="A41" t="s">
        <v>89</v>
      </c>
      <c r="B41" s="12">
        <v>2030</v>
      </c>
    </row>
    <row r="42" spans="1:8" x14ac:dyDescent="0.3">
      <c r="A42" t="s">
        <v>131</v>
      </c>
      <c r="B42" s="12" t="str">
        <f>B39&amp;" - "&amp;B41&amp;" - "&amp;B38</f>
        <v>Bicycle, conventional, urban - 2030 - CH</v>
      </c>
    </row>
    <row r="43" spans="1:8" x14ac:dyDescent="0.3">
      <c r="A43" t="s">
        <v>74</v>
      </c>
      <c r="B43" t="str">
        <f>B39</f>
        <v>Bicycle, conventional, urban</v>
      </c>
    </row>
    <row r="44" spans="1:8" x14ac:dyDescent="0.3">
      <c r="A44" t="s">
        <v>75</v>
      </c>
      <c r="B44" t="s">
        <v>76</v>
      </c>
    </row>
    <row r="45" spans="1:8" x14ac:dyDescent="0.3">
      <c r="A45" t="s">
        <v>77</v>
      </c>
      <c r="B45" t="s">
        <v>77</v>
      </c>
    </row>
    <row r="46" spans="1:8" x14ac:dyDescent="0.3">
      <c r="A46" t="s">
        <v>79</v>
      </c>
      <c r="B46" t="s">
        <v>90</v>
      </c>
    </row>
    <row r="47" spans="1:8" x14ac:dyDescent="0.3">
      <c r="A47" t="s">
        <v>132</v>
      </c>
      <c r="B47">
        <f>INDEX('vehicles specifications'!$B$3:$CK$86,MATCH(B42,'vehicles specifications'!$A$3:$A$86,0),MATCH("Lifetime [km]",'vehicles specifications'!$B$2:$CK$2,0))</f>
        <v>10000</v>
      </c>
    </row>
    <row r="48" spans="1:8" x14ac:dyDescent="0.3">
      <c r="A48" t="s">
        <v>133</v>
      </c>
      <c r="B48">
        <f>INDEX('vehicles specifications'!$B$3:$CK$86,MATCH(B42,'vehicles specifications'!$A$3:$A$86,0),MATCH("Passengers [unit]",'vehicles specifications'!$B$2:$CK$2,0))</f>
        <v>1</v>
      </c>
    </row>
    <row r="49" spans="1:2" x14ac:dyDescent="0.3">
      <c r="A49" t="s">
        <v>134</v>
      </c>
      <c r="B49">
        <f>INDEX('vehicles specifications'!$B$3:$CK$86,MATCH(B42,'vehicles specifications'!$A$3:$A$86,0),MATCH("Servicing [unit]",'vehicles specifications'!$B$2:$CK$2,0))</f>
        <v>2.5</v>
      </c>
    </row>
    <row r="50" spans="1:2" x14ac:dyDescent="0.3">
      <c r="A50" t="s">
        <v>135</v>
      </c>
      <c r="B50">
        <f>INDEX('vehicles specifications'!$B$3:$CK$86,MATCH(B42,'vehicles specifications'!$A$3:$A$86,0),MATCH("Energy battery replacement [unit]",'vehicles specifications'!$B$2:$CK$2,0))</f>
        <v>0</v>
      </c>
    </row>
    <row r="51" spans="1:2" x14ac:dyDescent="0.3">
      <c r="A51" t="s">
        <v>136</v>
      </c>
      <c r="B51">
        <f>INDEX('vehicles specifications'!$B$3:$CK$86,MATCH(B42,'vehicles specifications'!$A$3:$A$86,0),MATCH("Annual kilometers [km]",'vehicles specifications'!$B$2:$CK$2,0))</f>
        <v>1000</v>
      </c>
    </row>
    <row r="52" spans="1:2" x14ac:dyDescent="0.3">
      <c r="A52" t="s">
        <v>137</v>
      </c>
      <c r="B52">
        <f>INDEX('vehicles specifications'!$B$3:$CK$86,MATCH(B42,'vehicles specifications'!$A$3:$A$86,0),MATCH("Curb mass [kg]",'vehicles specifications'!$B$2:$CK$2,0))</f>
        <v>11.64</v>
      </c>
    </row>
    <row r="53" spans="1:2" x14ac:dyDescent="0.3">
      <c r="A53" t="s">
        <v>138</v>
      </c>
      <c r="B53">
        <f>INDEX('vehicles specifications'!$B$3:$CK$86,MATCH(B42,'vehicles specifications'!$A$3:$A$86,0),MATCH("Power [kW]",'vehicles specifications'!$B$2:$CK$2,0))</f>
        <v>0</v>
      </c>
    </row>
    <row r="54" spans="1:2" x14ac:dyDescent="0.3">
      <c r="A54" t="s">
        <v>139</v>
      </c>
      <c r="B54">
        <f>INDEX('vehicles specifications'!$B$3:$CK$86,MATCH(B42,'vehicles specifications'!$A$3:$A$86,0),MATCH("Energy battery mass [kg]",'vehicles specifications'!$B$2:$CK$2,0))</f>
        <v>0</v>
      </c>
    </row>
    <row r="55" spans="1:2" x14ac:dyDescent="0.3">
      <c r="A55" t="s">
        <v>140</v>
      </c>
      <c r="B55">
        <f>INDEX('vehicles specifications'!$B$3:$CK$86,MATCH(B42,'vehicles specifications'!$A$3:$A$86,0),MATCH("Electric energy available [kWh]",'vehicles specifications'!$B$2:$CK$2,0))</f>
        <v>0</v>
      </c>
    </row>
    <row r="56" spans="1:2" x14ac:dyDescent="0.3">
      <c r="A56" t="s">
        <v>143</v>
      </c>
      <c r="B56">
        <f>INDEX('vehicles specifications'!$B$3:$CK$86,MATCH(B42,'vehicles specifications'!$A$3:$A$86,0),MATCH("Oxydation energy stored [kWh]",'vehicles specifications'!$B$2:$CK$2,0))</f>
        <v>0</v>
      </c>
    </row>
    <row r="57" spans="1:2" x14ac:dyDescent="0.3">
      <c r="A57" t="s">
        <v>145</v>
      </c>
      <c r="B57">
        <f>INDEX('vehicles specifications'!$B$3:$CK$86,MATCH(B42,'vehicles specifications'!$A$3:$A$86,0),MATCH("Fuel mass [kg]",'vehicles specifications'!$B$2:$CK$2,0))</f>
        <v>0</v>
      </c>
    </row>
    <row r="58" spans="1:2" x14ac:dyDescent="0.3">
      <c r="A58" t="s">
        <v>141</v>
      </c>
      <c r="B58">
        <f>INDEX('vehicles specifications'!$B$3:$CK$86,MATCH(B42,'vehicles specifications'!$A$3:$A$86,0),MATCH("Range [km]",'vehicles specifications'!$B$2:$CK$2,0))</f>
        <v>0</v>
      </c>
    </row>
    <row r="59" spans="1:2" x14ac:dyDescent="0.3">
      <c r="A59" t="s">
        <v>142</v>
      </c>
      <c r="B59" t="str">
        <f>INDEX('vehicles specifications'!$B$3:$CK$86,MATCH(B42,'vehicles specifications'!$A$3:$A$86,0),MATCH("Emission standard",'vehicles specifications'!$B$2:$CK$2,0))</f>
        <v>None</v>
      </c>
    </row>
    <row r="60" spans="1:2" x14ac:dyDescent="0.3">
      <c r="A60" t="s">
        <v>144</v>
      </c>
      <c r="B60" s="6">
        <f>INDEX('vehicles specifications'!$B$3:$CK$86,MATCH(B42,'vehicles specifications'!$A$3:$A$86,0),MATCH("Lightweighting rate [%]",'vehicles specifications'!$B$2:$CK$2,0))</f>
        <v>0.03</v>
      </c>
    </row>
    <row r="61" spans="1:2" s="21" customFormat="1" x14ac:dyDescent="0.3">
      <c r="A61" s="21" t="s">
        <v>513</v>
      </c>
      <c r="B61" s="6" t="s">
        <v>514</v>
      </c>
    </row>
    <row r="62" spans="1:2" s="21" customFormat="1" x14ac:dyDescent="0.3">
      <c r="A62" s="21" t="s">
        <v>515</v>
      </c>
      <c r="B62" s="2">
        <v>15900</v>
      </c>
    </row>
    <row r="63" spans="1:2" s="21" customFormat="1" x14ac:dyDescent="0.3">
      <c r="A63" s="21" t="s">
        <v>516</v>
      </c>
      <c r="B63" s="2">
        <v>1000</v>
      </c>
    </row>
    <row r="64" spans="1:2" s="21" customFormat="1" x14ac:dyDescent="0.3">
      <c r="A64" s="21" t="s">
        <v>84</v>
      </c>
      <c r="B64" s="21" t="str">
        <f>"Power: "&amp;B53&amp;" kW. Lifetime: "&amp;B47&amp;" km. Annual kilometers: "&amp;ROUND(B51,0)&amp;" km. Number of passengers: "&amp;ROUND(B48,1)&amp;". Curb mass: "&amp;ROUND(B52,1)&amp;" kg. Lightweighting of glider: "&amp;ROUND(B60*100,0)&amp;"%. Emission standard: "&amp;B59&amp;". Service visits throughout lifetime: "&amp;ROUND(B49,1)&amp;". Range: "&amp;ROUND(B58,0)&amp;" km. Battery capacity: "&amp;ROUND(B55,1)&amp;" kWh. Battery mass: "&amp;ROUND(B54,1)&amp; " kg. Battery replacement throughout lifetime: "&amp;ROUND(B50,1)&amp;". Fuel tank capacity: "&amp;ROUND(B56,1)&amp;" kWh. Fuel mass: "&amp;ROUND(B57,1)&amp;" kg. Origin of manufacture: "&amp;B61&amp;". Shipping distance: "&amp;B62&amp;" km. Lorry distribution distance: "&amp;B63&amp;" km. Documentation: "&amp;Readmefirst!$B$2&amp;", "&amp;Readmefirst!$B$3&amp;". "&amp;B46</f>
        <v>Power: 0 kW. Lifetime: 10000 km. Annual kilometers: 1000 km. Number of passengers: 1. Curb mass: 11.6 kg. Lightweighting of glider: 3%. Emission standard: None. Service visits throughout lifetime: 2.5. Range: 0 km. Battery capacity: 0 kWh. Battery mass: 0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5" spans="1:8" ht="15.6" x14ac:dyDescent="0.3">
      <c r="A65" s="11" t="s">
        <v>80</v>
      </c>
    </row>
    <row r="66" spans="1:8" x14ac:dyDescent="0.3">
      <c r="A66" t="s">
        <v>81</v>
      </c>
      <c r="B66" t="s">
        <v>82</v>
      </c>
      <c r="C66" t="s">
        <v>73</v>
      </c>
      <c r="D66" t="s">
        <v>77</v>
      </c>
      <c r="E66" t="s">
        <v>83</v>
      </c>
      <c r="F66" t="s">
        <v>75</v>
      </c>
      <c r="G66" t="s">
        <v>84</v>
      </c>
      <c r="H66" t="s">
        <v>74</v>
      </c>
    </row>
    <row r="67" spans="1:8" x14ac:dyDescent="0.3">
      <c r="A67" s="12" t="str">
        <f>B37</f>
        <v>Bicycle, conventional, urban, 2030</v>
      </c>
      <c r="B67" s="12">
        <v>1</v>
      </c>
      <c r="C67" s="12" t="str">
        <f>B38</f>
        <v>CH</v>
      </c>
      <c r="D67" s="12" t="str">
        <f>B45</f>
        <v>unit</v>
      </c>
      <c r="E67" s="12"/>
      <c r="F67" s="12" t="s">
        <v>85</v>
      </c>
      <c r="G67" s="12" t="s">
        <v>86</v>
      </c>
      <c r="H67" s="12" t="str">
        <f>B39</f>
        <v>Bicycle, conventional, urban</v>
      </c>
    </row>
    <row r="68" spans="1:8" x14ac:dyDescent="0.3">
      <c r="A68" s="12" t="str">
        <f>INDEX('ei names mapping'!$B$4:$R$33,MATCH($B$3,'ei names mapping'!$A$4:$A$33,0),MATCH(G68,'ei names mapping'!$B$3:$R$3,0))</f>
        <v>bicycle production</v>
      </c>
      <c r="B68" s="14">
        <f>INDEX('vehicles specifications'!$B$3:$CK$86,MATCH(B42,'vehicles specifications'!$A$3:$A$86,0),MATCH(G68,'vehicles specifications'!$B$2:$CK$2,0))*INDEX('ei names mapping'!$B$137:$BK$220,MATCH(B42,'ei names mapping'!$A$137:$A$220,0),MATCH(G68,'ei names mapping'!$B$136:$BK$136,0))</f>
        <v>0.70588235294117641</v>
      </c>
      <c r="C68" s="12" t="str">
        <f>INDEX('ei names mapping'!$B$38:$R$67,MATCH($B$3,'ei names mapping'!$A$4:$A$33,0),MATCH(G68,'ei names mapping'!$B$3:$R$3,0))</f>
        <v>RER</v>
      </c>
      <c r="D68" s="12" t="str">
        <f>INDEX('ei names mapping'!$B$104:$R$133,MATCH(B39,'ei names mapping'!$A$104:$A$133,0),MATCH(G68,'ei names mapping'!$B$3:$R$3,0))</f>
        <v>unit</v>
      </c>
      <c r="E68" s="12"/>
      <c r="F68" s="12" t="s">
        <v>91</v>
      </c>
      <c r="G68" s="21" t="s">
        <v>15</v>
      </c>
      <c r="H68" s="12" t="str">
        <f>INDEX('ei names mapping'!$B$71:$R$100,MATCH($B$3,'ei names mapping'!$A$4:$A$33,0),MATCH(G68,'ei names mapping'!$B$3:$R$3,0))</f>
        <v>bicycle</v>
      </c>
    </row>
    <row r="69" spans="1:8" s="21" customFormat="1" x14ac:dyDescent="0.3">
      <c r="A69" s="12" t="str">
        <f>INDEX('ei names mapping'!$B$4:$R$33,MATCH(B39,'ei names mapping'!$A$4:$A$33,0),MATCH(G69,'ei names mapping'!$B$3:$R$3,0))</f>
        <v>glider lightweighting</v>
      </c>
      <c r="B69" s="16">
        <f>INDEX('vehicles specifications'!$B$3:$CK$86,MATCH(B42,'vehicles specifications'!$A$3:$A$86,0),MATCH(G69,'vehicles specifications'!$B$2:$CK$2,0))*INDEX('ei names mapping'!$B$137:$BK$220,MATCH(B42,'ei names mapping'!$A$137:$A$220,0),MATCH(G69,'ei names mapping'!$B$136:$BK$136,0))</f>
        <v>0.36</v>
      </c>
      <c r="C69" s="12" t="str">
        <f>INDEX('ei names mapping'!$B$38:$R$67,MATCH(B39,'ei names mapping'!$A$4:$A$33,0),MATCH(G69,'ei names mapping'!$B$3:$R$3,0))</f>
        <v>GLO</v>
      </c>
      <c r="D69" s="12" t="str">
        <f>INDEX('ei names mapping'!$B$104:$R$133,MATCH(B39,'ei names mapping'!$A$104:$A$133,0),MATCH(G69,'ei names mapping'!$B$3:$R$3,0))</f>
        <v>kilogram</v>
      </c>
      <c r="E69" s="12"/>
      <c r="F69" s="12" t="s">
        <v>91</v>
      </c>
      <c r="G69" s="21" t="s">
        <v>14</v>
      </c>
      <c r="H69" s="12" t="str">
        <f>INDEX('ei names mapping'!$B$71:$R$100,MATCH(B39,'ei names mapping'!$A$4:$A$33,0),MATCH(G69,'ei names mapping'!$B$3:$R$3,0))</f>
        <v>glider lightweighting</v>
      </c>
    </row>
    <row r="70" spans="1:8" s="21" customFormat="1" x14ac:dyDescent="0.3">
      <c r="A70" s="22" t="s">
        <v>468</v>
      </c>
      <c r="B70" s="21">
        <f>(B52/1000)*B63</f>
        <v>11.64</v>
      </c>
      <c r="C70" s="21" t="s">
        <v>94</v>
      </c>
      <c r="D70" s="21" t="s">
        <v>243</v>
      </c>
      <c r="F70" s="21" t="s">
        <v>91</v>
      </c>
      <c r="H70" s="22" t="s">
        <v>469</v>
      </c>
    </row>
    <row r="71" spans="1:8" s="21" customFormat="1" x14ac:dyDescent="0.3">
      <c r="A71" s="22" t="s">
        <v>467</v>
      </c>
      <c r="B71" s="2">
        <f>(B52/1000)*B62</f>
        <v>185.07600000000002</v>
      </c>
      <c r="C71" s="21" t="s">
        <v>98</v>
      </c>
      <c r="D71" s="21" t="s">
        <v>243</v>
      </c>
      <c r="F71" s="21" t="s">
        <v>91</v>
      </c>
      <c r="H71" s="22" t="s">
        <v>467</v>
      </c>
    </row>
    <row r="73" spans="1:8" ht="15.6" x14ac:dyDescent="0.3">
      <c r="A73" s="11" t="s">
        <v>72</v>
      </c>
      <c r="B73" s="9" t="str">
        <f>B75&amp;", "&amp;B77</f>
        <v>Bicycle, conventional, urban, 2040</v>
      </c>
    </row>
    <row r="74" spans="1:8" x14ac:dyDescent="0.3">
      <c r="A74" t="s">
        <v>73</v>
      </c>
      <c r="B74" t="s">
        <v>37</v>
      </c>
    </row>
    <row r="75" spans="1:8" x14ac:dyDescent="0.3">
      <c r="A75" t="s">
        <v>87</v>
      </c>
      <c r="B75" t="s">
        <v>33</v>
      </c>
    </row>
    <row r="76" spans="1:8" x14ac:dyDescent="0.3">
      <c r="A76" t="s">
        <v>88</v>
      </c>
      <c r="B76" s="12"/>
    </row>
    <row r="77" spans="1:8" x14ac:dyDescent="0.3">
      <c r="A77" t="s">
        <v>89</v>
      </c>
      <c r="B77" s="12">
        <v>2040</v>
      </c>
    </row>
    <row r="78" spans="1:8" x14ac:dyDescent="0.3">
      <c r="A78" t="s">
        <v>131</v>
      </c>
      <c r="B78" s="12" t="str">
        <f>B75&amp;" - "&amp;B77&amp;" - "&amp;B74</f>
        <v>Bicycle, conventional, urban - 2040 - CH</v>
      </c>
    </row>
    <row r="79" spans="1:8" x14ac:dyDescent="0.3">
      <c r="A79" t="s">
        <v>74</v>
      </c>
      <c r="B79" t="str">
        <f>B75</f>
        <v>Bicycle, conventional, urban</v>
      </c>
    </row>
    <row r="80" spans="1:8" x14ac:dyDescent="0.3">
      <c r="A80" t="s">
        <v>75</v>
      </c>
      <c r="B80" t="s">
        <v>76</v>
      </c>
    </row>
    <row r="81" spans="1:2" x14ac:dyDescent="0.3">
      <c r="A81" t="s">
        <v>77</v>
      </c>
      <c r="B81" t="s">
        <v>77</v>
      </c>
    </row>
    <row r="82" spans="1:2" x14ac:dyDescent="0.3">
      <c r="A82" t="s">
        <v>79</v>
      </c>
      <c r="B82" t="s">
        <v>90</v>
      </c>
    </row>
    <row r="83" spans="1:2" x14ac:dyDescent="0.3">
      <c r="A83" t="s">
        <v>132</v>
      </c>
      <c r="B83">
        <f>INDEX('vehicles specifications'!$B$3:$CK$86,MATCH(B78,'vehicles specifications'!$A$3:$A$86,0),MATCH("Lifetime [km]",'vehicles specifications'!$B$2:$CK$2,0))</f>
        <v>10000</v>
      </c>
    </row>
    <row r="84" spans="1:2" x14ac:dyDescent="0.3">
      <c r="A84" t="s">
        <v>133</v>
      </c>
      <c r="B84">
        <f>INDEX('vehicles specifications'!$B$3:$CK$86,MATCH(B78,'vehicles specifications'!$A$3:$A$86,0),MATCH("Passengers [unit]",'vehicles specifications'!$B$2:$CK$2,0))</f>
        <v>1</v>
      </c>
    </row>
    <row r="85" spans="1:2" x14ac:dyDescent="0.3">
      <c r="A85" t="s">
        <v>134</v>
      </c>
      <c r="B85">
        <f>INDEX('vehicles specifications'!$B$3:$CK$86,MATCH(B78,'vehicles specifications'!$A$3:$A$86,0),MATCH("Servicing [unit]",'vehicles specifications'!$B$2:$CK$2,0))</f>
        <v>2.5</v>
      </c>
    </row>
    <row r="86" spans="1:2" x14ac:dyDescent="0.3">
      <c r="A86" t="s">
        <v>135</v>
      </c>
      <c r="B86">
        <f>INDEX('vehicles specifications'!$B$3:$CK$86,MATCH(B78,'vehicles specifications'!$A$3:$A$86,0),MATCH("Energy battery replacement [unit]",'vehicles specifications'!$B$2:$CK$2,0))</f>
        <v>0</v>
      </c>
    </row>
    <row r="87" spans="1:2" x14ac:dyDescent="0.3">
      <c r="A87" t="s">
        <v>136</v>
      </c>
      <c r="B87">
        <f>INDEX('vehicles specifications'!$B$3:$CK$86,MATCH(B78,'vehicles specifications'!$A$3:$A$86,0),MATCH("Annual kilometers [km]",'vehicles specifications'!$B$2:$CK$2,0))</f>
        <v>1000</v>
      </c>
    </row>
    <row r="88" spans="1:2" x14ac:dyDescent="0.3">
      <c r="A88" t="s">
        <v>137</v>
      </c>
      <c r="B88">
        <f>INDEX('vehicles specifications'!$B$3:$CK$86,MATCH(B78,'vehicles specifications'!$A$3:$A$86,0),MATCH("Curb mass [kg]",'vehicles specifications'!$B$2:$CK$2,0))</f>
        <v>11.399999999999999</v>
      </c>
    </row>
    <row r="89" spans="1:2" x14ac:dyDescent="0.3">
      <c r="A89" t="s">
        <v>138</v>
      </c>
      <c r="B89">
        <f>INDEX('vehicles specifications'!$B$3:$CK$86,MATCH(B78,'vehicles specifications'!$A$3:$A$86,0),MATCH("Power [kW]",'vehicles specifications'!$B$2:$CK$2,0))</f>
        <v>0</v>
      </c>
    </row>
    <row r="90" spans="1:2" x14ac:dyDescent="0.3">
      <c r="A90" t="s">
        <v>139</v>
      </c>
      <c r="B90">
        <f>INDEX('vehicles specifications'!$B$3:$CK$86,MATCH(B78,'vehicles specifications'!$A$3:$A$86,0),MATCH("Energy battery mass [kg]",'vehicles specifications'!$B$2:$CK$2,0))</f>
        <v>0</v>
      </c>
    </row>
    <row r="91" spans="1:2" x14ac:dyDescent="0.3">
      <c r="A91" t="s">
        <v>140</v>
      </c>
      <c r="B91">
        <f>INDEX('vehicles specifications'!$B$3:$CK$86,MATCH(B78,'vehicles specifications'!$A$3:$A$86,0),MATCH("Electric energy available [kWh]",'vehicles specifications'!$B$2:$CK$2,0))</f>
        <v>0</v>
      </c>
    </row>
    <row r="92" spans="1:2" x14ac:dyDescent="0.3">
      <c r="A92" t="s">
        <v>143</v>
      </c>
      <c r="B92">
        <f>INDEX('vehicles specifications'!$B$3:$CK$86,MATCH(B78,'vehicles specifications'!$A$3:$A$86,0),MATCH("Oxydation energy stored [kWh]",'vehicles specifications'!$B$2:$CK$2,0))</f>
        <v>0</v>
      </c>
    </row>
    <row r="93" spans="1:2" x14ac:dyDescent="0.3">
      <c r="A93" t="s">
        <v>145</v>
      </c>
      <c r="B93">
        <f>INDEX('vehicles specifications'!$B$3:$CK$86,MATCH(B78,'vehicles specifications'!$A$3:$A$86,0),MATCH("Fuel mass [kg]",'vehicles specifications'!$B$2:$CK$2,0))</f>
        <v>0</v>
      </c>
    </row>
    <row r="94" spans="1:2" x14ac:dyDescent="0.3">
      <c r="A94" t="s">
        <v>141</v>
      </c>
      <c r="B94">
        <f>INDEX('vehicles specifications'!$B$3:$CK$86,MATCH(B78,'vehicles specifications'!$A$3:$A$86,0),MATCH("Range [km]",'vehicles specifications'!$B$2:$CK$2,0))</f>
        <v>0</v>
      </c>
    </row>
    <row r="95" spans="1:2" x14ac:dyDescent="0.3">
      <c r="A95" t="s">
        <v>142</v>
      </c>
      <c r="B95" t="str">
        <f>INDEX('vehicles specifications'!$B$3:$CK$86,MATCH(B78,'vehicles specifications'!$A$3:$A$86,0),MATCH("Emission standard",'vehicles specifications'!$B$2:$CK$2,0))</f>
        <v>None</v>
      </c>
    </row>
    <row r="96" spans="1:2" x14ac:dyDescent="0.3">
      <c r="A96" t="s">
        <v>144</v>
      </c>
      <c r="B96" s="6">
        <f>INDEX('vehicles specifications'!$B$3:$CK$86,MATCH(B78,'vehicles specifications'!$A$3:$A$86,0),MATCH("Lightweighting rate [%]",'vehicles specifications'!$B$2:$CK$2,0))</f>
        <v>0.05</v>
      </c>
    </row>
    <row r="97" spans="1:8" s="21" customFormat="1" x14ac:dyDescent="0.3">
      <c r="A97" s="21" t="s">
        <v>513</v>
      </c>
      <c r="B97" s="6" t="s">
        <v>514</v>
      </c>
    </row>
    <row r="98" spans="1:8" s="21" customFormat="1" x14ac:dyDescent="0.3">
      <c r="A98" s="21" t="s">
        <v>515</v>
      </c>
      <c r="B98" s="2">
        <v>15900</v>
      </c>
    </row>
    <row r="99" spans="1:8" s="21" customFormat="1" x14ac:dyDescent="0.3">
      <c r="A99" s="21" t="s">
        <v>516</v>
      </c>
      <c r="B99" s="2">
        <v>1000</v>
      </c>
    </row>
    <row r="100" spans="1:8" s="21" customFormat="1" x14ac:dyDescent="0.3">
      <c r="A100" s="21" t="s">
        <v>84</v>
      </c>
      <c r="B100" s="21" t="str">
        <f>"Power: "&amp;B89&amp;" kW. Lifetime: "&amp;B83&amp;" km. Annual kilometers: "&amp;ROUND(B87,0)&amp;" km. Number of passengers: "&amp;ROUND(B84,1)&amp;". Curb mass: "&amp;ROUND(B88,1)&amp;" kg. Lightweighting of glider: "&amp;ROUND(B96*100,0)&amp;"%. Emission standard: "&amp;B95&amp;". Service visits throughout lifetime: "&amp;ROUND(B85,1)&amp;". Range: "&amp;ROUND(B94,0)&amp;" km. Battery capacity: "&amp;ROUND(B91,1)&amp;" kWh. Battery mass: "&amp;ROUND(B90,1)&amp; " kg. Battery replacement throughout lifetime: "&amp;ROUND(B86,1)&amp;". Fuel tank capacity: "&amp;ROUND(B92,1)&amp;" kWh. Fuel mass: "&amp;ROUND(B93,1)&amp;" kg. Origin of manufacture: "&amp;B97&amp;". Shipping distance: "&amp;B98&amp;" km. Lorry distribution distance: "&amp;B99&amp;" km. Documentation: "&amp;Readmefirst!$B$2&amp;", "&amp;Readmefirst!$B$3&amp;". "&amp;B82</f>
        <v>Power: 0 kW. Lifetime: 10000 km. Annual kilometers: 1000 km. Number of passengers: 1. Curb mass: 11.4 kg. Lightweighting of glider: 5%. Emission standard: None. Service visits throughout lifetime: 2.5. Range: 0 km. Battery capacity: 0 kWh. Battery mass: 0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1" spans="1:8" ht="15.6" x14ac:dyDescent="0.3">
      <c r="A101" s="11" t="s">
        <v>80</v>
      </c>
    </row>
    <row r="102" spans="1:8" x14ac:dyDescent="0.3">
      <c r="A102" t="s">
        <v>81</v>
      </c>
      <c r="B102" t="s">
        <v>82</v>
      </c>
      <c r="C102" t="s">
        <v>73</v>
      </c>
      <c r="D102" t="s">
        <v>77</v>
      </c>
      <c r="E102" t="s">
        <v>83</v>
      </c>
      <c r="F102" t="s">
        <v>75</v>
      </c>
      <c r="G102" t="s">
        <v>84</v>
      </c>
      <c r="H102" t="s">
        <v>74</v>
      </c>
    </row>
    <row r="103" spans="1:8" x14ac:dyDescent="0.3">
      <c r="A103" s="12" t="str">
        <f>B73</f>
        <v>Bicycle, conventional, urban, 2040</v>
      </c>
      <c r="B103" s="12">
        <v>1</v>
      </c>
      <c r="C103" s="12" t="str">
        <f>B74</f>
        <v>CH</v>
      </c>
      <c r="D103" s="12" t="str">
        <f>B81</f>
        <v>unit</v>
      </c>
      <c r="E103" s="12"/>
      <c r="F103" s="12" t="s">
        <v>85</v>
      </c>
      <c r="G103" s="12" t="s">
        <v>86</v>
      </c>
      <c r="H103" s="12" t="str">
        <f>B75</f>
        <v>Bicycle, conventional, urban</v>
      </c>
    </row>
    <row r="104" spans="1:8" x14ac:dyDescent="0.3">
      <c r="A104" s="12" t="str">
        <f>INDEX('ei names mapping'!$B$4:$R$33,MATCH($B$3,'ei names mapping'!$A$4:$A$33,0),MATCH(G104,'ei names mapping'!$B$3:$R$3,0))</f>
        <v>bicycle production</v>
      </c>
      <c r="B104" s="14">
        <f>INDEX('vehicles specifications'!$B$3:$CK$86,MATCH(B78,'vehicles specifications'!$A$3:$A$86,0),MATCH(G104,'vehicles specifications'!$B$2:$CK$2,0))*INDEX('ei names mapping'!$B$137:$BK$220,MATCH(B78,'ei names mapping'!$A$137:$A$220,0),MATCH(G104,'ei names mapping'!$B$136:$BK$136,0))</f>
        <v>0.70588235294117641</v>
      </c>
      <c r="C104" s="12" t="str">
        <f>INDEX('ei names mapping'!$B$38:$R$67,MATCH($B$3,'ei names mapping'!$A$4:$A$33,0),MATCH(G104,'ei names mapping'!$B$3:$R$3,0))</f>
        <v>RER</v>
      </c>
      <c r="D104" s="12" t="str">
        <f>INDEX('ei names mapping'!$B$104:$R$133,MATCH(B75,'ei names mapping'!$A$104:$A$133,0),MATCH(G104,'ei names mapping'!$B$3:$R$3,0))</f>
        <v>unit</v>
      </c>
      <c r="E104" s="12"/>
      <c r="F104" s="12" t="s">
        <v>91</v>
      </c>
      <c r="G104" s="21" t="s">
        <v>15</v>
      </c>
      <c r="H104" s="12" t="str">
        <f>INDEX('ei names mapping'!$B$71:$R$100,MATCH($B$3,'ei names mapping'!$A$4:$A$33,0),MATCH(G104,'ei names mapping'!$B$3:$R$3,0))</f>
        <v>bicycle</v>
      </c>
    </row>
    <row r="105" spans="1:8" s="21" customFormat="1" x14ac:dyDescent="0.3">
      <c r="A105" s="12" t="str">
        <f>INDEX('ei names mapping'!$B$4:$R$33,MATCH(B75,'ei names mapping'!$A$4:$A$33,0),MATCH(G105,'ei names mapping'!$B$3:$R$3,0))</f>
        <v>glider lightweighting</v>
      </c>
      <c r="B105" s="16">
        <f>INDEX('vehicles specifications'!$B$3:$CK$86,MATCH(B78,'vehicles specifications'!$A$3:$A$86,0),MATCH(G105,'vehicles specifications'!$B$2:$CK$2,0))*INDEX('ei names mapping'!$B$137:$BK$220,MATCH(B78,'ei names mapping'!$A$137:$A$220,0),MATCH(G105,'ei names mapping'!$B$136:$BK$136,0))</f>
        <v>0.60000000000000009</v>
      </c>
      <c r="C105" s="12" t="str">
        <f>INDEX('ei names mapping'!$B$38:$R$67,MATCH(B75,'ei names mapping'!$A$4:$A$33,0),MATCH(G105,'ei names mapping'!$B$3:$R$3,0))</f>
        <v>GLO</v>
      </c>
      <c r="D105" s="12" t="str">
        <f>INDEX('ei names mapping'!$B$104:$R$133,MATCH(B75,'ei names mapping'!$A$104:$A$133,0),MATCH(G105,'ei names mapping'!$B$3:$R$3,0))</f>
        <v>kilogram</v>
      </c>
      <c r="E105" s="12"/>
      <c r="F105" s="12" t="s">
        <v>91</v>
      </c>
      <c r="G105" s="21" t="s">
        <v>14</v>
      </c>
      <c r="H105" s="12" t="str">
        <f>INDEX('ei names mapping'!$B$71:$R$100,MATCH(B75,'ei names mapping'!$A$4:$A$33,0),MATCH(G105,'ei names mapping'!$B$3:$R$3,0))</f>
        <v>glider lightweighting</v>
      </c>
    </row>
    <row r="106" spans="1:8" s="21" customFormat="1" x14ac:dyDescent="0.3">
      <c r="A106" s="22" t="s">
        <v>468</v>
      </c>
      <c r="B106" s="21">
        <f>(B88/1000)*B99</f>
        <v>11.399999999999999</v>
      </c>
      <c r="C106" s="21" t="s">
        <v>94</v>
      </c>
      <c r="D106" s="21" t="s">
        <v>243</v>
      </c>
      <c r="F106" s="21" t="s">
        <v>91</v>
      </c>
      <c r="H106" s="22" t="s">
        <v>469</v>
      </c>
    </row>
    <row r="107" spans="1:8" s="21" customFormat="1" x14ac:dyDescent="0.3">
      <c r="A107" s="22" t="s">
        <v>467</v>
      </c>
      <c r="B107" s="2">
        <f>(B88/1000)*B98</f>
        <v>181.26</v>
      </c>
      <c r="C107" s="21" t="s">
        <v>98</v>
      </c>
      <c r="D107" s="21" t="s">
        <v>243</v>
      </c>
      <c r="F107" s="21" t="s">
        <v>91</v>
      </c>
      <c r="H107" s="22" t="s">
        <v>467</v>
      </c>
    </row>
    <row r="109" spans="1:8" ht="15.6" x14ac:dyDescent="0.3">
      <c r="A109" s="11" t="s">
        <v>72</v>
      </c>
      <c r="B109" s="9" t="str">
        <f>B111&amp;", "&amp;B113</f>
        <v>Bicycle, conventional, urban, 2050</v>
      </c>
    </row>
    <row r="110" spans="1:8" x14ac:dyDescent="0.3">
      <c r="A110" t="s">
        <v>73</v>
      </c>
      <c r="B110" t="s">
        <v>37</v>
      </c>
    </row>
    <row r="111" spans="1:8" x14ac:dyDescent="0.3">
      <c r="A111" t="s">
        <v>87</v>
      </c>
      <c r="B111" t="s">
        <v>33</v>
      </c>
    </row>
    <row r="112" spans="1:8" x14ac:dyDescent="0.3">
      <c r="A112" t="s">
        <v>88</v>
      </c>
      <c r="B112" s="12"/>
    </row>
    <row r="113" spans="1:2" x14ac:dyDescent="0.3">
      <c r="A113" t="s">
        <v>89</v>
      </c>
      <c r="B113" s="12">
        <v>2050</v>
      </c>
    </row>
    <row r="114" spans="1:2" x14ac:dyDescent="0.3">
      <c r="A114" t="s">
        <v>131</v>
      </c>
      <c r="B114" s="12" t="str">
        <f>B111&amp;" - "&amp;B113&amp;" - "&amp;B110</f>
        <v>Bicycle, conventional, urban - 2050 - CH</v>
      </c>
    </row>
    <row r="115" spans="1:2" x14ac:dyDescent="0.3">
      <c r="A115" t="s">
        <v>74</v>
      </c>
      <c r="B115" t="str">
        <f>B111</f>
        <v>Bicycle, conventional, urban</v>
      </c>
    </row>
    <row r="116" spans="1:2" x14ac:dyDescent="0.3">
      <c r="A116" t="s">
        <v>75</v>
      </c>
      <c r="B116" t="s">
        <v>76</v>
      </c>
    </row>
    <row r="117" spans="1:2" x14ac:dyDescent="0.3">
      <c r="A117" t="s">
        <v>77</v>
      </c>
      <c r="B117" t="s">
        <v>77</v>
      </c>
    </row>
    <row r="118" spans="1:2" x14ac:dyDescent="0.3">
      <c r="A118" t="s">
        <v>79</v>
      </c>
      <c r="B118" t="s">
        <v>90</v>
      </c>
    </row>
    <row r="119" spans="1:2" x14ac:dyDescent="0.3">
      <c r="A119" t="s">
        <v>132</v>
      </c>
      <c r="B119">
        <f>INDEX('vehicles specifications'!$B$3:$CK$86,MATCH(B114,'vehicles specifications'!$A$3:$A$86,0),MATCH("Lifetime [km]",'vehicles specifications'!$B$2:$CK$2,0))</f>
        <v>10000</v>
      </c>
    </row>
    <row r="120" spans="1:2" x14ac:dyDescent="0.3">
      <c r="A120" t="s">
        <v>133</v>
      </c>
      <c r="B120">
        <f>INDEX('vehicles specifications'!$B$3:$CK$86,MATCH(B114,'vehicles specifications'!$A$3:$A$86,0),MATCH("Passengers [unit]",'vehicles specifications'!$B$2:$CK$2,0))</f>
        <v>1</v>
      </c>
    </row>
    <row r="121" spans="1:2" x14ac:dyDescent="0.3">
      <c r="A121" t="s">
        <v>134</v>
      </c>
      <c r="B121">
        <f>INDEX('vehicles specifications'!$B$3:$CK$86,MATCH(B114,'vehicles specifications'!$A$3:$A$86,0),MATCH("Servicing [unit]",'vehicles specifications'!$B$2:$CK$2,0))</f>
        <v>2.5</v>
      </c>
    </row>
    <row r="122" spans="1:2" x14ac:dyDescent="0.3">
      <c r="A122" t="s">
        <v>135</v>
      </c>
      <c r="B122">
        <f>INDEX('vehicles specifications'!$B$3:$CK$86,MATCH(B114,'vehicles specifications'!$A$3:$A$86,0),MATCH("Energy battery replacement [unit]",'vehicles specifications'!$B$2:$CK$2,0))</f>
        <v>0</v>
      </c>
    </row>
    <row r="123" spans="1:2" x14ac:dyDescent="0.3">
      <c r="A123" t="s">
        <v>136</v>
      </c>
      <c r="B123">
        <f>INDEX('vehicles specifications'!$B$3:$CK$86,MATCH(B114,'vehicles specifications'!$A$3:$A$86,0),MATCH("Annual kilometers [km]",'vehicles specifications'!$B$2:$CK$2,0))</f>
        <v>1000</v>
      </c>
    </row>
    <row r="124" spans="1:2" x14ac:dyDescent="0.3">
      <c r="A124" t="s">
        <v>137</v>
      </c>
      <c r="B124">
        <f>INDEX('vehicles specifications'!$B$3:$CK$86,MATCH(B114,'vehicles specifications'!$A$3:$A$86,0),MATCH("Curb mass [kg]",'vehicles specifications'!$B$2:$CK$2,0))</f>
        <v>11.16</v>
      </c>
    </row>
    <row r="125" spans="1:2" x14ac:dyDescent="0.3">
      <c r="A125" t="s">
        <v>138</v>
      </c>
      <c r="B125">
        <f>INDEX('vehicles specifications'!$B$3:$CK$86,MATCH(B114,'vehicles specifications'!$A$3:$A$86,0),MATCH("Power [kW]",'vehicles specifications'!$B$2:$CK$2,0))</f>
        <v>0</v>
      </c>
    </row>
    <row r="126" spans="1:2" x14ac:dyDescent="0.3">
      <c r="A126" t="s">
        <v>139</v>
      </c>
      <c r="B126">
        <f>INDEX('vehicles specifications'!$B$3:$CK$86,MATCH(B114,'vehicles specifications'!$A$3:$A$86,0),MATCH("Energy battery mass [kg]",'vehicles specifications'!$B$2:$CK$2,0))</f>
        <v>0</v>
      </c>
    </row>
    <row r="127" spans="1:2" x14ac:dyDescent="0.3">
      <c r="A127" t="s">
        <v>140</v>
      </c>
      <c r="B127">
        <f>INDEX('vehicles specifications'!$B$3:$CK$86,MATCH(B114,'vehicles specifications'!$A$3:$A$86,0),MATCH("Electric energy available [kWh]",'vehicles specifications'!$B$2:$CK$2,0))</f>
        <v>0</v>
      </c>
    </row>
    <row r="128" spans="1:2" x14ac:dyDescent="0.3">
      <c r="A128" t="s">
        <v>143</v>
      </c>
      <c r="B128">
        <f>INDEX('vehicles specifications'!$B$3:$CK$86,MATCH(B114,'vehicles specifications'!$A$3:$A$86,0),MATCH("Oxydation energy stored [kWh]",'vehicles specifications'!$B$2:$CK$2,0))</f>
        <v>0</v>
      </c>
    </row>
    <row r="129" spans="1:8" x14ac:dyDescent="0.3">
      <c r="A129" t="s">
        <v>145</v>
      </c>
      <c r="B129">
        <f>INDEX('vehicles specifications'!$B$3:$CK$86,MATCH(B114,'vehicles specifications'!$A$3:$A$86,0),MATCH("Fuel mass [kg]",'vehicles specifications'!$B$2:$CK$2,0))</f>
        <v>0</v>
      </c>
    </row>
    <row r="130" spans="1:8" x14ac:dyDescent="0.3">
      <c r="A130" t="s">
        <v>141</v>
      </c>
      <c r="B130">
        <f>INDEX('vehicles specifications'!$B$3:$CK$86,MATCH(B114,'vehicles specifications'!$A$3:$A$86,0),MATCH("Range [km]",'vehicles specifications'!$B$2:$CK$2,0))</f>
        <v>0</v>
      </c>
    </row>
    <row r="131" spans="1:8" x14ac:dyDescent="0.3">
      <c r="A131" t="s">
        <v>142</v>
      </c>
      <c r="B131" t="str">
        <f>INDEX('vehicles specifications'!$B$3:$CK$86,MATCH(B114,'vehicles specifications'!$A$3:$A$86,0),MATCH("Emission standard",'vehicles specifications'!$B$2:$CK$2,0))</f>
        <v>None</v>
      </c>
    </row>
    <row r="132" spans="1:8" x14ac:dyDescent="0.3">
      <c r="A132" t="s">
        <v>144</v>
      </c>
      <c r="B132" s="6">
        <f>INDEX('vehicles specifications'!$B$3:$CK$86,MATCH(B114,'vehicles specifications'!$A$3:$A$86,0),MATCH("Lightweighting rate [%]",'vehicles specifications'!$B$2:$CK$2,0))</f>
        <v>7.0000000000000007E-2</v>
      </c>
    </row>
    <row r="133" spans="1:8" s="21" customFormat="1" x14ac:dyDescent="0.3">
      <c r="A133" s="21" t="s">
        <v>513</v>
      </c>
      <c r="B133" s="6" t="s">
        <v>514</v>
      </c>
    </row>
    <row r="134" spans="1:8" s="21" customFormat="1" x14ac:dyDescent="0.3">
      <c r="A134" s="21" t="s">
        <v>515</v>
      </c>
      <c r="B134" s="2">
        <v>15900</v>
      </c>
    </row>
    <row r="135" spans="1:8" s="21" customFormat="1" x14ac:dyDescent="0.3">
      <c r="A135" s="21" t="s">
        <v>516</v>
      </c>
      <c r="B135" s="2">
        <v>1000</v>
      </c>
    </row>
    <row r="136" spans="1:8" s="21" customFormat="1" x14ac:dyDescent="0.3">
      <c r="A136" s="21" t="s">
        <v>84</v>
      </c>
      <c r="B136" s="21" t="str">
        <f>"Power: "&amp;B125&amp;" kW. Lifetime: "&amp;B119&amp;" km. Annual kilometers: "&amp;ROUND(B123,0)&amp;" km. Number of passengers: "&amp;ROUND(B120,1)&amp;". Curb mass: "&amp;ROUND(B124,1)&amp;" kg. Lightweighting of glider: "&amp;ROUND(B132*100,0)&amp;"%. Emission standard: "&amp;B131&amp;". Service visits throughout lifetime: "&amp;ROUND(B121,1)&amp;". Range: "&amp;ROUND(B130,0)&amp;" km. Battery capacity: "&amp;ROUND(B127,1)&amp;" kWh. Battery mass: "&amp;ROUND(B126,1)&amp; " kg. Battery replacement throughout lifetime: "&amp;ROUND(B122,1)&amp;". Fuel tank capacity: "&amp;ROUND(B128,1)&amp;" kWh. Fuel mass: "&amp;ROUND(B129,1)&amp;" kg. Origin of manufacture: "&amp;B133&amp;". Shipping distance: "&amp;B134&amp;" km. Lorry distribution distance: "&amp;B135&amp;" km. Documentation: "&amp;Readmefirst!$B$2&amp;", "&amp;Readmefirst!$B$3&amp;". "&amp;B118</f>
        <v>Power: 0 kW. Lifetime: 10000 km. Annual kilometers: 1000 km. Number of passengers: 1. Curb mass: 11.2 kg. Lightweighting of glider: 7%. Emission standard: None. Service visits throughout lifetime: 2.5. Range: 0 km. Battery capacity: 0 kWh. Battery mass: 0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37" spans="1:8" ht="15.6" x14ac:dyDescent="0.3">
      <c r="A137" s="11" t="s">
        <v>80</v>
      </c>
    </row>
    <row r="138" spans="1:8" x14ac:dyDescent="0.3">
      <c r="A138" t="s">
        <v>81</v>
      </c>
      <c r="B138" t="s">
        <v>82</v>
      </c>
      <c r="C138" t="s">
        <v>73</v>
      </c>
      <c r="D138" t="s">
        <v>77</v>
      </c>
      <c r="E138" t="s">
        <v>83</v>
      </c>
      <c r="F138" t="s">
        <v>75</v>
      </c>
      <c r="G138" t="s">
        <v>84</v>
      </c>
      <c r="H138" t="s">
        <v>74</v>
      </c>
    </row>
    <row r="139" spans="1:8" x14ac:dyDescent="0.3">
      <c r="A139" s="12" t="str">
        <f>B109</f>
        <v>Bicycle, conventional, urban, 2050</v>
      </c>
      <c r="B139" s="12">
        <v>1</v>
      </c>
      <c r="C139" s="12" t="str">
        <f>B110</f>
        <v>CH</v>
      </c>
      <c r="D139" s="12" t="str">
        <f>B117</f>
        <v>unit</v>
      </c>
      <c r="E139" s="12"/>
      <c r="F139" s="12" t="s">
        <v>85</v>
      </c>
      <c r="G139" s="12" t="s">
        <v>86</v>
      </c>
      <c r="H139" s="12" t="str">
        <f>B111</f>
        <v>Bicycle, conventional, urban</v>
      </c>
    </row>
    <row r="140" spans="1:8" x14ac:dyDescent="0.3">
      <c r="A140" s="12" t="str">
        <f>INDEX('ei names mapping'!$B$4:$R$33,MATCH($B$3,'ei names mapping'!$A$4:$A$33,0),MATCH(G140,'ei names mapping'!$B$3:$R$3,0))</f>
        <v>bicycle production</v>
      </c>
      <c r="B140" s="14">
        <f>INDEX('vehicles specifications'!$B$3:$CK$86,MATCH(B114,'vehicles specifications'!$A$3:$A$86,0),MATCH(G140,'vehicles specifications'!$B$2:$CK$2,0))*INDEX('ei names mapping'!$B$137:$BK$220,MATCH(B114,'ei names mapping'!$A$137:$A$220,0),MATCH(G140,'ei names mapping'!$B$136:$BK$136,0))</f>
        <v>0.70588235294117641</v>
      </c>
      <c r="C140" s="12" t="str">
        <f>INDEX('ei names mapping'!$B$38:$R$67,MATCH($B$3,'ei names mapping'!$A$4:$A$33,0),MATCH(G140,'ei names mapping'!$B$3:$R$3,0))</f>
        <v>RER</v>
      </c>
      <c r="D140" s="12" t="str">
        <f>INDEX('ei names mapping'!$B$104:$R$133,MATCH(B111,'ei names mapping'!$A$104:$A$133,0),MATCH(G140,'ei names mapping'!$B$3:$R$3,0))</f>
        <v>unit</v>
      </c>
      <c r="E140" s="12"/>
      <c r="F140" s="12" t="s">
        <v>91</v>
      </c>
      <c r="G140" s="21" t="s">
        <v>15</v>
      </c>
      <c r="H140" s="12" t="str">
        <f>INDEX('ei names mapping'!$B$71:$R$100,MATCH($B$3,'ei names mapping'!$A$4:$A$33,0),MATCH(G140,'ei names mapping'!$B$3:$R$3,0))</f>
        <v>bicycle</v>
      </c>
    </row>
    <row r="141" spans="1:8" s="21" customFormat="1" x14ac:dyDescent="0.3">
      <c r="A141" s="12" t="str">
        <f>INDEX('ei names mapping'!$B$4:$R$33,MATCH(B111,'ei names mapping'!$A$4:$A$33,0),MATCH(G141,'ei names mapping'!$B$3:$R$3,0))</f>
        <v>glider lightweighting</v>
      </c>
      <c r="B141" s="16">
        <f>INDEX('vehicles specifications'!$B$3:$CK$86,MATCH(B114,'vehicles specifications'!$A$3:$A$86,0),MATCH(G141,'vehicles specifications'!$B$2:$CK$2,0))*INDEX('ei names mapping'!$B$137:$BK$220,MATCH(B114,'ei names mapping'!$A$137:$A$220,0),MATCH(G141,'ei names mapping'!$B$136:$BK$136,0))</f>
        <v>0.84000000000000008</v>
      </c>
      <c r="C141" s="12" t="str">
        <f>INDEX('ei names mapping'!$B$38:$R$67,MATCH(B111,'ei names mapping'!$A$4:$A$33,0),MATCH(G141,'ei names mapping'!$B$3:$R$3,0))</f>
        <v>GLO</v>
      </c>
      <c r="D141" s="12" t="str">
        <f>INDEX('ei names mapping'!$B$104:$R$133,MATCH(B111,'ei names mapping'!$A$104:$A$133,0),MATCH(G141,'ei names mapping'!$B$3:$R$3,0))</f>
        <v>kilogram</v>
      </c>
      <c r="E141" s="12"/>
      <c r="F141" s="12" t="s">
        <v>91</v>
      </c>
      <c r="G141" s="21" t="s">
        <v>14</v>
      </c>
      <c r="H141" s="12" t="str">
        <f>INDEX('ei names mapping'!$B$71:$R$100,MATCH(B111,'ei names mapping'!$A$4:$A$33,0),MATCH(G141,'ei names mapping'!$B$3:$R$3,0))</f>
        <v>glider lightweighting</v>
      </c>
    </row>
    <row r="142" spans="1:8" s="21" customFormat="1" x14ac:dyDescent="0.3">
      <c r="A142" s="22" t="s">
        <v>468</v>
      </c>
      <c r="B142" s="21">
        <f>(B124/1000)*B135</f>
        <v>11.16</v>
      </c>
      <c r="C142" s="21" t="s">
        <v>94</v>
      </c>
      <c r="D142" s="21" t="s">
        <v>243</v>
      </c>
      <c r="F142" s="21" t="s">
        <v>91</v>
      </c>
      <c r="H142" s="22" t="s">
        <v>469</v>
      </c>
    </row>
    <row r="143" spans="1:8" s="21" customFormat="1" x14ac:dyDescent="0.3">
      <c r="A143" s="22" t="s">
        <v>467</v>
      </c>
      <c r="B143" s="2">
        <f>(B124/1000)*B134</f>
        <v>177.44399999999999</v>
      </c>
      <c r="C143" s="21" t="s">
        <v>98</v>
      </c>
      <c r="D143" s="21" t="s">
        <v>243</v>
      </c>
      <c r="F143" s="21" t="s">
        <v>91</v>
      </c>
      <c r="H143" s="22" t="s">
        <v>467</v>
      </c>
    </row>
    <row r="145" spans="1:2" ht="15.6" x14ac:dyDescent="0.3">
      <c r="A145" s="11" t="s">
        <v>72</v>
      </c>
      <c r="B145" s="9" t="str">
        <f>"transport, "&amp;B147&amp;", "&amp;B149</f>
        <v>transport, Bicycle, conventional, urban, 2020</v>
      </c>
    </row>
    <row r="146" spans="1:2" x14ac:dyDescent="0.3">
      <c r="A146" t="s">
        <v>73</v>
      </c>
      <c r="B146" t="s">
        <v>37</v>
      </c>
    </row>
    <row r="147" spans="1:2" x14ac:dyDescent="0.3">
      <c r="A147" t="s">
        <v>87</v>
      </c>
      <c r="B147" t="s">
        <v>33</v>
      </c>
    </row>
    <row r="148" spans="1:2" x14ac:dyDescent="0.3">
      <c r="A148" t="s">
        <v>88</v>
      </c>
      <c r="B148" s="12"/>
    </row>
    <row r="149" spans="1:2" x14ac:dyDescent="0.3">
      <c r="A149" t="s">
        <v>89</v>
      </c>
      <c r="B149" s="12">
        <v>2020</v>
      </c>
    </row>
    <row r="150" spans="1:2" x14ac:dyDescent="0.3">
      <c r="A150" t="s">
        <v>131</v>
      </c>
      <c r="B150" s="12" t="str">
        <f>B147&amp;" - "&amp;B149&amp;" - "&amp;B146</f>
        <v>Bicycle, conventional, urban - 2020 - CH</v>
      </c>
    </row>
    <row r="151" spans="1:2" x14ac:dyDescent="0.3">
      <c r="A151" t="s">
        <v>74</v>
      </c>
      <c r="B151" s="12" t="str">
        <f>"transport, "&amp;B147</f>
        <v>transport, Bicycle, conventional, urban</v>
      </c>
    </row>
    <row r="152" spans="1:2" x14ac:dyDescent="0.3">
      <c r="A152" t="s">
        <v>75</v>
      </c>
      <c r="B152" t="s">
        <v>76</v>
      </c>
    </row>
    <row r="153" spans="1:2" x14ac:dyDescent="0.3">
      <c r="A153" t="s">
        <v>77</v>
      </c>
      <c r="B153" t="s">
        <v>172</v>
      </c>
    </row>
    <row r="154" spans="1:2" x14ac:dyDescent="0.3">
      <c r="A154" t="s">
        <v>79</v>
      </c>
      <c r="B154" t="s">
        <v>90</v>
      </c>
    </row>
    <row r="155" spans="1:2" x14ac:dyDescent="0.3">
      <c r="A155" t="s">
        <v>132</v>
      </c>
      <c r="B155">
        <f>INDEX('vehicles specifications'!$B$3:$CK$86,MATCH(B150,'vehicles specifications'!$A$3:$A$86,0),MATCH("Lifetime [km]",'vehicles specifications'!$B$2:$CK$2,0))</f>
        <v>10000</v>
      </c>
    </row>
    <row r="156" spans="1:2" x14ac:dyDescent="0.3">
      <c r="A156" t="s">
        <v>133</v>
      </c>
      <c r="B156">
        <f>INDEX('vehicles specifications'!$B$3:$CK$86,MATCH(B150,'vehicles specifications'!$A$3:$A$86,0),MATCH("Passengers [unit]",'vehicles specifications'!$B$2:$CK$2,0))</f>
        <v>1</v>
      </c>
    </row>
    <row r="157" spans="1:2" x14ac:dyDescent="0.3">
      <c r="A157" t="s">
        <v>134</v>
      </c>
      <c r="B157">
        <f>INDEX('vehicles specifications'!$B$3:$CK$86,MATCH(B150,'vehicles specifications'!$A$3:$A$86,0),MATCH("Servicing [unit]",'vehicles specifications'!$B$2:$CK$2,0))</f>
        <v>2.5</v>
      </c>
    </row>
    <row r="158" spans="1:2" x14ac:dyDescent="0.3">
      <c r="A158" t="s">
        <v>135</v>
      </c>
      <c r="B158">
        <f>INDEX('vehicles specifications'!$B$3:$CK$86,MATCH(B150,'vehicles specifications'!$A$3:$A$86,0),MATCH("Energy battery replacement [unit]",'vehicles specifications'!$B$2:$CK$2,0))</f>
        <v>0</v>
      </c>
    </row>
    <row r="159" spans="1:2" x14ac:dyDescent="0.3">
      <c r="A159" t="s">
        <v>136</v>
      </c>
      <c r="B159">
        <f>INDEX('vehicles specifications'!$B$3:$CK$86,MATCH(B150,'vehicles specifications'!$A$3:$A$86,0),MATCH("Annual kilometers [km]",'vehicles specifications'!$B$2:$CK$2,0))</f>
        <v>1000</v>
      </c>
    </row>
    <row r="160" spans="1:2" x14ac:dyDescent="0.3">
      <c r="A160" t="s">
        <v>137</v>
      </c>
      <c r="B160">
        <f>INDEX('vehicles specifications'!$B$3:$CK$86,MATCH(B150,'vehicles specifications'!$A$3:$A$86,0),MATCH("Curb mass [kg]",'vehicles specifications'!$B$2:$CK$2,0))</f>
        <v>12</v>
      </c>
    </row>
    <row r="161" spans="1:8" x14ac:dyDescent="0.3">
      <c r="A161" t="s">
        <v>138</v>
      </c>
      <c r="B161">
        <f>INDEX('vehicles specifications'!$B$3:$CK$86,MATCH(B150,'vehicles specifications'!$A$3:$A$86,0),MATCH("Power [kW]",'vehicles specifications'!$B$2:$CK$2,0))</f>
        <v>0</v>
      </c>
    </row>
    <row r="162" spans="1:8" x14ac:dyDescent="0.3">
      <c r="A162" t="s">
        <v>139</v>
      </c>
      <c r="B162">
        <f>INDEX('vehicles specifications'!$B$3:$CK$86,MATCH(B150,'vehicles specifications'!$A$3:$A$86,0),MATCH("Energy battery mass [kg]",'vehicles specifications'!$B$2:$CK$2,0))</f>
        <v>0</v>
      </c>
    </row>
    <row r="163" spans="1:8" x14ac:dyDescent="0.3">
      <c r="A163" t="s">
        <v>140</v>
      </c>
      <c r="B163">
        <f>INDEX('vehicles specifications'!$B$3:$CK$86,MATCH(B150,'vehicles specifications'!$A$3:$A$86,0),MATCH("Electric energy available [kWh]",'vehicles specifications'!$B$2:$CK$2,0))</f>
        <v>0</v>
      </c>
    </row>
    <row r="164" spans="1:8" x14ac:dyDescent="0.3">
      <c r="A164" t="s">
        <v>143</v>
      </c>
      <c r="B164">
        <f>INDEX('vehicles specifications'!$B$3:$CK$86,MATCH(B150,'vehicles specifications'!$A$3:$A$86,0),MATCH("Oxydation energy stored [kWh]",'vehicles specifications'!$B$2:$CK$2,0))</f>
        <v>0</v>
      </c>
    </row>
    <row r="165" spans="1:8" x14ac:dyDescent="0.3">
      <c r="A165" t="s">
        <v>145</v>
      </c>
      <c r="B165">
        <f>INDEX('vehicles specifications'!$B$3:$CK$86,MATCH(B150,'vehicles specifications'!$A$3:$A$86,0),MATCH("Fuel mass [kg]",'vehicles specifications'!$B$2:$CK$2,0))</f>
        <v>0</v>
      </c>
    </row>
    <row r="166" spans="1:8" x14ac:dyDescent="0.3">
      <c r="A166" t="s">
        <v>141</v>
      </c>
      <c r="B166">
        <f>INDEX('vehicles specifications'!$B$3:$CK$86,MATCH(B150,'vehicles specifications'!$A$3:$A$86,0),MATCH("Range [km]",'vehicles specifications'!$B$2:$CK$2,0))</f>
        <v>0</v>
      </c>
    </row>
    <row r="167" spans="1:8" x14ac:dyDescent="0.3">
      <c r="A167" t="s">
        <v>142</v>
      </c>
      <c r="B167" t="str">
        <f>INDEX('vehicles specifications'!$B$3:$CK$86,MATCH(B150,'vehicles specifications'!$A$3:$A$86,0),MATCH("Emission standard",'vehicles specifications'!$B$2:$CK$2,0))</f>
        <v>None</v>
      </c>
    </row>
    <row r="168" spans="1:8" x14ac:dyDescent="0.3">
      <c r="A168" t="s">
        <v>144</v>
      </c>
      <c r="B168" s="6">
        <f>INDEX('vehicles specifications'!$B$3:$CK$86,MATCH(B150,'vehicles specifications'!$A$3:$A$86,0),MATCH("Lightweighting rate [%]",'vehicles specifications'!$B$2:$CK$2,0))</f>
        <v>0</v>
      </c>
    </row>
    <row r="169" spans="1:8" x14ac:dyDescent="0.3">
      <c r="A169" t="s">
        <v>84</v>
      </c>
      <c r="B169" s="21" t="str">
        <f>"Power: "&amp;B161&amp;" kW. Lifetime: "&amp;B155&amp;" km. Annual kilometers: "&amp;B159&amp;" km. Number of passengers: "&amp;B156&amp;". Curb mass: "&amp;ROUND(B160,1)&amp;" kg. Lightweighting of glider: "&amp;ROUND(B168*100,0)&amp;"%. Emission standard: "&amp;B167&amp;". Service visits throughout lifetime: "&amp;ROUND(B157,1)&amp;". Range: "&amp;ROUND(B166,0)&amp;" km. Battery capacity: "&amp;ROUND(B163,1)&amp;" kWh. Battery mass: "&amp;ROUND(B162,1)&amp; " kg. Battery replacement throughout lifetime: "&amp;ROUND(B158,1)&amp;". Fuel tank capacity: "&amp;ROUND(B164,1)&amp;" kWh. Fuel mass: "&amp;ROUND(B165,1)&amp;" kg. Documentation: "&amp;Readmefirst!$B$2&amp;", "&amp;Readmefirst!$B$3&amp;". "&amp;B154</f>
        <v>Power: 0 kW. Lifetime: 10000 km. Annual kilometers: 1000 km. Number of passengers: 1. Curb mass: 12 kg. Lightweighting of glider: 0%. Emission standard: None. Service visits throughout lifetime: 2.5.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70" spans="1:8" ht="15.6" x14ac:dyDescent="0.3">
      <c r="A170" s="11" t="s">
        <v>80</v>
      </c>
    </row>
    <row r="171" spans="1:8" x14ac:dyDescent="0.3">
      <c r="A171" t="s">
        <v>81</v>
      </c>
      <c r="B171" t="s">
        <v>82</v>
      </c>
      <c r="C171" t="s">
        <v>73</v>
      </c>
      <c r="D171" t="s">
        <v>77</v>
      </c>
      <c r="E171" t="s">
        <v>83</v>
      </c>
      <c r="F171" t="s">
        <v>75</v>
      </c>
      <c r="G171" t="s">
        <v>84</v>
      </c>
      <c r="H171" t="s">
        <v>74</v>
      </c>
    </row>
    <row r="172" spans="1:8" x14ac:dyDescent="0.3">
      <c r="A172" s="12" t="str">
        <f>B145</f>
        <v>transport, Bicycle, conventional, urban, 2020</v>
      </c>
      <c r="B172" s="12">
        <v>1</v>
      </c>
      <c r="C172" s="12" t="str">
        <f>B146</f>
        <v>CH</v>
      </c>
      <c r="D172" s="12" t="s">
        <v>172</v>
      </c>
      <c r="E172" s="12"/>
      <c r="F172" s="12" t="s">
        <v>85</v>
      </c>
      <c r="G172" s="12" t="s">
        <v>86</v>
      </c>
      <c r="H172" s="12" t="str">
        <f>B151</f>
        <v>transport, Bicycle, conventional, urban</v>
      </c>
    </row>
    <row r="173" spans="1:8" x14ac:dyDescent="0.3">
      <c r="A173" s="12" t="str">
        <f>RIGHT(A172,LEN(A172)-11)</f>
        <v>Bicycle, conventional, urban, 2020</v>
      </c>
      <c r="B173" s="12">
        <f>1/B155</f>
        <v>1E-4</v>
      </c>
      <c r="C173" s="12" t="str">
        <f>B146</f>
        <v>CH</v>
      </c>
      <c r="D173" s="12" t="s">
        <v>77</v>
      </c>
      <c r="E173" s="12"/>
      <c r="F173" s="12" t="s">
        <v>91</v>
      </c>
      <c r="G173" s="12"/>
      <c r="H173" s="12" t="str">
        <f>RIGHT(H172,LEN(H172)-11)</f>
        <v>Bicycle, conventional, urban</v>
      </c>
    </row>
    <row r="174" spans="1:8" s="21" customFormat="1" x14ac:dyDescent="0.3">
      <c r="A174" s="12" t="str">
        <f>INDEX('ei names mapping'!$B$4:$R$33,MATCH(B147,'ei names mapping'!$A$4:$A$33,0),MATCH(G174,'ei names mapping'!$B$3:$R$3,0))</f>
        <v>road construction</v>
      </c>
      <c r="B174" s="16">
        <f>INDEX('vehicles specifications'!$B$3:$CK$86,MATCH(B150,'vehicles specifications'!$A$3:$A$86,0),MATCH(G174,'vehicles specifications'!$B$2:$CK$2,0))*INDEX('ei names mapping'!$B$137:$BK$220,MATCH(B150,'ei names mapping'!$A$137:$A$220,0),MATCH(G174,'ei names mapping'!$B$136:$BK$136,0))</f>
        <v>4.4570999999999997E-5</v>
      </c>
      <c r="C174" s="12" t="str">
        <f>INDEX('ei names mapping'!$B$38:$R$67,MATCH(B147,'ei names mapping'!$A$4:$A$33,0),MATCH(G174,'ei names mapping'!$B$3:$R$3,0))</f>
        <v>CH</v>
      </c>
      <c r="D174" s="12" t="str">
        <f>INDEX('ei names mapping'!$B$104:$BK$133,MATCH(B147,'ei names mapping'!$A$4:$A$33,0),MATCH(G174,'ei names mapping'!$B$3:$BK$3,0))</f>
        <v>meter-year</v>
      </c>
      <c r="E174" s="12"/>
      <c r="F174" s="12" t="s">
        <v>91</v>
      </c>
      <c r="G174" s="21" t="s">
        <v>108</v>
      </c>
      <c r="H174" s="12" t="str">
        <f>INDEX('ei names mapping'!$B$71:$BK$100,MATCH(B147,'ei names mapping'!$A$4:$A$33,0),MATCH(G174,'ei names mapping'!$B$3:$BK$3,0))</f>
        <v>road</v>
      </c>
    </row>
    <row r="175" spans="1:8" x14ac:dyDescent="0.3">
      <c r="A175" s="12" t="str">
        <f>INDEX('ei names mapping'!$B$4:$R$33,MATCH($B$3,'ei names mapping'!$A$4:$A$33,0),MATCH(G175,'ei names mapping'!$B$3:$R$3,0))</f>
        <v>maintenance, bicycle</v>
      </c>
      <c r="B175" s="14">
        <f>INDEX('vehicles specifications'!$B$3:$CK$86,MATCH(B150,'vehicles specifications'!$A$3:$A$86,0),MATCH(G175,'vehicles specifications'!$B$2:$CK$2,0))*INDEX('ei names mapping'!$B$137:$BK$220,MATCH(B150,'ei names mapping'!$A$137:$A$220,0),MATCH(G175,'ei names mapping'!$B$136:$BK$136,0))</f>
        <v>2.5000000000000001E-4</v>
      </c>
      <c r="C175" s="12" t="str">
        <f>INDEX('ei names mapping'!$B$38:$R$67,MATCH($B$3,'ei names mapping'!$A$4:$A$33,0),MATCH(G175,'ei names mapping'!$B$3:$R$3,0))</f>
        <v>CH</v>
      </c>
      <c r="D175" s="12" t="str">
        <f>INDEX('ei names mapping'!$B$104:$R$133,MATCH($B$3,'ei names mapping'!$A$4:$A$33,0),MATCH(G175,'ei names mapping'!$B$3:$R$3,0))</f>
        <v>unit</v>
      </c>
      <c r="E175" s="12"/>
      <c r="F175" s="12" t="s">
        <v>91</v>
      </c>
      <c r="G175" t="s">
        <v>123</v>
      </c>
      <c r="H175" s="12" t="str">
        <f>INDEX('ei names mapping'!$B$71:$R$100,MATCH($B$3,'ei names mapping'!$A$4:$A$33,0),MATCH(G175,'ei names mapping'!$B$3:$R$3,0))</f>
        <v>maintenance, bicycle</v>
      </c>
    </row>
    <row r="176" spans="1:8" x14ac:dyDescent="0.3">
      <c r="A176" s="12" t="str">
        <f>INDEX('ei names mapping'!$B$4:$BK$33,MATCH($B$147,'ei names mapping'!$A$4:$A$33,0),MATCH(G176,'ei names mapping'!$B$3:$BK$3,0))</f>
        <v>treatment of road wear emissions, passenger car</v>
      </c>
      <c r="B176" s="15">
        <f>INDEX('vehicles specifications'!$B$3:$CK$86,MATCH(B150,'vehicles specifications'!$A$3:$A$86,0),MATCH(G176,'vehicles specifications'!$B$2:$CK$2,0))*INDEX('ei names mapping'!$B$137:$BK$220,MATCH(B150,'ei names mapping'!$A$137:$A$220,0),MATCH(G176,'ei names mapping'!$B$136:$BK$136,0))</f>
        <v>-3.0000000000000001E-6</v>
      </c>
      <c r="C176" s="12" t="str">
        <f>INDEX('ei names mapping'!$B$38:$BK$67,MATCH($B$147,'ei names mapping'!$A$4:$A$33,0),MATCH(G176,'ei names mapping'!$B$3:$BK$3,0))</f>
        <v>RER</v>
      </c>
      <c r="D176" s="12" t="str">
        <f>INDEX('ei names mapping'!$B$104:$BK$133,MATCH($B$147,'ei names mapping'!$A$4:$A$33,0),MATCH(G176,'ei names mapping'!$B$3:$BK$3,0))</f>
        <v>kilogram</v>
      </c>
      <c r="E176" s="12"/>
      <c r="F176" s="12" t="s">
        <v>91</v>
      </c>
      <c r="G176" t="s">
        <v>29</v>
      </c>
      <c r="H176" s="12" t="str">
        <f>INDEX('ei names mapping'!$B$71:$BK$100,MATCH(B147,'ei names mapping'!$A$4:$A$33,0),MATCH(G176,'ei names mapping'!$B$3:$BK$3,0))</f>
        <v>road wear emissions, passenger car</v>
      </c>
    </row>
    <row r="177" spans="1:8" x14ac:dyDescent="0.3">
      <c r="A177" s="12" t="str">
        <f>INDEX('ei names mapping'!$B$4:$BK$33,MATCH($B$147,'ei names mapping'!$A$4:$A$33,0),MATCH(G177,'ei names mapping'!$B$3:$BK$3,0))</f>
        <v>treatment of tyre wear emissions, passenger car</v>
      </c>
      <c r="B177" s="15">
        <f>INDEX('vehicles specifications'!$B$3:$CK$86,MATCH(B150,'vehicles specifications'!$A$3:$A$86,0),MATCH(G177,'vehicles specifications'!$B$2:$CK$2,0))*INDEX('ei names mapping'!$B$137:$BK$220,MATCH(B150,'ei names mapping'!$A$137:$A$220,0),MATCH(G177,'ei names mapping'!$B$136:$BK$136,0))</f>
        <v>-2.9189999999999999E-6</v>
      </c>
      <c r="C177" s="12" t="str">
        <f>INDEX('ei names mapping'!$B$38:$BK$67,MATCH($B$147,'ei names mapping'!$A$4:$A$33,0),MATCH(G177,'ei names mapping'!$B$3:$BK$3,0))</f>
        <v>RER</v>
      </c>
      <c r="D177" s="12" t="str">
        <f>INDEX('ei names mapping'!$B$104:$BK$133,MATCH($B$147,'ei names mapping'!$A$4:$A$33,0),MATCH(G177,'ei names mapping'!$B$3:$BK$3,0))</f>
        <v>kilogram</v>
      </c>
      <c r="E177" s="12"/>
      <c r="F177" s="12" t="s">
        <v>91</v>
      </c>
      <c r="G177" t="s">
        <v>30</v>
      </c>
      <c r="H177" s="12" t="str">
        <f>INDEX('ei names mapping'!$B$71:$BK$100,MATCH($B$147,'ei names mapping'!$A$4:$A$33,0),MATCH(G177,'ei names mapping'!$B$3:$BK$3,0))</f>
        <v>tyre wear emissions, passenger car</v>
      </c>
    </row>
    <row r="178" spans="1:8" x14ac:dyDescent="0.3">
      <c r="A178" s="12" t="str">
        <f>INDEX('ei names mapping'!$B$4:$BK$33,MATCH($B$147,'ei names mapping'!$A$4:$A$33,0),MATCH(G178,'ei names mapping'!$B$3:$BK$3,0))</f>
        <v>treatment of brake wear emissions, passenger car</v>
      </c>
      <c r="B178" s="15">
        <f>INDEX('vehicles specifications'!$B$3:$CK$86,MATCH(B150,'vehicles specifications'!$A$3:$A$86,0),MATCH(G178,'vehicles specifications'!$B$2:$CK$2,0))*INDEX('ei names mapping'!$B$137:$BK$220,MATCH(B150,'ei names mapping'!$A$137:$A$220,0),MATCH(G178,'ei names mapping'!$B$136:$BK$136,0))</f>
        <v>-1.8370000000000002E-6</v>
      </c>
      <c r="C178" s="12" t="str">
        <f>INDEX('ei names mapping'!$B$38:$BK$67,MATCH($B$147,'ei names mapping'!$A$4:$A$33,0),MATCH(G178,'ei names mapping'!$B$3:$BK$3,0))</f>
        <v>RER</v>
      </c>
      <c r="D178" s="12" t="str">
        <f>INDEX('ei names mapping'!$B$104:$BK$133,MATCH($B$147,'ei names mapping'!$A$4:$A$33,0),MATCH(G178,'ei names mapping'!$B$3:$BK$3,0))</f>
        <v>kilogram</v>
      </c>
      <c r="E178" s="12"/>
      <c r="F178" s="12" t="s">
        <v>91</v>
      </c>
      <c r="G178" t="s">
        <v>31</v>
      </c>
      <c r="H178" s="12" t="str">
        <f>INDEX('ei names mapping'!$B$71:$BK$100,MATCH($B$147,'ei names mapping'!$A$4:$A$33,0),MATCH(G178,'ei names mapping'!$B$3:$BK$3,0))</f>
        <v>brake wear emissions, passenger car</v>
      </c>
    </row>
    <row r="180" spans="1:8" ht="15.6" x14ac:dyDescent="0.3">
      <c r="A180" s="11" t="s">
        <v>72</v>
      </c>
      <c r="B180" s="9" t="str">
        <f>"transport, "&amp;B182&amp;", "&amp;B184</f>
        <v>transport, Bicycle, conventional, urban, 2030</v>
      </c>
    </row>
    <row r="181" spans="1:8" x14ac:dyDescent="0.3">
      <c r="A181" t="s">
        <v>73</v>
      </c>
      <c r="B181" t="s">
        <v>37</v>
      </c>
    </row>
    <row r="182" spans="1:8" x14ac:dyDescent="0.3">
      <c r="A182" t="s">
        <v>87</v>
      </c>
      <c r="B182" t="s">
        <v>33</v>
      </c>
    </row>
    <row r="183" spans="1:8" x14ac:dyDescent="0.3">
      <c r="A183" t="s">
        <v>88</v>
      </c>
      <c r="B183" s="12"/>
    </row>
    <row r="184" spans="1:8" x14ac:dyDescent="0.3">
      <c r="A184" t="s">
        <v>89</v>
      </c>
      <c r="B184" s="12">
        <v>2030</v>
      </c>
    </row>
    <row r="185" spans="1:8" x14ac:dyDescent="0.3">
      <c r="A185" t="s">
        <v>131</v>
      </c>
      <c r="B185" s="12" t="str">
        <f>B182&amp;" - "&amp;B184&amp;" - "&amp;B181</f>
        <v>Bicycle, conventional, urban - 2030 - CH</v>
      </c>
    </row>
    <row r="186" spans="1:8" x14ac:dyDescent="0.3">
      <c r="A186" t="s">
        <v>74</v>
      </c>
      <c r="B186" s="12" t="str">
        <f>"transport, "&amp;B182</f>
        <v>transport, Bicycle, conventional, urban</v>
      </c>
    </row>
    <row r="187" spans="1:8" x14ac:dyDescent="0.3">
      <c r="A187" t="s">
        <v>75</v>
      </c>
      <c r="B187" t="s">
        <v>76</v>
      </c>
    </row>
    <row r="188" spans="1:8" x14ac:dyDescent="0.3">
      <c r="A188" t="s">
        <v>77</v>
      </c>
      <c r="B188" t="s">
        <v>172</v>
      </c>
    </row>
    <row r="189" spans="1:8" x14ac:dyDescent="0.3">
      <c r="A189" t="s">
        <v>79</v>
      </c>
      <c r="B189" t="s">
        <v>90</v>
      </c>
    </row>
    <row r="190" spans="1:8" x14ac:dyDescent="0.3">
      <c r="A190" t="s">
        <v>132</v>
      </c>
      <c r="B190">
        <f>INDEX('vehicles specifications'!$B$3:$CK$86,MATCH(B185,'vehicles specifications'!$A$3:$A$86,0),MATCH("Lifetime [km]",'vehicles specifications'!$B$2:$CK$2,0))</f>
        <v>10000</v>
      </c>
    </row>
    <row r="191" spans="1:8" x14ac:dyDescent="0.3">
      <c r="A191" t="s">
        <v>133</v>
      </c>
      <c r="B191">
        <f>INDEX('vehicles specifications'!$B$3:$CK$86,MATCH(B185,'vehicles specifications'!$A$3:$A$86,0),MATCH("Passengers [unit]",'vehicles specifications'!$B$2:$CK$2,0))</f>
        <v>1</v>
      </c>
    </row>
    <row r="192" spans="1:8" x14ac:dyDescent="0.3">
      <c r="A192" t="s">
        <v>134</v>
      </c>
      <c r="B192">
        <f>INDEX('vehicles specifications'!$B$3:$CK$86,MATCH(B185,'vehicles specifications'!$A$3:$A$86,0),MATCH("Servicing [unit]",'vehicles specifications'!$B$2:$CK$2,0))</f>
        <v>2.5</v>
      </c>
    </row>
    <row r="193" spans="1:8" x14ac:dyDescent="0.3">
      <c r="A193" t="s">
        <v>135</v>
      </c>
      <c r="B193">
        <f>INDEX('vehicles specifications'!$B$3:$CK$86,MATCH(B185,'vehicles specifications'!$A$3:$A$86,0),MATCH("Energy battery replacement [unit]",'vehicles specifications'!$B$2:$CK$2,0))</f>
        <v>0</v>
      </c>
    </row>
    <row r="194" spans="1:8" x14ac:dyDescent="0.3">
      <c r="A194" t="s">
        <v>136</v>
      </c>
      <c r="B194">
        <f>INDEX('vehicles specifications'!$B$3:$CK$86,MATCH(B185,'vehicles specifications'!$A$3:$A$86,0),MATCH("Annual kilometers [km]",'vehicles specifications'!$B$2:$CK$2,0))</f>
        <v>1000</v>
      </c>
    </row>
    <row r="195" spans="1:8" x14ac:dyDescent="0.3">
      <c r="A195" t="s">
        <v>137</v>
      </c>
      <c r="B195">
        <f>INDEX('vehicles specifications'!$B$3:$CK$86,MATCH(B185,'vehicles specifications'!$A$3:$A$86,0),MATCH("Curb mass [kg]",'vehicles specifications'!$B$2:$CK$2,0))</f>
        <v>11.64</v>
      </c>
    </row>
    <row r="196" spans="1:8" x14ac:dyDescent="0.3">
      <c r="A196" t="s">
        <v>138</v>
      </c>
      <c r="B196">
        <f>INDEX('vehicles specifications'!$B$3:$CK$86,MATCH(B185,'vehicles specifications'!$A$3:$A$86,0),MATCH("Power [kW]",'vehicles specifications'!$B$2:$CK$2,0))</f>
        <v>0</v>
      </c>
    </row>
    <row r="197" spans="1:8" x14ac:dyDescent="0.3">
      <c r="A197" t="s">
        <v>139</v>
      </c>
      <c r="B197">
        <f>INDEX('vehicles specifications'!$B$3:$CK$86,MATCH(B185,'vehicles specifications'!$A$3:$A$86,0),MATCH("Energy battery mass [kg]",'vehicles specifications'!$B$2:$CK$2,0))</f>
        <v>0</v>
      </c>
    </row>
    <row r="198" spans="1:8" x14ac:dyDescent="0.3">
      <c r="A198" t="s">
        <v>140</v>
      </c>
      <c r="B198">
        <f>INDEX('vehicles specifications'!$B$3:$CK$86,MATCH(B185,'vehicles specifications'!$A$3:$A$86,0),MATCH("Electric energy available [kWh]",'vehicles specifications'!$B$2:$CK$2,0))</f>
        <v>0</v>
      </c>
    </row>
    <row r="199" spans="1:8" x14ac:dyDescent="0.3">
      <c r="A199" t="s">
        <v>143</v>
      </c>
      <c r="B199">
        <f>INDEX('vehicles specifications'!$B$3:$CK$86,MATCH(B185,'vehicles specifications'!$A$3:$A$86,0),MATCH("Oxydation energy stored [kWh]",'vehicles specifications'!$B$2:$CK$2,0))</f>
        <v>0</v>
      </c>
    </row>
    <row r="200" spans="1:8" x14ac:dyDescent="0.3">
      <c r="A200" t="s">
        <v>145</v>
      </c>
      <c r="B200">
        <f>INDEX('vehicles specifications'!$B$3:$CK$86,MATCH(B185,'vehicles specifications'!$A$3:$A$86,0),MATCH("Fuel mass [kg]",'vehicles specifications'!$B$2:$CK$2,0))</f>
        <v>0</v>
      </c>
    </row>
    <row r="201" spans="1:8" x14ac:dyDescent="0.3">
      <c r="A201" t="s">
        <v>141</v>
      </c>
      <c r="B201">
        <f>INDEX('vehicles specifications'!$B$3:$CK$86,MATCH(B185,'vehicles specifications'!$A$3:$A$86,0),MATCH("Range [km]",'vehicles specifications'!$B$2:$CK$2,0))</f>
        <v>0</v>
      </c>
    </row>
    <row r="202" spans="1:8" x14ac:dyDescent="0.3">
      <c r="A202" t="s">
        <v>142</v>
      </c>
      <c r="B202" t="str">
        <f>INDEX('vehicles specifications'!$B$3:$CK$86,MATCH(B185,'vehicles specifications'!$A$3:$A$86,0),MATCH("Emission standard",'vehicles specifications'!$B$2:$CK$2,0))</f>
        <v>None</v>
      </c>
    </row>
    <row r="203" spans="1:8" x14ac:dyDescent="0.3">
      <c r="A203" t="s">
        <v>144</v>
      </c>
      <c r="B203" s="6">
        <f>INDEX('vehicles specifications'!$B$3:$CK$86,MATCH(B185,'vehicles specifications'!$A$3:$A$86,0),MATCH("Lightweighting rate [%]",'vehicles specifications'!$B$2:$CK$2,0))</f>
        <v>0.03</v>
      </c>
    </row>
    <row r="204" spans="1:8" x14ac:dyDescent="0.3">
      <c r="A204" t="s">
        <v>84</v>
      </c>
      <c r="B204" s="21" t="str">
        <f>"Power: "&amp;B196&amp;" kW. Lifetime: "&amp;B190&amp;" km. Annual kilometers: "&amp;B194&amp;" km. Number of passengers: "&amp;B191&amp;". Curb mass: "&amp;ROUND(B195,1)&amp;" kg. Lightweighting of glider: "&amp;ROUND(B203*100,0)&amp;"%. Emission standard: "&amp;B202&amp;". Service visits throughout lifetime: "&amp;ROUND(B192,1)&amp;". Range: "&amp;ROUND(B201,0)&amp;" km. Battery capacity: "&amp;ROUND(B198,1)&amp;" kWh. Battery mass: "&amp;ROUND(B197,1)&amp; " kg. Battery replacement throughout lifetime: "&amp;ROUND(B193,1)&amp;". Fuel tank capacity: "&amp;ROUND(B199,1)&amp;" kWh. Fuel mass: "&amp;ROUND(B200,1)&amp;" kg. Documentation: "&amp;Readmefirst!$B$2&amp;", "&amp;Readmefirst!$B$3&amp;". "&amp;B189</f>
        <v>Power: 0 kW. Lifetime: 10000 km. Annual kilometers: 1000 km. Number of passengers: 1. Curb mass: 11.6 kg. Lightweighting of glider: 3%. Emission standard: None. Service visits throughout lifetime: 2.5.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5" spans="1:8" ht="15.6" x14ac:dyDescent="0.3">
      <c r="A205" s="11" t="s">
        <v>80</v>
      </c>
    </row>
    <row r="206" spans="1:8" x14ac:dyDescent="0.3">
      <c r="A206" t="s">
        <v>81</v>
      </c>
      <c r="B206" t="s">
        <v>82</v>
      </c>
      <c r="C206" t="s">
        <v>73</v>
      </c>
      <c r="D206" t="s">
        <v>77</v>
      </c>
      <c r="E206" t="s">
        <v>83</v>
      </c>
      <c r="F206" t="s">
        <v>75</v>
      </c>
      <c r="G206" t="s">
        <v>84</v>
      </c>
      <c r="H206" t="s">
        <v>74</v>
      </c>
    </row>
    <row r="207" spans="1:8" x14ac:dyDescent="0.3">
      <c r="A207" s="12" t="str">
        <f>B180</f>
        <v>transport, Bicycle, conventional, urban, 2030</v>
      </c>
      <c r="B207" s="12">
        <v>1</v>
      </c>
      <c r="C207" s="12" t="str">
        <f>B181</f>
        <v>CH</v>
      </c>
      <c r="D207" s="12" t="s">
        <v>172</v>
      </c>
      <c r="E207" s="12"/>
      <c r="F207" s="12" t="s">
        <v>85</v>
      </c>
      <c r="G207" s="12" t="s">
        <v>86</v>
      </c>
      <c r="H207" s="12" t="str">
        <f>B186</f>
        <v>transport, Bicycle, conventional, urban</v>
      </c>
    </row>
    <row r="208" spans="1:8" x14ac:dyDescent="0.3">
      <c r="A208" s="12" t="str">
        <f>RIGHT(A207,LEN(A207)-11)</f>
        <v>Bicycle, conventional, urban, 2030</v>
      </c>
      <c r="B208" s="12">
        <f>1/B190</f>
        <v>1E-4</v>
      </c>
      <c r="C208" s="12" t="str">
        <f>B181</f>
        <v>CH</v>
      </c>
      <c r="D208" s="12" t="s">
        <v>77</v>
      </c>
      <c r="E208" s="12"/>
      <c r="F208" s="12" t="s">
        <v>91</v>
      </c>
      <c r="G208" s="12"/>
      <c r="H208" s="12" t="str">
        <f>RIGHT(H207,LEN(H207)-11)</f>
        <v>Bicycle, conventional, urban</v>
      </c>
    </row>
    <row r="209" spans="1:8" s="21" customFormat="1" x14ac:dyDescent="0.3">
      <c r="A209" s="12" t="str">
        <f>INDEX('ei names mapping'!$B$4:$R$33,MATCH(B182,'ei names mapping'!$A$4:$A$33,0),MATCH(G209,'ei names mapping'!$B$3:$R$3,0))</f>
        <v>road construction</v>
      </c>
      <c r="B209" s="16">
        <f>INDEX('vehicles specifications'!$B$3:$CK$86,MATCH(B185,'vehicles specifications'!$A$3:$A$86,0),MATCH(G209,'vehicles specifications'!$B$2:$CK$2,0))*INDEX('ei names mapping'!$B$137:$BK$220,MATCH(B185,'ei names mapping'!$A$137:$A$220,0),MATCH(G209,'ei names mapping'!$B$136:$BK$136,0))</f>
        <v>4.4377679999999999E-5</v>
      </c>
      <c r="C209" s="12" t="str">
        <f>INDEX('ei names mapping'!$B$38:$R$67,MATCH(B182,'ei names mapping'!$A$4:$A$33,0),MATCH(G209,'ei names mapping'!$B$3:$R$3,0))</f>
        <v>CH</v>
      </c>
      <c r="D209" s="12" t="str">
        <f>INDEX('ei names mapping'!$B$104:$BK$133,MATCH(B182,'ei names mapping'!$A$4:$A$33,0),MATCH(G209,'ei names mapping'!$B$3:$BK$3,0))</f>
        <v>meter-year</v>
      </c>
      <c r="E209" s="12"/>
      <c r="F209" s="12" t="s">
        <v>91</v>
      </c>
      <c r="G209" s="21" t="s">
        <v>108</v>
      </c>
      <c r="H209" s="12" t="str">
        <f>INDEX('ei names mapping'!$B$71:$BK$100,MATCH(B182,'ei names mapping'!$A$4:$A$33,0),MATCH(G209,'ei names mapping'!$B$3:$BK$3,0))</f>
        <v>road</v>
      </c>
    </row>
    <row r="210" spans="1:8" x14ac:dyDescent="0.3">
      <c r="A210" s="12" t="str">
        <f>INDEX('ei names mapping'!$B$4:$R$33,MATCH($B$3,'ei names mapping'!$A$4:$A$33,0),MATCH(G210,'ei names mapping'!$B$3:$R$3,0))</f>
        <v>maintenance, bicycle</v>
      </c>
      <c r="B210" s="14">
        <f>INDEX('vehicles specifications'!$B$3:$CK$86,MATCH(B185,'vehicles specifications'!$A$3:$A$86,0),MATCH(G210,'vehicles specifications'!$B$2:$CK$2,0))*INDEX('ei names mapping'!$B$137:$BK$220,MATCH(B185,'ei names mapping'!$A$137:$A$220,0),MATCH(G210,'ei names mapping'!$B$136:$BK$136,0))</f>
        <v>2.5000000000000001E-4</v>
      </c>
      <c r="C210" s="12" t="str">
        <f>INDEX('ei names mapping'!$B$38:$R$67,MATCH($B$3,'ei names mapping'!$A$4:$A$33,0),MATCH(G210,'ei names mapping'!$B$3:$R$3,0))</f>
        <v>CH</v>
      </c>
      <c r="D210" s="12" t="str">
        <f>INDEX('ei names mapping'!$B$104:$R$133,MATCH($B$3,'ei names mapping'!$A$4:$A$33,0),MATCH(G210,'ei names mapping'!$B$3:$R$3,0))</f>
        <v>unit</v>
      </c>
      <c r="E210" s="12"/>
      <c r="F210" s="12" t="s">
        <v>91</v>
      </c>
      <c r="G210" t="s">
        <v>123</v>
      </c>
      <c r="H210" s="12" t="str">
        <f>INDEX('ei names mapping'!$B$71:$R$100,MATCH($B$3,'ei names mapping'!$A$4:$A$33,0),MATCH(G210,'ei names mapping'!$B$3:$R$3,0))</f>
        <v>maintenance, bicycle</v>
      </c>
    </row>
    <row r="211" spans="1:8" x14ac:dyDescent="0.3">
      <c r="A211" s="12" t="str">
        <f>INDEX('ei names mapping'!$B$4:$BK$33,MATCH($B$147,'ei names mapping'!$A$4:$A$33,0),MATCH(G211,'ei names mapping'!$B$3:$BK$3,0))</f>
        <v>treatment of road wear emissions, passenger car</v>
      </c>
      <c r="B211" s="15">
        <f>INDEX('vehicles specifications'!$B$3:$CK$86,MATCH(B185,'vehicles specifications'!$A$3:$A$86,0),MATCH(G211,'vehicles specifications'!$B$2:$CK$2,0))*INDEX('ei names mapping'!$B$137:$BK$220,MATCH(B185,'ei names mapping'!$A$137:$A$220,0),MATCH(G211,'ei names mapping'!$B$136:$BK$136,0))</f>
        <v>-3.0000000000000001E-6</v>
      </c>
      <c r="C211" s="12" t="str">
        <f>INDEX('ei names mapping'!$B$38:$BK$67,MATCH($B$147,'ei names mapping'!$A$4:$A$33,0),MATCH(G211,'ei names mapping'!$B$3:$BK$3,0))</f>
        <v>RER</v>
      </c>
      <c r="D211" s="12" t="str">
        <f>INDEX('ei names mapping'!$B$104:$BK$133,MATCH($B$147,'ei names mapping'!$A$4:$A$33,0),MATCH(G211,'ei names mapping'!$B$3:$BK$3,0))</f>
        <v>kilogram</v>
      </c>
      <c r="E211" s="12"/>
      <c r="F211" s="12" t="s">
        <v>91</v>
      </c>
      <c r="G211" t="s">
        <v>29</v>
      </c>
      <c r="H211" s="12" t="str">
        <f>INDEX('ei names mapping'!$B$71:$BK$100,MATCH(B182,'ei names mapping'!$A$4:$A$33,0),MATCH(G211,'ei names mapping'!$B$3:$BK$3,0))</f>
        <v>road wear emissions, passenger car</v>
      </c>
    </row>
    <row r="212" spans="1:8" x14ac:dyDescent="0.3">
      <c r="A212" s="12" t="str">
        <f>INDEX('ei names mapping'!$B$4:$BK$33,MATCH($B$147,'ei names mapping'!$A$4:$A$33,0),MATCH(G212,'ei names mapping'!$B$3:$BK$3,0))</f>
        <v>treatment of tyre wear emissions, passenger car</v>
      </c>
      <c r="B212" s="15">
        <f>INDEX('vehicles specifications'!$B$3:$CK$86,MATCH(B185,'vehicles specifications'!$A$3:$A$86,0),MATCH(G212,'vehicles specifications'!$B$2:$CK$2,0))*INDEX('ei names mapping'!$B$137:$BK$220,MATCH(B185,'ei names mapping'!$A$137:$A$220,0),MATCH(G212,'ei names mapping'!$B$136:$BK$136,0))</f>
        <v>-2.9189999999999999E-6</v>
      </c>
      <c r="C212" s="12" t="str">
        <f>INDEX('ei names mapping'!$B$38:$BK$67,MATCH($B$147,'ei names mapping'!$A$4:$A$33,0),MATCH(G212,'ei names mapping'!$B$3:$BK$3,0))</f>
        <v>RER</v>
      </c>
      <c r="D212" s="12" t="str">
        <f>INDEX('ei names mapping'!$B$104:$BK$133,MATCH($B$147,'ei names mapping'!$A$4:$A$33,0),MATCH(G212,'ei names mapping'!$B$3:$BK$3,0))</f>
        <v>kilogram</v>
      </c>
      <c r="E212" s="12"/>
      <c r="F212" s="12" t="s">
        <v>91</v>
      </c>
      <c r="G212" t="s">
        <v>30</v>
      </c>
      <c r="H212" s="12" t="str">
        <f>INDEX('ei names mapping'!$B$71:$BK$100,MATCH($B$147,'ei names mapping'!$A$4:$A$33,0),MATCH(G212,'ei names mapping'!$B$3:$BK$3,0))</f>
        <v>tyre wear emissions, passenger car</v>
      </c>
    </row>
    <row r="213" spans="1:8" x14ac:dyDescent="0.3">
      <c r="A213" s="12" t="str">
        <f>INDEX('ei names mapping'!$B$4:$BK$33,MATCH($B$147,'ei names mapping'!$A$4:$A$33,0),MATCH(G213,'ei names mapping'!$B$3:$BK$3,0))</f>
        <v>treatment of brake wear emissions, passenger car</v>
      </c>
      <c r="B213" s="15">
        <f>INDEX('vehicles specifications'!$B$3:$CK$86,MATCH(B185,'vehicles specifications'!$A$3:$A$86,0),MATCH(G213,'vehicles specifications'!$B$2:$CK$2,0))*INDEX('ei names mapping'!$B$137:$BK$220,MATCH(B185,'ei names mapping'!$A$137:$A$220,0),MATCH(G213,'ei names mapping'!$B$136:$BK$136,0))</f>
        <v>-1.8370000000000002E-6</v>
      </c>
      <c r="C213" s="12" t="str">
        <f>INDEX('ei names mapping'!$B$38:$BK$67,MATCH($B$147,'ei names mapping'!$A$4:$A$33,0),MATCH(G213,'ei names mapping'!$B$3:$BK$3,0))</f>
        <v>RER</v>
      </c>
      <c r="D213" s="12" t="str">
        <f>INDEX('ei names mapping'!$B$104:$BK$133,MATCH($B$147,'ei names mapping'!$A$4:$A$33,0),MATCH(G213,'ei names mapping'!$B$3:$BK$3,0))</f>
        <v>kilogram</v>
      </c>
      <c r="E213" s="12"/>
      <c r="F213" s="12" t="s">
        <v>91</v>
      </c>
      <c r="G213" t="s">
        <v>31</v>
      </c>
      <c r="H213" s="12" t="str">
        <f>INDEX('ei names mapping'!$B$71:$BK$100,MATCH($B$147,'ei names mapping'!$A$4:$A$33,0),MATCH(G213,'ei names mapping'!$B$3:$BK$3,0))</f>
        <v>brake wear emissions, passenger car</v>
      </c>
    </row>
    <row r="215" spans="1:8" ht="15.6" x14ac:dyDescent="0.3">
      <c r="A215" s="11" t="s">
        <v>72</v>
      </c>
      <c r="B215" s="9" t="str">
        <f>"transport, "&amp;B217&amp;", "&amp;B219</f>
        <v>transport, Bicycle, conventional, urban, 2040</v>
      </c>
    </row>
    <row r="216" spans="1:8" x14ac:dyDescent="0.3">
      <c r="A216" t="s">
        <v>73</v>
      </c>
      <c r="B216" t="s">
        <v>37</v>
      </c>
    </row>
    <row r="217" spans="1:8" x14ac:dyDescent="0.3">
      <c r="A217" t="s">
        <v>87</v>
      </c>
      <c r="B217" t="s">
        <v>33</v>
      </c>
    </row>
    <row r="218" spans="1:8" x14ac:dyDescent="0.3">
      <c r="A218" t="s">
        <v>88</v>
      </c>
      <c r="B218" s="12"/>
    </row>
    <row r="219" spans="1:8" x14ac:dyDescent="0.3">
      <c r="A219" t="s">
        <v>89</v>
      </c>
      <c r="B219" s="12">
        <v>2040</v>
      </c>
    </row>
    <row r="220" spans="1:8" x14ac:dyDescent="0.3">
      <c r="A220" t="s">
        <v>131</v>
      </c>
      <c r="B220" s="12" t="str">
        <f>B217&amp;" - "&amp;B219&amp;" - "&amp;B216</f>
        <v>Bicycle, conventional, urban - 2040 - CH</v>
      </c>
    </row>
    <row r="221" spans="1:8" x14ac:dyDescent="0.3">
      <c r="A221" t="s">
        <v>74</v>
      </c>
      <c r="B221" s="12" t="str">
        <f>"transport, "&amp;B217</f>
        <v>transport, Bicycle, conventional, urban</v>
      </c>
    </row>
    <row r="222" spans="1:8" x14ac:dyDescent="0.3">
      <c r="A222" t="s">
        <v>75</v>
      </c>
      <c r="B222" t="s">
        <v>76</v>
      </c>
    </row>
    <row r="223" spans="1:8" x14ac:dyDescent="0.3">
      <c r="A223" t="s">
        <v>77</v>
      </c>
      <c r="B223" t="s">
        <v>172</v>
      </c>
    </row>
    <row r="224" spans="1:8" x14ac:dyDescent="0.3">
      <c r="A224" t="s">
        <v>79</v>
      </c>
      <c r="B224" t="s">
        <v>90</v>
      </c>
    </row>
    <row r="225" spans="1:2" x14ac:dyDescent="0.3">
      <c r="A225" t="s">
        <v>132</v>
      </c>
      <c r="B225">
        <f>INDEX('vehicles specifications'!$B$3:$CK$86,MATCH(B220,'vehicles specifications'!$A$3:$A$86,0),MATCH("Lifetime [km]",'vehicles specifications'!$B$2:$CK$2,0))</f>
        <v>10000</v>
      </c>
    </row>
    <row r="226" spans="1:2" x14ac:dyDescent="0.3">
      <c r="A226" t="s">
        <v>133</v>
      </c>
      <c r="B226">
        <f>INDEX('vehicles specifications'!$B$3:$CK$86,MATCH(B220,'vehicles specifications'!$A$3:$A$86,0),MATCH("Passengers [unit]",'vehicles specifications'!$B$2:$CK$2,0))</f>
        <v>1</v>
      </c>
    </row>
    <row r="227" spans="1:2" x14ac:dyDescent="0.3">
      <c r="A227" t="s">
        <v>134</v>
      </c>
      <c r="B227">
        <f>INDEX('vehicles specifications'!$B$3:$CK$86,MATCH(B220,'vehicles specifications'!$A$3:$A$86,0),MATCH("Servicing [unit]",'vehicles specifications'!$B$2:$CK$2,0))</f>
        <v>2.5</v>
      </c>
    </row>
    <row r="228" spans="1:2" x14ac:dyDescent="0.3">
      <c r="A228" t="s">
        <v>135</v>
      </c>
      <c r="B228">
        <f>INDEX('vehicles specifications'!$B$3:$CK$86,MATCH(B220,'vehicles specifications'!$A$3:$A$86,0),MATCH("Energy battery replacement [unit]",'vehicles specifications'!$B$2:$CK$2,0))</f>
        <v>0</v>
      </c>
    </row>
    <row r="229" spans="1:2" x14ac:dyDescent="0.3">
      <c r="A229" t="s">
        <v>136</v>
      </c>
      <c r="B229">
        <f>INDEX('vehicles specifications'!$B$3:$CK$86,MATCH(B220,'vehicles specifications'!$A$3:$A$86,0),MATCH("Annual kilometers [km]",'vehicles specifications'!$B$2:$CK$2,0))</f>
        <v>1000</v>
      </c>
    </row>
    <row r="230" spans="1:2" x14ac:dyDescent="0.3">
      <c r="A230" t="s">
        <v>137</v>
      </c>
      <c r="B230">
        <f>INDEX('vehicles specifications'!$B$3:$CK$86,MATCH(B220,'vehicles specifications'!$A$3:$A$86,0),MATCH("Curb mass [kg]",'vehicles specifications'!$B$2:$CK$2,0))</f>
        <v>11.399999999999999</v>
      </c>
    </row>
    <row r="231" spans="1:2" x14ac:dyDescent="0.3">
      <c r="A231" t="s">
        <v>138</v>
      </c>
      <c r="B231">
        <f>INDEX('vehicles specifications'!$B$3:$CK$86,MATCH(B220,'vehicles specifications'!$A$3:$A$86,0),MATCH("Power [kW]",'vehicles specifications'!$B$2:$CK$2,0))</f>
        <v>0</v>
      </c>
    </row>
    <row r="232" spans="1:2" x14ac:dyDescent="0.3">
      <c r="A232" t="s">
        <v>139</v>
      </c>
      <c r="B232">
        <f>INDEX('vehicles specifications'!$B$3:$CK$86,MATCH(B220,'vehicles specifications'!$A$3:$A$86,0),MATCH("Energy battery mass [kg]",'vehicles specifications'!$B$2:$CK$2,0))</f>
        <v>0</v>
      </c>
    </row>
    <row r="233" spans="1:2" x14ac:dyDescent="0.3">
      <c r="A233" t="s">
        <v>140</v>
      </c>
      <c r="B233">
        <f>INDEX('vehicles specifications'!$B$3:$CK$86,MATCH(B220,'vehicles specifications'!$A$3:$A$86,0),MATCH("Electric energy available [kWh]",'vehicles specifications'!$B$2:$CK$2,0))</f>
        <v>0</v>
      </c>
    </row>
    <row r="234" spans="1:2" x14ac:dyDescent="0.3">
      <c r="A234" t="s">
        <v>143</v>
      </c>
      <c r="B234">
        <f>INDEX('vehicles specifications'!$B$3:$CK$86,MATCH(B220,'vehicles specifications'!$A$3:$A$86,0),MATCH("Oxydation energy stored [kWh]",'vehicles specifications'!$B$2:$CK$2,0))</f>
        <v>0</v>
      </c>
    </row>
    <row r="235" spans="1:2" x14ac:dyDescent="0.3">
      <c r="A235" t="s">
        <v>145</v>
      </c>
      <c r="B235">
        <f>INDEX('vehicles specifications'!$B$3:$CK$86,MATCH(B220,'vehicles specifications'!$A$3:$A$86,0),MATCH("Fuel mass [kg]",'vehicles specifications'!$B$2:$CK$2,0))</f>
        <v>0</v>
      </c>
    </row>
    <row r="236" spans="1:2" x14ac:dyDescent="0.3">
      <c r="A236" t="s">
        <v>141</v>
      </c>
      <c r="B236">
        <f>INDEX('vehicles specifications'!$B$3:$CK$86,MATCH(B220,'vehicles specifications'!$A$3:$A$86,0),MATCH("Range [km]",'vehicles specifications'!$B$2:$CK$2,0))</f>
        <v>0</v>
      </c>
    </row>
    <row r="237" spans="1:2" x14ac:dyDescent="0.3">
      <c r="A237" t="s">
        <v>142</v>
      </c>
      <c r="B237" t="str">
        <f>INDEX('vehicles specifications'!$B$3:$CK$86,MATCH(B220,'vehicles specifications'!$A$3:$A$86,0),MATCH("Emission standard",'vehicles specifications'!$B$2:$CK$2,0))</f>
        <v>None</v>
      </c>
    </row>
    <row r="238" spans="1:2" x14ac:dyDescent="0.3">
      <c r="A238" t="s">
        <v>144</v>
      </c>
      <c r="B238" s="6">
        <f>INDEX('vehicles specifications'!$B$3:$CK$86,MATCH(B220,'vehicles specifications'!$A$3:$A$86,0),MATCH("Lightweighting rate [%]",'vehicles specifications'!$B$2:$CK$2,0))</f>
        <v>0.05</v>
      </c>
    </row>
    <row r="239" spans="1:2" x14ac:dyDescent="0.3">
      <c r="A239" t="s">
        <v>84</v>
      </c>
      <c r="B239" s="21" t="str">
        <f>"Power: "&amp;B231&amp;" kW. Lifetime: "&amp;B225&amp;" km. Annual kilometers: "&amp;B229&amp;" km. Number of passengers: "&amp;B226&amp;". Curb mass: "&amp;ROUND(B230,1)&amp;" kg. Lightweighting of glider: "&amp;ROUND(B238*100,0)&amp;"%. Emission standard: "&amp;B237&amp;". Service visits throughout lifetime: "&amp;ROUND(B227,1)&amp;". Range: "&amp;ROUND(B236,0)&amp;" km. Battery capacity: "&amp;ROUND(B233,1)&amp;" kWh. Battery mass: "&amp;ROUND(B232,1)&amp; " kg. Battery replacement throughout lifetime: "&amp;ROUND(B228,1)&amp;". Fuel tank capacity: "&amp;ROUND(B234,1)&amp;" kWh. Fuel mass: "&amp;ROUND(B235,1)&amp;" kg. Documentation: "&amp;Readmefirst!$B$2&amp;", "&amp;Readmefirst!$B$3&amp;". "&amp;B224</f>
        <v>Power: 0 kW. Lifetime: 10000 km. Annual kilometers: 1000 km. Number of passengers: 1. Curb mass: 11.4 kg. Lightweighting of glider: 5%. Emission standard: None. Service visits throughout lifetime: 2.5.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0" spans="1:2" ht="15.6" x14ac:dyDescent="0.3">
      <c r="A240" s="11" t="s">
        <v>80</v>
      </c>
    </row>
    <row r="241" spans="1:8" x14ac:dyDescent="0.3">
      <c r="A241" t="s">
        <v>81</v>
      </c>
      <c r="B241" t="s">
        <v>82</v>
      </c>
      <c r="C241" t="s">
        <v>73</v>
      </c>
      <c r="D241" t="s">
        <v>77</v>
      </c>
      <c r="E241" t="s">
        <v>83</v>
      </c>
      <c r="F241" t="s">
        <v>75</v>
      </c>
      <c r="G241" t="s">
        <v>84</v>
      </c>
      <c r="H241" t="s">
        <v>74</v>
      </c>
    </row>
    <row r="242" spans="1:8" x14ac:dyDescent="0.3">
      <c r="A242" s="12" t="str">
        <f>B215</f>
        <v>transport, Bicycle, conventional, urban, 2040</v>
      </c>
      <c r="B242" s="12">
        <v>1</v>
      </c>
      <c r="C242" s="12" t="str">
        <f>B216</f>
        <v>CH</v>
      </c>
      <c r="D242" s="12" t="s">
        <v>172</v>
      </c>
      <c r="E242" s="12"/>
      <c r="F242" s="12" t="s">
        <v>85</v>
      </c>
      <c r="G242" s="12" t="s">
        <v>86</v>
      </c>
      <c r="H242" s="12" t="str">
        <f>B221</f>
        <v>transport, Bicycle, conventional, urban</v>
      </c>
    </row>
    <row r="243" spans="1:8" x14ac:dyDescent="0.3">
      <c r="A243" s="12" t="str">
        <f>RIGHT(A242,LEN(A242)-11)</f>
        <v>Bicycle, conventional, urban, 2040</v>
      </c>
      <c r="B243" s="12">
        <f>1/B225</f>
        <v>1E-4</v>
      </c>
      <c r="C243" s="12" t="str">
        <f>B216</f>
        <v>CH</v>
      </c>
      <c r="D243" s="12" t="s">
        <v>77</v>
      </c>
      <c r="E243" s="12"/>
      <c r="F243" s="12" t="s">
        <v>91</v>
      </c>
      <c r="G243" s="12"/>
      <c r="H243" s="12" t="str">
        <f>RIGHT(H242,LEN(H242)-11)</f>
        <v>Bicycle, conventional, urban</v>
      </c>
    </row>
    <row r="244" spans="1:8" s="21" customFormat="1" x14ac:dyDescent="0.3">
      <c r="A244" s="12" t="str">
        <f>INDEX('ei names mapping'!$B$4:$R$33,MATCH(B217,'ei names mapping'!$A$4:$A$33,0),MATCH(G244,'ei names mapping'!$B$3:$R$3,0))</f>
        <v>road construction</v>
      </c>
      <c r="B244" s="16">
        <f>INDEX('vehicles specifications'!$B$3:$CK$86,MATCH(B220,'vehicles specifications'!$A$3:$A$86,0),MATCH(G244,'vehicles specifications'!$B$2:$CK$2,0))*INDEX('ei names mapping'!$B$137:$BK$220,MATCH(B220,'ei names mapping'!$A$137:$A$220,0),MATCH(G244,'ei names mapping'!$B$136:$BK$136,0))</f>
        <v>4.4248800000000002E-5</v>
      </c>
      <c r="C244" s="12" t="str">
        <f>INDEX('ei names mapping'!$B$38:$R$67,MATCH(B217,'ei names mapping'!$A$4:$A$33,0),MATCH(G244,'ei names mapping'!$B$3:$R$3,0))</f>
        <v>CH</v>
      </c>
      <c r="D244" s="12" t="str">
        <f>INDEX('ei names mapping'!$B$104:$BK$133,MATCH(B217,'ei names mapping'!$A$4:$A$33,0),MATCH(G244,'ei names mapping'!$B$3:$BK$3,0))</f>
        <v>meter-year</v>
      </c>
      <c r="E244" s="12"/>
      <c r="F244" s="12" t="s">
        <v>91</v>
      </c>
      <c r="G244" s="21" t="s">
        <v>108</v>
      </c>
      <c r="H244" s="12" t="str">
        <f>INDEX('ei names mapping'!$B$71:$BK$100,MATCH(B217,'ei names mapping'!$A$4:$A$33,0),MATCH(G244,'ei names mapping'!$B$3:$BK$3,0))</f>
        <v>road</v>
      </c>
    </row>
    <row r="245" spans="1:8" x14ac:dyDescent="0.3">
      <c r="A245" s="12" t="str">
        <f>INDEX('ei names mapping'!$B$4:$R$33,MATCH($B$3,'ei names mapping'!$A$4:$A$33,0),MATCH(G245,'ei names mapping'!$B$3:$R$3,0))</f>
        <v>maintenance, bicycle</v>
      </c>
      <c r="B245" s="14">
        <f>INDEX('vehicles specifications'!$B$3:$CK$86,MATCH(B220,'vehicles specifications'!$A$3:$A$86,0),MATCH(G245,'vehicles specifications'!$B$2:$CK$2,0))*INDEX('ei names mapping'!$B$137:$BK$220,MATCH(B220,'ei names mapping'!$A$137:$A$220,0),MATCH(G245,'ei names mapping'!$B$136:$BK$136,0))</f>
        <v>2.5000000000000001E-4</v>
      </c>
      <c r="C245" s="12" t="str">
        <f>INDEX('ei names mapping'!$B$38:$R$67,MATCH($B$3,'ei names mapping'!$A$4:$A$33,0),MATCH(G245,'ei names mapping'!$B$3:$R$3,0))</f>
        <v>CH</v>
      </c>
      <c r="D245" s="12" t="str">
        <f>INDEX('ei names mapping'!$B$104:$R$133,MATCH($B$3,'ei names mapping'!$A$4:$A$33,0),MATCH(G245,'ei names mapping'!$B$3:$R$3,0))</f>
        <v>unit</v>
      </c>
      <c r="E245" s="12"/>
      <c r="F245" s="12" t="s">
        <v>91</v>
      </c>
      <c r="G245" t="s">
        <v>123</v>
      </c>
      <c r="H245" s="12" t="str">
        <f>INDEX('ei names mapping'!$B$71:$R$100,MATCH($B$3,'ei names mapping'!$A$4:$A$33,0),MATCH(G245,'ei names mapping'!$B$3:$R$3,0))</f>
        <v>maintenance, bicycle</v>
      </c>
    </row>
    <row r="246" spans="1:8" x14ac:dyDescent="0.3">
      <c r="A246" s="12" t="str">
        <f>INDEX('ei names mapping'!$B$4:$BK$33,MATCH($B$147,'ei names mapping'!$A$4:$A$33,0),MATCH(G246,'ei names mapping'!$B$3:$BK$3,0))</f>
        <v>treatment of road wear emissions, passenger car</v>
      </c>
      <c r="B246" s="15">
        <f>INDEX('vehicles specifications'!$B$3:$CK$86,MATCH(B220,'vehicles specifications'!$A$3:$A$86,0),MATCH(G246,'vehicles specifications'!$B$2:$CK$2,0))*INDEX('ei names mapping'!$B$137:$BK$220,MATCH(B220,'ei names mapping'!$A$137:$A$220,0),MATCH(G246,'ei names mapping'!$B$136:$BK$136,0))</f>
        <v>-3.0000000000000001E-6</v>
      </c>
      <c r="C246" s="12" t="str">
        <f>INDEX('ei names mapping'!$B$38:$BK$67,MATCH($B$147,'ei names mapping'!$A$4:$A$33,0),MATCH(G246,'ei names mapping'!$B$3:$BK$3,0))</f>
        <v>RER</v>
      </c>
      <c r="D246" s="12" t="str">
        <f>INDEX('ei names mapping'!$B$104:$BK$133,MATCH($B$147,'ei names mapping'!$A$4:$A$33,0),MATCH(G246,'ei names mapping'!$B$3:$BK$3,0))</f>
        <v>kilogram</v>
      </c>
      <c r="E246" s="12"/>
      <c r="F246" s="12" t="s">
        <v>91</v>
      </c>
      <c r="G246" t="s">
        <v>29</v>
      </c>
      <c r="H246" s="12" t="str">
        <f>INDEX('ei names mapping'!$B$71:$BK$100,MATCH(B217,'ei names mapping'!$A$4:$A$33,0),MATCH(G246,'ei names mapping'!$B$3:$BK$3,0))</f>
        <v>road wear emissions, passenger car</v>
      </c>
    </row>
    <row r="247" spans="1:8" x14ac:dyDescent="0.3">
      <c r="A247" s="12" t="str">
        <f>INDEX('ei names mapping'!$B$4:$BK$33,MATCH($B$147,'ei names mapping'!$A$4:$A$33,0),MATCH(G247,'ei names mapping'!$B$3:$BK$3,0))</f>
        <v>treatment of tyre wear emissions, passenger car</v>
      </c>
      <c r="B247" s="15">
        <f>INDEX('vehicles specifications'!$B$3:$CK$86,MATCH(B220,'vehicles specifications'!$A$3:$A$86,0),MATCH(G247,'vehicles specifications'!$B$2:$CK$2,0))*INDEX('ei names mapping'!$B$137:$BK$220,MATCH(B220,'ei names mapping'!$A$137:$A$220,0),MATCH(G247,'ei names mapping'!$B$136:$BK$136,0))</f>
        <v>-2.9189999999999999E-6</v>
      </c>
      <c r="C247" s="12" t="str">
        <f>INDEX('ei names mapping'!$B$38:$BK$67,MATCH($B$147,'ei names mapping'!$A$4:$A$33,0),MATCH(G247,'ei names mapping'!$B$3:$BK$3,0))</f>
        <v>RER</v>
      </c>
      <c r="D247" s="12" t="str">
        <f>INDEX('ei names mapping'!$B$104:$BK$133,MATCH($B$147,'ei names mapping'!$A$4:$A$33,0),MATCH(G247,'ei names mapping'!$B$3:$BK$3,0))</f>
        <v>kilogram</v>
      </c>
      <c r="E247" s="12"/>
      <c r="F247" s="12" t="s">
        <v>91</v>
      </c>
      <c r="G247" t="s">
        <v>30</v>
      </c>
      <c r="H247" s="12" t="str">
        <f>INDEX('ei names mapping'!$B$71:$BK$100,MATCH($B$147,'ei names mapping'!$A$4:$A$33,0),MATCH(G247,'ei names mapping'!$B$3:$BK$3,0))</f>
        <v>tyre wear emissions, passenger car</v>
      </c>
    </row>
    <row r="248" spans="1:8" x14ac:dyDescent="0.3">
      <c r="A248" s="12" t="str">
        <f>INDEX('ei names mapping'!$B$4:$BK$33,MATCH($B$147,'ei names mapping'!$A$4:$A$33,0),MATCH(G248,'ei names mapping'!$B$3:$BK$3,0))</f>
        <v>treatment of brake wear emissions, passenger car</v>
      </c>
      <c r="B248" s="15">
        <f>INDEX('vehicles specifications'!$B$3:$CK$86,MATCH(B220,'vehicles specifications'!$A$3:$A$86,0),MATCH(G248,'vehicles specifications'!$B$2:$CK$2,0))*INDEX('ei names mapping'!$B$137:$BK$220,MATCH(B220,'ei names mapping'!$A$137:$A$220,0),MATCH(G248,'ei names mapping'!$B$136:$BK$136,0))</f>
        <v>-1.8370000000000002E-6</v>
      </c>
      <c r="C248" s="12" t="str">
        <f>INDEX('ei names mapping'!$B$38:$BK$67,MATCH($B$147,'ei names mapping'!$A$4:$A$33,0),MATCH(G248,'ei names mapping'!$B$3:$BK$3,0))</f>
        <v>RER</v>
      </c>
      <c r="D248" s="12" t="str">
        <f>INDEX('ei names mapping'!$B$104:$BK$133,MATCH($B$147,'ei names mapping'!$A$4:$A$33,0),MATCH(G248,'ei names mapping'!$B$3:$BK$3,0))</f>
        <v>kilogram</v>
      </c>
      <c r="E248" s="12"/>
      <c r="F248" s="12" t="s">
        <v>91</v>
      </c>
      <c r="G248" t="s">
        <v>31</v>
      </c>
      <c r="H248" s="12" t="str">
        <f>INDEX('ei names mapping'!$B$71:$BK$100,MATCH($B$147,'ei names mapping'!$A$4:$A$33,0),MATCH(G248,'ei names mapping'!$B$3:$BK$3,0))</f>
        <v>brake wear emissions, passenger car</v>
      </c>
    </row>
    <row r="250" spans="1:8" ht="15.6" x14ac:dyDescent="0.3">
      <c r="A250" s="11" t="s">
        <v>72</v>
      </c>
      <c r="B250" s="9" t="str">
        <f>"transport, "&amp;B252&amp;", "&amp;B254</f>
        <v>transport, Bicycle, conventional, urban, 2050</v>
      </c>
    </row>
    <row r="251" spans="1:8" x14ac:dyDescent="0.3">
      <c r="A251" t="s">
        <v>73</v>
      </c>
      <c r="B251" t="s">
        <v>37</v>
      </c>
    </row>
    <row r="252" spans="1:8" x14ac:dyDescent="0.3">
      <c r="A252" t="s">
        <v>87</v>
      </c>
      <c r="B252" t="s">
        <v>33</v>
      </c>
    </row>
    <row r="253" spans="1:8" x14ac:dyDescent="0.3">
      <c r="A253" t="s">
        <v>88</v>
      </c>
      <c r="B253" s="12"/>
    </row>
    <row r="254" spans="1:8" x14ac:dyDescent="0.3">
      <c r="A254" t="s">
        <v>89</v>
      </c>
      <c r="B254" s="12">
        <v>2050</v>
      </c>
    </row>
    <row r="255" spans="1:8" x14ac:dyDescent="0.3">
      <c r="A255" t="s">
        <v>131</v>
      </c>
      <c r="B255" s="12" t="str">
        <f>B252&amp;" - "&amp;B254&amp;" - "&amp;B251</f>
        <v>Bicycle, conventional, urban - 2050 - CH</v>
      </c>
    </row>
    <row r="256" spans="1:8" x14ac:dyDescent="0.3">
      <c r="A256" t="s">
        <v>74</v>
      </c>
      <c r="B256" s="12" t="str">
        <f>"transport, "&amp;B252</f>
        <v>transport, Bicycle, conventional, urban</v>
      </c>
    </row>
    <row r="257" spans="1:2" x14ac:dyDescent="0.3">
      <c r="A257" t="s">
        <v>75</v>
      </c>
      <c r="B257" t="s">
        <v>76</v>
      </c>
    </row>
    <row r="258" spans="1:2" x14ac:dyDescent="0.3">
      <c r="A258" t="s">
        <v>77</v>
      </c>
      <c r="B258" t="s">
        <v>172</v>
      </c>
    </row>
    <row r="259" spans="1:2" x14ac:dyDescent="0.3">
      <c r="A259" t="s">
        <v>79</v>
      </c>
      <c r="B259" t="s">
        <v>90</v>
      </c>
    </row>
    <row r="260" spans="1:2" x14ac:dyDescent="0.3">
      <c r="A260" t="s">
        <v>132</v>
      </c>
      <c r="B260">
        <f>INDEX('vehicles specifications'!$B$3:$CK$86,MATCH(B255,'vehicles specifications'!$A$3:$A$86,0),MATCH("Lifetime [km]",'vehicles specifications'!$B$2:$CK$2,0))</f>
        <v>10000</v>
      </c>
    </row>
    <row r="261" spans="1:2" x14ac:dyDescent="0.3">
      <c r="A261" t="s">
        <v>133</v>
      </c>
      <c r="B261">
        <f>INDEX('vehicles specifications'!$B$3:$CK$86,MATCH(B255,'vehicles specifications'!$A$3:$A$86,0),MATCH("Passengers [unit]",'vehicles specifications'!$B$2:$CK$2,0))</f>
        <v>1</v>
      </c>
    </row>
    <row r="262" spans="1:2" x14ac:dyDescent="0.3">
      <c r="A262" t="s">
        <v>134</v>
      </c>
      <c r="B262">
        <f>INDEX('vehicles specifications'!$B$3:$CK$86,MATCH(B255,'vehicles specifications'!$A$3:$A$86,0),MATCH("Servicing [unit]",'vehicles specifications'!$B$2:$CK$2,0))</f>
        <v>2.5</v>
      </c>
    </row>
    <row r="263" spans="1:2" x14ac:dyDescent="0.3">
      <c r="A263" t="s">
        <v>135</v>
      </c>
      <c r="B263">
        <f>INDEX('vehicles specifications'!$B$3:$CK$86,MATCH(B255,'vehicles specifications'!$A$3:$A$86,0),MATCH("Energy battery replacement [unit]",'vehicles specifications'!$B$2:$CK$2,0))</f>
        <v>0</v>
      </c>
    </row>
    <row r="264" spans="1:2" x14ac:dyDescent="0.3">
      <c r="A264" t="s">
        <v>136</v>
      </c>
      <c r="B264">
        <f>INDEX('vehicles specifications'!$B$3:$CK$86,MATCH(B255,'vehicles specifications'!$A$3:$A$86,0),MATCH("Annual kilometers [km]",'vehicles specifications'!$B$2:$CK$2,0))</f>
        <v>1000</v>
      </c>
    </row>
    <row r="265" spans="1:2" x14ac:dyDescent="0.3">
      <c r="A265" t="s">
        <v>137</v>
      </c>
      <c r="B265">
        <f>INDEX('vehicles specifications'!$B$3:$CK$86,MATCH(B255,'vehicles specifications'!$A$3:$A$86,0),MATCH("Curb mass [kg]",'vehicles specifications'!$B$2:$CK$2,0))</f>
        <v>11.16</v>
      </c>
    </row>
    <row r="266" spans="1:2" x14ac:dyDescent="0.3">
      <c r="A266" t="s">
        <v>138</v>
      </c>
      <c r="B266">
        <f>INDEX('vehicles specifications'!$B$3:$CK$86,MATCH(B255,'vehicles specifications'!$A$3:$A$86,0),MATCH("Power [kW]",'vehicles specifications'!$B$2:$CK$2,0))</f>
        <v>0</v>
      </c>
    </row>
    <row r="267" spans="1:2" x14ac:dyDescent="0.3">
      <c r="A267" t="s">
        <v>139</v>
      </c>
      <c r="B267">
        <f>INDEX('vehicles specifications'!$B$3:$CK$86,MATCH(B255,'vehicles specifications'!$A$3:$A$86,0),MATCH("Energy battery mass [kg]",'vehicles specifications'!$B$2:$CK$2,0))</f>
        <v>0</v>
      </c>
    </row>
    <row r="268" spans="1:2" x14ac:dyDescent="0.3">
      <c r="A268" t="s">
        <v>140</v>
      </c>
      <c r="B268">
        <f>INDEX('vehicles specifications'!$B$3:$CK$86,MATCH(B255,'vehicles specifications'!$A$3:$A$86,0),MATCH("Electric energy available [kWh]",'vehicles specifications'!$B$2:$CK$2,0))</f>
        <v>0</v>
      </c>
    </row>
    <row r="269" spans="1:2" x14ac:dyDescent="0.3">
      <c r="A269" t="s">
        <v>143</v>
      </c>
      <c r="B269">
        <f>INDEX('vehicles specifications'!$B$3:$CK$86,MATCH(B255,'vehicles specifications'!$A$3:$A$86,0),MATCH("Oxydation energy stored [kWh]",'vehicles specifications'!$B$2:$CK$2,0))</f>
        <v>0</v>
      </c>
    </row>
    <row r="270" spans="1:2" x14ac:dyDescent="0.3">
      <c r="A270" t="s">
        <v>145</v>
      </c>
      <c r="B270">
        <f>INDEX('vehicles specifications'!$B$3:$CK$86,MATCH(B255,'vehicles specifications'!$A$3:$A$86,0),MATCH("Fuel mass [kg]",'vehicles specifications'!$B$2:$CK$2,0))</f>
        <v>0</v>
      </c>
    </row>
    <row r="271" spans="1:2" x14ac:dyDescent="0.3">
      <c r="A271" t="s">
        <v>141</v>
      </c>
      <c r="B271">
        <f>INDEX('vehicles specifications'!$B$3:$CK$86,MATCH(B255,'vehicles specifications'!$A$3:$A$86,0),MATCH("Range [km]",'vehicles specifications'!$B$2:$CK$2,0))</f>
        <v>0</v>
      </c>
    </row>
    <row r="272" spans="1:2" x14ac:dyDescent="0.3">
      <c r="A272" t="s">
        <v>142</v>
      </c>
      <c r="B272" t="str">
        <f>INDEX('vehicles specifications'!$B$3:$CK$86,MATCH(B255,'vehicles specifications'!$A$3:$A$86,0),MATCH("Emission standard",'vehicles specifications'!$B$2:$CK$2,0))</f>
        <v>None</v>
      </c>
    </row>
    <row r="273" spans="1:8" x14ac:dyDescent="0.3">
      <c r="A273" t="s">
        <v>144</v>
      </c>
      <c r="B273" s="6">
        <f>INDEX('vehicles specifications'!$B$3:$CK$86,MATCH(B255,'vehicles specifications'!$A$3:$A$86,0),MATCH("Lightweighting rate [%]",'vehicles specifications'!$B$2:$CK$2,0))</f>
        <v>7.0000000000000007E-2</v>
      </c>
    </row>
    <row r="274" spans="1:8" x14ac:dyDescent="0.3">
      <c r="A274" t="s">
        <v>84</v>
      </c>
      <c r="B274" s="21" t="str">
        <f>"Power: "&amp;B266&amp;" kW. Lifetime: "&amp;B260&amp;" km. Annual kilometers: "&amp;B264&amp;" km. Number of passengers: "&amp;B261&amp;". Curb mass: "&amp;ROUND(B265,1)&amp;" kg. Lightweighting of glider: "&amp;ROUND(B273*100,0)&amp;"%. Emission standard: "&amp;B272&amp;". Service visits throughout lifetime: "&amp;ROUND(B262,1)&amp;". Range: "&amp;ROUND(B271,0)&amp;" km. Battery capacity: "&amp;ROUND(B268,1)&amp;" kWh. Battery mass: "&amp;ROUND(B267,1)&amp; " kg. Battery replacement throughout lifetime: "&amp;ROUND(B263,1)&amp;". Fuel tank capacity: "&amp;ROUND(B269,1)&amp;" kWh. Fuel mass: "&amp;ROUND(B270,1)&amp;" kg. Documentation: "&amp;Readmefirst!$B$2&amp;", "&amp;Readmefirst!$B$3&amp;". "&amp;B259</f>
        <v>Power: 0 kW. Lifetime: 10000 km. Annual kilometers: 1000 km. Number of passengers: 1. Curb mass: 11.2 kg. Lightweighting of glider: 7%. Emission standard: None. Service visits throughout lifetime: 2.5.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75" spans="1:8" ht="15.6" x14ac:dyDescent="0.3">
      <c r="A275" s="11" t="s">
        <v>80</v>
      </c>
    </row>
    <row r="276" spans="1:8" x14ac:dyDescent="0.3">
      <c r="A276" t="s">
        <v>81</v>
      </c>
      <c r="B276" t="s">
        <v>82</v>
      </c>
      <c r="C276" t="s">
        <v>73</v>
      </c>
      <c r="D276" t="s">
        <v>77</v>
      </c>
      <c r="E276" t="s">
        <v>83</v>
      </c>
      <c r="F276" t="s">
        <v>75</v>
      </c>
      <c r="G276" t="s">
        <v>84</v>
      </c>
      <c r="H276" t="s">
        <v>74</v>
      </c>
    </row>
    <row r="277" spans="1:8" x14ac:dyDescent="0.3">
      <c r="A277" s="12" t="str">
        <f>B250</f>
        <v>transport, Bicycle, conventional, urban, 2050</v>
      </c>
      <c r="B277" s="12">
        <v>1</v>
      </c>
      <c r="C277" s="12" t="str">
        <f>B251</f>
        <v>CH</v>
      </c>
      <c r="D277" s="12" t="s">
        <v>172</v>
      </c>
      <c r="E277" s="12"/>
      <c r="F277" s="12" t="s">
        <v>85</v>
      </c>
      <c r="G277" s="12" t="s">
        <v>86</v>
      </c>
      <c r="H277" s="12" t="str">
        <f>B256</f>
        <v>transport, Bicycle, conventional, urban</v>
      </c>
    </row>
    <row r="278" spans="1:8" x14ac:dyDescent="0.3">
      <c r="A278" s="12" t="str">
        <f>RIGHT(A277,LEN(A277)-11)</f>
        <v>Bicycle, conventional, urban, 2050</v>
      </c>
      <c r="B278" s="12">
        <f>1/B260</f>
        <v>1E-4</v>
      </c>
      <c r="C278" s="12" t="str">
        <f>B251</f>
        <v>CH</v>
      </c>
      <c r="D278" s="12" t="s">
        <v>77</v>
      </c>
      <c r="E278" s="12"/>
      <c r="F278" s="12" t="s">
        <v>91</v>
      </c>
      <c r="G278" s="12"/>
      <c r="H278" s="12" t="str">
        <f>RIGHT(H277,LEN(H277)-11)</f>
        <v>Bicycle, conventional, urban</v>
      </c>
    </row>
    <row r="279" spans="1:8" s="21" customFormat="1" x14ac:dyDescent="0.3">
      <c r="A279" s="12" t="str">
        <f>INDEX('ei names mapping'!$B$4:$R$33,MATCH(B252,'ei names mapping'!$A$4:$A$33,0),MATCH(G279,'ei names mapping'!$B$3:$R$3,0))</f>
        <v>road construction</v>
      </c>
      <c r="B279" s="16">
        <f>INDEX('vehicles specifications'!$B$3:$CK$86,MATCH(B255,'vehicles specifications'!$A$3:$A$86,0),MATCH(G279,'vehicles specifications'!$B$2:$CK$2,0))*INDEX('ei names mapping'!$B$137:$BK$220,MATCH(B255,'ei names mapping'!$A$137:$A$220,0),MATCH(G279,'ei names mapping'!$B$136:$BK$136,0))</f>
        <v>4.4119919999999999E-5</v>
      </c>
      <c r="C279" s="12" t="str">
        <f>INDEX('ei names mapping'!$B$38:$R$67,MATCH(B252,'ei names mapping'!$A$4:$A$33,0),MATCH(G279,'ei names mapping'!$B$3:$R$3,0))</f>
        <v>CH</v>
      </c>
      <c r="D279" s="12" t="str">
        <f>INDEX('ei names mapping'!$B$104:$BK$133,MATCH(B252,'ei names mapping'!$A$4:$A$33,0),MATCH(G279,'ei names mapping'!$B$3:$BK$3,0))</f>
        <v>meter-year</v>
      </c>
      <c r="E279" s="12"/>
      <c r="F279" s="12" t="s">
        <v>91</v>
      </c>
      <c r="G279" s="21" t="s">
        <v>108</v>
      </c>
      <c r="H279" s="12" t="str">
        <f>INDEX('ei names mapping'!$B$71:$BK$100,MATCH(B252,'ei names mapping'!$A$4:$A$33,0),MATCH(G279,'ei names mapping'!$B$3:$BK$3,0))</f>
        <v>road</v>
      </c>
    </row>
    <row r="280" spans="1:8" x14ac:dyDescent="0.3">
      <c r="A280" s="12" t="str">
        <f>INDEX('ei names mapping'!$B$4:$R$33,MATCH($B$3,'ei names mapping'!$A$4:$A$33,0),MATCH(G280,'ei names mapping'!$B$3:$R$3,0))</f>
        <v>maintenance, bicycle</v>
      </c>
      <c r="B280" s="14">
        <f>INDEX('vehicles specifications'!$B$3:$CK$86,MATCH(B255,'vehicles specifications'!$A$3:$A$86,0),MATCH(G280,'vehicles specifications'!$B$2:$CK$2,0))*INDEX('ei names mapping'!$B$137:$BK$220,MATCH(B255,'ei names mapping'!$A$137:$A$220,0),MATCH(G280,'ei names mapping'!$B$136:$BK$136,0))</f>
        <v>2.5000000000000001E-4</v>
      </c>
      <c r="C280" s="12" t="str">
        <f>INDEX('ei names mapping'!$B$38:$R$67,MATCH($B$3,'ei names mapping'!$A$4:$A$33,0),MATCH(G280,'ei names mapping'!$B$3:$R$3,0))</f>
        <v>CH</v>
      </c>
      <c r="D280" s="12" t="str">
        <f>INDEX('ei names mapping'!$B$104:$R$133,MATCH($B$3,'ei names mapping'!$A$4:$A$33,0),MATCH(G280,'ei names mapping'!$B$3:$R$3,0))</f>
        <v>unit</v>
      </c>
      <c r="E280" s="12"/>
      <c r="F280" s="12" t="s">
        <v>91</v>
      </c>
      <c r="G280" t="s">
        <v>123</v>
      </c>
      <c r="H280" s="12" t="str">
        <f>INDEX('ei names mapping'!$B$71:$R$100,MATCH($B$3,'ei names mapping'!$A$4:$A$33,0),MATCH(G280,'ei names mapping'!$B$3:$R$3,0))</f>
        <v>maintenance, bicycle</v>
      </c>
    </row>
    <row r="281" spans="1:8" x14ac:dyDescent="0.3">
      <c r="A281" s="12" t="str">
        <f>INDEX('ei names mapping'!$B$4:$BK$33,MATCH($B$147,'ei names mapping'!$A$4:$A$33,0),MATCH(G281,'ei names mapping'!$B$3:$BK$3,0))</f>
        <v>treatment of road wear emissions, passenger car</v>
      </c>
      <c r="B281" s="15">
        <f>INDEX('vehicles specifications'!$B$3:$CK$86,MATCH(B255,'vehicles specifications'!$A$3:$A$86,0),MATCH(G281,'vehicles specifications'!$B$2:$CK$2,0))*INDEX('ei names mapping'!$B$137:$BK$220,MATCH(B255,'ei names mapping'!$A$137:$A$220,0),MATCH(G281,'ei names mapping'!$B$136:$BK$136,0))</f>
        <v>-3.0000000000000001E-6</v>
      </c>
      <c r="C281" s="12" t="str">
        <f>INDEX('ei names mapping'!$B$38:$BK$67,MATCH($B$147,'ei names mapping'!$A$4:$A$33,0),MATCH(G281,'ei names mapping'!$B$3:$BK$3,0))</f>
        <v>RER</v>
      </c>
      <c r="D281" s="12" t="str">
        <f>INDEX('ei names mapping'!$B$104:$BK$133,MATCH($B$147,'ei names mapping'!$A$4:$A$33,0),MATCH(G281,'ei names mapping'!$B$3:$BK$3,0))</f>
        <v>kilogram</v>
      </c>
      <c r="E281" s="12"/>
      <c r="F281" s="12" t="s">
        <v>91</v>
      </c>
      <c r="G281" t="s">
        <v>29</v>
      </c>
      <c r="H281" s="12" t="str">
        <f>INDEX('ei names mapping'!$B$71:$BK$100,MATCH(B252,'ei names mapping'!$A$4:$A$33,0),MATCH(G281,'ei names mapping'!$B$3:$BK$3,0))</f>
        <v>road wear emissions, passenger car</v>
      </c>
    </row>
    <row r="282" spans="1:8" x14ac:dyDescent="0.3">
      <c r="A282" s="12" t="str">
        <f>INDEX('ei names mapping'!$B$4:$BK$33,MATCH($B$147,'ei names mapping'!$A$4:$A$33,0),MATCH(G282,'ei names mapping'!$B$3:$BK$3,0))</f>
        <v>treatment of tyre wear emissions, passenger car</v>
      </c>
      <c r="B282" s="15">
        <f>INDEX('vehicles specifications'!$B$3:$CK$86,MATCH(B255,'vehicles specifications'!$A$3:$A$86,0),MATCH(G282,'vehicles specifications'!$B$2:$CK$2,0))*INDEX('ei names mapping'!$B$137:$BK$220,MATCH(B255,'ei names mapping'!$A$137:$A$220,0),MATCH(G282,'ei names mapping'!$B$136:$BK$136,0))</f>
        <v>-2.9189999999999999E-6</v>
      </c>
      <c r="C282" s="12" t="str">
        <f>INDEX('ei names mapping'!$B$38:$BK$67,MATCH($B$147,'ei names mapping'!$A$4:$A$33,0),MATCH(G282,'ei names mapping'!$B$3:$BK$3,0))</f>
        <v>RER</v>
      </c>
      <c r="D282" s="12" t="str">
        <f>INDEX('ei names mapping'!$B$104:$BK$133,MATCH($B$147,'ei names mapping'!$A$4:$A$33,0),MATCH(G282,'ei names mapping'!$B$3:$BK$3,0))</f>
        <v>kilogram</v>
      </c>
      <c r="E282" s="12"/>
      <c r="F282" s="12" t="s">
        <v>91</v>
      </c>
      <c r="G282" t="s">
        <v>30</v>
      </c>
      <c r="H282" s="12" t="str">
        <f>INDEX('ei names mapping'!$B$71:$BK$100,MATCH($B$147,'ei names mapping'!$A$4:$A$33,0),MATCH(G282,'ei names mapping'!$B$3:$BK$3,0))</f>
        <v>tyre wear emissions, passenger car</v>
      </c>
    </row>
    <row r="283" spans="1:8" x14ac:dyDescent="0.3">
      <c r="A283" s="12" t="str">
        <f>INDEX('ei names mapping'!$B$4:$BK$33,MATCH($B$147,'ei names mapping'!$A$4:$A$33,0),MATCH(G283,'ei names mapping'!$B$3:$BK$3,0))</f>
        <v>treatment of brake wear emissions, passenger car</v>
      </c>
      <c r="B283" s="15">
        <f>INDEX('vehicles specifications'!$B$3:$CK$86,MATCH(B255,'vehicles specifications'!$A$3:$A$86,0),MATCH(G283,'vehicles specifications'!$B$2:$CK$2,0))*INDEX('ei names mapping'!$B$137:$BK$220,MATCH(B255,'ei names mapping'!$A$137:$A$220,0),MATCH(G283,'ei names mapping'!$B$136:$BK$136,0))</f>
        <v>-1.8370000000000002E-6</v>
      </c>
      <c r="C283" s="12" t="str">
        <f>INDEX('ei names mapping'!$B$38:$BK$67,MATCH($B$147,'ei names mapping'!$A$4:$A$33,0),MATCH(G283,'ei names mapping'!$B$3:$BK$3,0))</f>
        <v>RER</v>
      </c>
      <c r="D283" s="12" t="str">
        <f>INDEX('ei names mapping'!$B$104:$BK$133,MATCH($B$147,'ei names mapping'!$A$4:$A$33,0),MATCH(G283,'ei names mapping'!$B$3:$BK$3,0))</f>
        <v>kilogram</v>
      </c>
      <c r="E283" s="12"/>
      <c r="F283" s="12" t="s">
        <v>91</v>
      </c>
      <c r="G283" t="s">
        <v>31</v>
      </c>
      <c r="H283" s="12" t="str">
        <f>INDEX('ei names mapping'!$B$71:$BK$100,MATCH($B$147,'ei names mapping'!$A$4:$A$33,0),MATCH(G283,'ei names mapping'!$B$3:$BK$3,0))</f>
        <v>brake wear emissions, passenger car</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2"/>
  <sheetViews>
    <sheetView topLeftCell="A451" workbookViewId="0">
      <selection activeCell="D477" sqref="D477"/>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Bicycle, electric (&lt;25 km/h), 2020</v>
      </c>
    </row>
    <row r="2" spans="1:2" x14ac:dyDescent="0.3">
      <c r="A2" t="s">
        <v>73</v>
      </c>
      <c r="B2" t="s">
        <v>37</v>
      </c>
    </row>
    <row r="3" spans="1:2" x14ac:dyDescent="0.3">
      <c r="A3" t="s">
        <v>87</v>
      </c>
      <c r="B3" t="s">
        <v>517</v>
      </c>
    </row>
    <row r="4" spans="1:2" x14ac:dyDescent="0.3">
      <c r="A4" t="s">
        <v>88</v>
      </c>
      <c r="B4" s="12"/>
    </row>
    <row r="5" spans="1:2" x14ac:dyDescent="0.3">
      <c r="A5" t="s">
        <v>89</v>
      </c>
      <c r="B5" s="12">
        <v>2020</v>
      </c>
    </row>
    <row r="6" spans="1:2" x14ac:dyDescent="0.3">
      <c r="A6" t="s">
        <v>131</v>
      </c>
      <c r="B6" s="12" t="str">
        <f>B3&amp;" - "&amp;B5&amp;" - "&amp;B2</f>
        <v>Bicycle, electric (&lt;25 km/h) - 2020 - CH</v>
      </c>
    </row>
    <row r="7" spans="1:2" x14ac:dyDescent="0.3">
      <c r="A7" t="s">
        <v>74</v>
      </c>
      <c r="B7" t="str">
        <f>B3</f>
        <v>Bicycle, electric (&lt;25 km/h)</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20000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5</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2060</v>
      </c>
    </row>
    <row r="16" spans="1:2" x14ac:dyDescent="0.3">
      <c r="A16" t="s">
        <v>137</v>
      </c>
      <c r="B16">
        <f>INDEX('vehicles specifications'!$B$3:$CK$86,MATCH(B6,'vehicles specifications'!$A$3:$A$86,0),MATCH("Curb mass [kg]",'vehicles specifications'!$B$2:$CK$2,0))</f>
        <v>23.25</v>
      </c>
    </row>
    <row r="17" spans="1:8" x14ac:dyDescent="0.3">
      <c r="A17" t="s">
        <v>138</v>
      </c>
      <c r="B17">
        <f>INDEX('vehicles specifications'!$B$3:$CK$86,MATCH(B6,'vehicles specifications'!$A$3:$A$86,0),MATCH("Power [kW]",'vehicles specifications'!$B$2:$CK$2,0))</f>
        <v>0.3</v>
      </c>
    </row>
    <row r="18" spans="1:8" x14ac:dyDescent="0.3">
      <c r="A18" t="s">
        <v>139</v>
      </c>
      <c r="B18">
        <f>INDEX('vehicles specifications'!$B$3:$CK$86,MATCH(B6,'vehicles specifications'!$A$3:$A$86,0),MATCH("Energy battery mass [kg]",'vehicles specifications'!$B$2:$CK$2,0))</f>
        <v>3.25</v>
      </c>
    </row>
    <row r="19" spans="1:8" x14ac:dyDescent="0.3">
      <c r="A19" t="s">
        <v>140</v>
      </c>
      <c r="B19">
        <f>INDEX('vehicles specifications'!$B$3:$CK$86,MATCH(B6,'vehicles specifications'!$A$3:$A$86,0),MATCH("Electric energy stored [kWh]",'vehicles specifications'!$B$2:$CK$2,0))</f>
        <v>0.5</v>
      </c>
    </row>
    <row r="20" spans="1:8" s="21" customFormat="1" x14ac:dyDescent="0.3">
      <c r="A20" s="21" t="s">
        <v>654</v>
      </c>
      <c r="B20" s="21">
        <f>INDEX('vehicles specifications'!$B$3:$CK$86,MATCH(B6,'vehicles specifications'!$A$3:$A$86,0),MATCH("Electric energy available [kWh]",'vehicles specifications'!$B$2:$CK$2,0))</f>
        <v>0.4</v>
      </c>
    </row>
    <row r="21" spans="1:8" x14ac:dyDescent="0.3">
      <c r="A21" t="s">
        <v>143</v>
      </c>
      <c r="B21">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58.368978251949123</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0.3 kW. Lifetime: 20000 km. Annual kilometers: 2060 km. Number of passengers: 1. Curb mass: 23.3 kg. Lightweighting of glider: 0%. Emission standard: None. Service visits throughout lifetime: 5. Range: 58 km. Battery capacity: 0.5 kWh. Available battery capacity: 0.4 kWh. Battery mass: 3.3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Bicycle, electric (&lt;25 km/h), 2020</v>
      </c>
      <c r="B32" s="12">
        <v>1</v>
      </c>
      <c r="C32" s="12" t="str">
        <f>B2</f>
        <v>CH</v>
      </c>
      <c r="D32" s="12" t="str">
        <f>B9</f>
        <v>unit</v>
      </c>
      <c r="E32" s="12"/>
      <c r="F32" s="12" t="s">
        <v>85</v>
      </c>
      <c r="G32" s="12" t="s">
        <v>86</v>
      </c>
      <c r="H32" s="12" t="str">
        <f>B3</f>
        <v>Bicycle, electric (&lt;25 km/h)</v>
      </c>
    </row>
    <row r="33" spans="1:8" x14ac:dyDescent="0.3">
      <c r="A33" s="12" t="str">
        <f>INDEX('ei names mapping'!$B$4:$R$33,MATCH($B$3,'ei names mapping'!$A$4:$A$33,0),MATCH(G33,'ei names mapping'!$B$3:$R$3,0))</f>
        <v>electric bicycle production, without battery and motor</v>
      </c>
      <c r="B33" s="14">
        <f>INDEX('vehicles specifications'!$B$3:$CK$86,MATCH(B6,'vehicles specifications'!$A$3:$A$86,0),MATCH(G33,'vehicles specifications'!$B$2:$CK$2,0))*INDEX('ei names mapping'!$B$137:$BK$220,MATCH(B6,'ei names mapping'!$A$137:$A$220,0),MATCH(G33,'ei names mapping'!$B$136:$BK$136,0))</f>
        <v>0.94117647058823528</v>
      </c>
      <c r="C33" s="12" t="str">
        <f>INDEX('ei names mapping'!$B$38:$R$67,MATCH($B$3,'ei names mapping'!$A$4:$A$33,0),MATCH(G33,'ei names mapping'!$B$3:$R$3,0))</f>
        <v>RER</v>
      </c>
      <c r="D33" s="12" t="str">
        <f>INDEX('ei names mapping'!$B$104:$R$133,MATCH(B3,'ei names mapping'!$A$104:$A$133,0),MATCH(G33,'ei names mapping'!$B$3:$R$3,0))</f>
        <v>unit</v>
      </c>
      <c r="E33" s="12"/>
      <c r="F33" s="12" t="s">
        <v>91</v>
      </c>
      <c r="G33" s="21" t="s">
        <v>15</v>
      </c>
      <c r="H33" s="12" t="str">
        <f>INDEX('ei names mapping'!$B$71:$R$100,MATCH($B$3,'ei names mapping'!$A$4:$A$33,0),MATCH(G33,'ei names mapping'!$B$3:$R$3,0))</f>
        <v>electric bicycle, without battery and motor</v>
      </c>
    </row>
    <row r="34" spans="1:8" x14ac:dyDescent="0.3">
      <c r="A34" s="12" t="str">
        <f>INDEX('ei names mapping'!$B$4:$R$33,MATCH($B$3,'ei names mapping'!$A$4:$A$33,0),MATCH(G34,'ei names mapping'!$B$3:$R$3,0))</f>
        <v>market for electric motor, vehicle</v>
      </c>
      <c r="B34" s="14">
        <f>INDEX('vehicles specifications'!$B$3:$CK$86,MATCH(B6,'vehicles specifications'!$A$3:$A$86,0),MATCH(G34,'vehicles specifications'!$B$2:$CK$2,0))*INDEX('ei names mapping'!$B$137:$BK$220,MATCH(B6,'ei names mapping'!$A$137:$A$220,0),MATCH(G34,'ei names mapping'!$B$136:$BK$136,0))</f>
        <v>4</v>
      </c>
      <c r="C34" s="12" t="str">
        <f>INDEX('ei names mapping'!$B$38:$R$67,MATCH($B$3,'ei names mapping'!$A$4:$A$33,0),MATCH(G34,'ei names mapping'!$B$3:$R$3,0))</f>
        <v>GLO</v>
      </c>
      <c r="D34" s="12" t="str">
        <f>INDEX('ei names mapping'!$B$104:$R$133,MATCH(B3,'ei names mapping'!$A$104:$A$133,0),MATCH(G34,'ei names mapping'!$B$3:$R$3,0))</f>
        <v>kilogram</v>
      </c>
      <c r="E34" s="12"/>
      <c r="F34" s="12" t="s">
        <v>91</v>
      </c>
      <c r="G34" t="s">
        <v>557</v>
      </c>
      <c r="H34" s="12" t="str">
        <f>INDEX('ei names mapping'!$B$71:$R$100,MATCH($B$3,'ei names mapping'!$A$4:$A$33,0),MATCH(G34,'ei names mapping'!$B$3:$R$3,0))</f>
        <v>electric motor, vehicle</v>
      </c>
    </row>
    <row r="35" spans="1:8" s="21" customFormat="1" x14ac:dyDescent="0.3">
      <c r="A35" s="12" t="str">
        <f>INDEX('ei names mapping'!$B$4:$R$33,MATCH(B3,'ei names mapping'!$A$4:$A$33,0),MATCH(G35,'ei names mapping'!$B$3:$R$3,0))</f>
        <v>glider lightweighting</v>
      </c>
      <c r="B35" s="16">
        <f>INDEX('vehicles specifications'!$B$3:$CK$86,MATCH(B6,'vehicles specifications'!$A$3:$A$86,0),MATCH(G35,'vehicles specifications'!$B$2:$CK$2,0))*INDEX('ei names mapping'!$B$137:$BK$220,MATCH(B6,'ei names mapping'!$A$137:$A$220,0),MATCH(G35,'ei names mapping'!$B$136:$BK$136,0))</f>
        <v>0</v>
      </c>
      <c r="C35" s="12" t="str">
        <f>INDEX('ei names mapping'!$B$38:$R$67,MATCH(B3,'ei names mapping'!$A$4:$A$33,0),MATCH(G35,'ei names mapping'!$B$3:$R$3,0))</f>
        <v>GLO</v>
      </c>
      <c r="D35" s="12" t="str">
        <f>INDEX('ei names mapping'!$B$104:$R$133,MATCH(B3,'ei names mapping'!$A$104:$A$133,0),MATCH(G35,'ei names mapping'!$B$3:$R$3,0))</f>
        <v>kilogram</v>
      </c>
      <c r="E35" s="12"/>
      <c r="F35" s="12" t="s">
        <v>91</v>
      </c>
      <c r="G35" s="21" t="s">
        <v>14</v>
      </c>
      <c r="H35" s="12" t="str">
        <f>INDEX('ei names mapping'!$B$71:$R$100,MATCH(B3,'ei names mapping'!$A$4:$A$33,0),MATCH(G35,'ei names mapping'!$B$3:$R$3,0))</f>
        <v>glider lightweighting</v>
      </c>
    </row>
    <row r="36" spans="1:8" x14ac:dyDescent="0.3">
      <c r="A36" s="12" t="str">
        <f>INDEX('ei names mapping'!$B$4:$R$33,MATCH($B$3,'ei names mapping'!$A$4:$A$33,0),MATCH(G36,'ei names mapping'!$B$3:$R$3,0))</f>
        <v>Battery cell, NMC</v>
      </c>
      <c r="B36" s="14">
        <f>INDEX('vehicles specifications'!$B$3:$CK$86,MATCH(B6,'vehicles specifications'!$A$3:$A$86,0),MATCH(G36,'vehicles specifications'!$B$2:$CK$2,0))*INDEX('ei names mapping'!$B$137:$BK$220,MATCH(B6,'ei names mapping'!$A$137:$A$220,0),MATCH(G36,'ei names mapping'!$B$136:$BK$136,0))</f>
        <v>5</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19</v>
      </c>
      <c r="H36" s="12" t="str">
        <f>INDEX('ei names mapping'!$B$71:$R$100,MATCH($B$3,'ei names mapping'!$A$4:$A$33,0),MATCH(G36,'ei names mapping'!$B$3:$R$3,0))</f>
        <v>Battery cell</v>
      </c>
    </row>
    <row r="37" spans="1:8" x14ac:dyDescent="0.3">
      <c r="A37" s="12" t="str">
        <f>INDEX('ei names mapping'!$B$4:$R$33,MATCH($B$3,'ei names mapping'!$A$4:$A$33,0),MATCH(G37,'ei names mapping'!$B$3:$R$3,0))</f>
        <v>Battery BoP</v>
      </c>
      <c r="B37" s="14">
        <f>INDEX('vehicles specifications'!$B$3:$CK$86,MATCH(B6,'vehicles specifications'!$A$3:$A$86,0),MATCH(G37,'vehicles specifications'!$B$2:$CK$2,0))*INDEX('ei names mapping'!$B$137:$BK$220,MATCH(B6,'ei names mapping'!$A$137:$A$220,0),MATCH(G37,'ei names mapping'!$B$136:$BK$136,0))</f>
        <v>1.5</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20</v>
      </c>
      <c r="H37" s="12" t="str">
        <f>INDEX('ei names mapping'!$B$71:$R$100,MATCH($B$3,'ei names mapping'!$A$4:$A$33,0),MATCH(G37,'ei names mapping'!$B$3:$R$3,0))</f>
        <v>Battery BoP</v>
      </c>
    </row>
    <row r="38" spans="1:8" x14ac:dyDescent="0.3">
      <c r="A38" s="12" t="str">
        <f>INDEX('ei names mapping'!$B$4:$R$33,MATCH($B$3,'ei names mapping'!$A$4:$A$33,0),MATCH(G38,'ei names mapping'!$B$3:$R$3,0))</f>
        <v>charging station, 500W</v>
      </c>
      <c r="B38" s="14">
        <f>INDEX('vehicles specifications'!$B$3:$CK$86,MATCH(B6,'vehicles specifications'!$A$3:$A$86,0),MATCH(G38,'vehicles specifications'!$B$2:$CK$2,0))*INDEX('ei names mapping'!$B$137:$BK$220,MATCH(B6,'ei names mapping'!$A$137:$A$220,0),MATCH(G38,'ei names mapping'!$B$136:$BK$136,0))</f>
        <v>1</v>
      </c>
      <c r="C38" s="12" t="str">
        <f>INDEX('ei names mapping'!$B$38:$R$67,MATCH($B$3,'ei names mapping'!$A$4:$A$33,0),MATCH(G38,'ei names mapping'!$B$3:$R$3,0))</f>
        <v>GLO</v>
      </c>
      <c r="D38" s="12" t="str">
        <f>INDEX('ei names mapping'!$B$104:$R$133,MATCH(B3,'ei names mapping'!$A$104:$A$133,0),MATCH(G38,'ei names mapping'!$B$3:$R$3,0))</f>
        <v>unit</v>
      </c>
      <c r="E38" s="12"/>
      <c r="F38" s="12" t="s">
        <v>91</v>
      </c>
      <c r="G38" t="s">
        <v>53</v>
      </c>
      <c r="H38" s="12" t="str">
        <f>INDEX('ei names mapping'!$B$71:$R$100,MATCH($B$3,'ei names mapping'!$A$4:$A$33,0),MATCH(G38,'ei names mapping'!$B$3:$R$3,0))</f>
        <v>charging station, 500W</v>
      </c>
    </row>
    <row r="39" spans="1:8" x14ac:dyDescent="0.3">
      <c r="A39" s="12" t="str">
        <f>INDEX('ei names mapping'!$B$4:$R$33,MATCH($B$3,'ei names mapping'!$A$4:$A$33,0),MATCH(G39,'ei names mapping'!$B$3:$R$3,0))</f>
        <v>treatment of used electric bicycle</v>
      </c>
      <c r="B39" s="14">
        <f>INDEX('vehicles specifications'!$B$3:$CK$86,MATCH(B6,'vehicles specifications'!$A$3:$A$86,0),MATCH(G39,'vehicles specifications'!$B$2:$CK$2,0))*INDEX('ei names mapping'!$B$137:$BK$220,MATCH(B6,'ei names mapping'!$A$137:$A$220,0),MATCH(G39,'ei names mapping'!$B$136:$BK$136,0))</f>
        <v>-0.66666666666666663</v>
      </c>
      <c r="C39" s="12" t="str">
        <f>INDEX('ei names mapping'!$B$38:$R$67,MATCH($B$3,'ei names mapping'!$A$4:$A$33,0),MATCH(G39,'ei names mapping'!$B$3:$R$3,0))</f>
        <v>CH</v>
      </c>
      <c r="D39" s="12" t="str">
        <f>INDEX('ei names mapping'!$B$104:$R$133,MATCH(B3,'ei names mapping'!$A$104:$A$133,0),MATCH(G39,'ei names mapping'!$B$3:$R$3,0))</f>
        <v>unit</v>
      </c>
      <c r="E39" s="12"/>
      <c r="F39" s="12" t="s">
        <v>91</v>
      </c>
      <c r="G39" t="s">
        <v>150</v>
      </c>
      <c r="H39" s="12" t="str">
        <f>INDEX('ei names mapping'!$B$71:$R$100,MATCH($B$3,'ei names mapping'!$A$4:$A$33,0),MATCH(G39,'ei names mapping'!$B$3:$R$3,0))</f>
        <v>used electric bicycle</v>
      </c>
    </row>
    <row r="40" spans="1:8" x14ac:dyDescent="0.3">
      <c r="A40" s="12" t="str">
        <f>INDEX('ei names mapping'!$B$4:$R$33,MATCH($B$3,'ei names mapping'!$A$4:$A$33,0),MATCH(G40,'ei names mapping'!$B$3:$R$3,0))</f>
        <v>treatment of used electric bicycle</v>
      </c>
      <c r="B40" s="14">
        <f>INDEX('vehicles specifications'!$B$3:$CK$86,MATCH(B6,'vehicles specifications'!$A$3:$A$86,0),MATCH(G40,'vehicles specifications'!$B$2:$CK$2,0))*INDEX('ei names mapping'!$B$137:$BK$220,MATCH(B6,'ei names mapping'!$A$137:$A$220,0),MATCH(G40,'ei names mapping'!$B$136:$BK$136,0))</f>
        <v>-0.16666666666666666</v>
      </c>
      <c r="C40" s="12" t="str">
        <f>INDEX('ei names mapping'!$B$38:$R$67,MATCH($B$3,'ei names mapping'!$A$4:$A$33,0),MATCH(G40,'ei names mapping'!$B$3:$R$3,0))</f>
        <v>CH</v>
      </c>
      <c r="D40" s="12" t="str">
        <f>INDEX('ei names mapping'!$B$104:$R$133,MATCH(B3,'ei names mapping'!$A$104:$A$133,0),MATCH(G40,'ei names mapping'!$B$3:$R$3,0))</f>
        <v>unit</v>
      </c>
      <c r="E40" s="12"/>
      <c r="F40" s="12" t="s">
        <v>91</v>
      </c>
      <c r="G40" t="s">
        <v>151</v>
      </c>
      <c r="H40" s="12" t="str">
        <f>INDEX('ei names mapping'!$B$71:$R$100,MATCH($B$3,'ei names mapping'!$A$4:$A$33,0),MATCH(G40,'ei names mapping'!$B$3:$R$3,0))</f>
        <v>used electric bicycle</v>
      </c>
    </row>
    <row r="41" spans="1:8" x14ac:dyDescent="0.3">
      <c r="A41" s="12" t="str">
        <f>INDEX('ei names mapping'!$B$4:$R$33,MATCH($B$3,'ei names mapping'!$A$4:$A$33,0),MATCH(G41,'ei names mapping'!$B$3:$R$3,0))</f>
        <v>market for used Li-ion battery</v>
      </c>
      <c r="B41" s="14">
        <f>INDEX('vehicles specifications'!$B$3:$CK$86,MATCH(B6,'vehicles specifications'!$A$3:$A$86,0),MATCH(G41,'vehicles specifications'!$B$2:$CK$2,0))*INDEX('ei names mapping'!$B$137:$BK$220,MATCH(B6,'ei names mapping'!$A$137:$A$220,0),MATCH(G41,'ei names mapping'!$B$136:$BK$136,0))</f>
        <v>-6.5</v>
      </c>
      <c r="C41" s="12" t="str">
        <f>INDEX('ei names mapping'!$B$38:$R$67,MATCH($B$3,'ei names mapping'!$A$4:$A$33,0),MATCH(G41,'ei names mapping'!$B$3:$R$3,0))</f>
        <v>GLO</v>
      </c>
      <c r="D41" s="12" t="str">
        <f>INDEX('ei names mapping'!$B$104:$R$133,MATCH(B3,'ei names mapping'!$A$104:$A$133,0),MATCH(G41,'ei names mapping'!$B$3:$R$3,0))</f>
        <v>kilogram</v>
      </c>
      <c r="E41" s="12"/>
      <c r="F41" s="12" t="s">
        <v>91</v>
      </c>
      <c r="G41" t="s">
        <v>152</v>
      </c>
      <c r="H41" s="12" t="str">
        <f>INDEX('ei names mapping'!$B$71:$R$100,MATCH($B$3,'ei names mapping'!$A$4:$A$33,0),MATCH(G41,'ei names mapping'!$B$3:$R$3,0))</f>
        <v>used Li-ion battery</v>
      </c>
    </row>
    <row r="42" spans="1:8" s="21" customFormat="1" x14ac:dyDescent="0.3">
      <c r="A42" s="22" t="s">
        <v>468</v>
      </c>
      <c r="B42" s="21">
        <f>(B16/1000)*B28</f>
        <v>23.25</v>
      </c>
      <c r="C42" s="21" t="s">
        <v>94</v>
      </c>
      <c r="D42" s="21" t="s">
        <v>243</v>
      </c>
      <c r="F42" s="21" t="s">
        <v>91</v>
      </c>
      <c r="H42" s="22" t="s">
        <v>469</v>
      </c>
    </row>
    <row r="43" spans="1:8" s="21" customFormat="1" x14ac:dyDescent="0.3">
      <c r="A43" s="22" t="s">
        <v>467</v>
      </c>
      <c r="B43" s="2">
        <f>(B16/1000)*B27</f>
        <v>369.67500000000001</v>
      </c>
      <c r="C43" s="21" t="s">
        <v>98</v>
      </c>
      <c r="D43" s="21" t="s">
        <v>243</v>
      </c>
      <c r="F43" s="21" t="s">
        <v>91</v>
      </c>
      <c r="H43" s="22" t="s">
        <v>467</v>
      </c>
    </row>
    <row r="44" spans="1:8" x14ac:dyDescent="0.3">
      <c r="A44" s="12"/>
      <c r="B44" s="16"/>
      <c r="C44" s="12"/>
      <c r="D44" s="12"/>
      <c r="E44" s="12"/>
      <c r="F44" s="12"/>
      <c r="H44" s="12"/>
    </row>
    <row r="45" spans="1:8" ht="15.6" x14ac:dyDescent="0.3">
      <c r="A45" s="11" t="s">
        <v>72</v>
      </c>
      <c r="B45" s="9" t="str">
        <f>B47&amp;", "&amp;B49</f>
        <v>Bicycle, electric (&lt;25 km/h), 2030</v>
      </c>
    </row>
    <row r="46" spans="1:8" x14ac:dyDescent="0.3">
      <c r="A46" t="s">
        <v>73</v>
      </c>
      <c r="B46" t="s">
        <v>37</v>
      </c>
    </row>
    <row r="47" spans="1:8" x14ac:dyDescent="0.3">
      <c r="A47" t="s">
        <v>87</v>
      </c>
      <c r="B47" s="21" t="s">
        <v>517</v>
      </c>
    </row>
    <row r="48" spans="1:8" x14ac:dyDescent="0.3">
      <c r="A48" t="s">
        <v>88</v>
      </c>
      <c r="B48" s="12"/>
    </row>
    <row r="49" spans="1:2" x14ac:dyDescent="0.3">
      <c r="A49" t="s">
        <v>89</v>
      </c>
      <c r="B49" s="12">
        <v>2030</v>
      </c>
    </row>
    <row r="50" spans="1:2" x14ac:dyDescent="0.3">
      <c r="A50" t="s">
        <v>131</v>
      </c>
      <c r="B50" s="12" t="str">
        <f>B47&amp;" - "&amp;B49&amp;" - "&amp;B46</f>
        <v>Bicycle, electric (&lt;25 km/h) - 2030 - CH</v>
      </c>
    </row>
    <row r="51" spans="1:2" x14ac:dyDescent="0.3">
      <c r="A51" t="s">
        <v>74</v>
      </c>
      <c r="B51" t="str">
        <f>B47</f>
        <v>Bicycle, electric (&lt;25 km/h)</v>
      </c>
    </row>
    <row r="52" spans="1:2" x14ac:dyDescent="0.3">
      <c r="A52" t="s">
        <v>75</v>
      </c>
      <c r="B52" t="s">
        <v>76</v>
      </c>
    </row>
    <row r="53" spans="1:2" x14ac:dyDescent="0.3">
      <c r="A53" t="s">
        <v>77</v>
      </c>
      <c r="B53" t="s">
        <v>77</v>
      </c>
    </row>
    <row r="54" spans="1:2" x14ac:dyDescent="0.3">
      <c r="A54" t="s">
        <v>79</v>
      </c>
      <c r="B54" t="s">
        <v>90</v>
      </c>
    </row>
    <row r="55" spans="1:2" x14ac:dyDescent="0.3">
      <c r="A55" t="s">
        <v>132</v>
      </c>
      <c r="B55">
        <f>INDEX('vehicles specifications'!$B$3:$CK$86,MATCH(B50,'vehicles specifications'!$A$3:$A$86,0),MATCH("Lifetime [km]",'vehicles specifications'!$B$2:$CK$2,0))</f>
        <v>20000</v>
      </c>
    </row>
    <row r="56" spans="1:2" x14ac:dyDescent="0.3">
      <c r="A56" t="s">
        <v>133</v>
      </c>
      <c r="B56">
        <f>INDEX('vehicles specifications'!$B$3:$CK$86,MATCH(B50,'vehicles specifications'!$A$3:$A$86,0),MATCH("Passengers [unit]",'vehicles specifications'!$B$2:$CK$2,0))</f>
        <v>1</v>
      </c>
    </row>
    <row r="57" spans="1:2" x14ac:dyDescent="0.3">
      <c r="A57" t="s">
        <v>134</v>
      </c>
      <c r="B57">
        <f>INDEX('vehicles specifications'!$B$3:$CK$86,MATCH(B50,'vehicles specifications'!$A$3:$A$86,0),MATCH("Servicing [unit]",'vehicles specifications'!$B$2:$CK$2,0))</f>
        <v>5</v>
      </c>
    </row>
    <row r="58" spans="1:2" x14ac:dyDescent="0.3">
      <c r="A58" t="s">
        <v>135</v>
      </c>
      <c r="B58">
        <f>INDEX('vehicles specifications'!$B$3:$CK$86,MATCH(B50,'vehicles specifications'!$A$3:$A$86,0),MATCH("Energy battery replacement [unit]",'vehicles specifications'!$B$2:$CK$2,0))</f>
        <v>0.5</v>
      </c>
    </row>
    <row r="59" spans="1:2" x14ac:dyDescent="0.3">
      <c r="A59" t="s">
        <v>136</v>
      </c>
      <c r="B59">
        <f>INDEX('vehicles specifications'!$B$3:$CK$86,MATCH(B50,'vehicles specifications'!$A$3:$A$86,0),MATCH("Annual kilometers [km]",'vehicles specifications'!$B$2:$CK$2,0))</f>
        <v>2060</v>
      </c>
    </row>
    <row r="60" spans="1:2" x14ac:dyDescent="0.3">
      <c r="A60" t="s">
        <v>137</v>
      </c>
      <c r="B60">
        <f>INDEX('vehicles specifications'!$B$3:$CK$86,MATCH(B50,'vehicles specifications'!$A$3:$A$86,0),MATCH("Curb mass [kg]",'vehicles specifications'!$B$2:$CK$2,0))</f>
        <v>22.886666666666663</v>
      </c>
    </row>
    <row r="61" spans="1:2" x14ac:dyDescent="0.3">
      <c r="A61" t="s">
        <v>138</v>
      </c>
      <c r="B61">
        <f>INDEX('vehicles specifications'!$B$3:$CK$86,MATCH(B50,'vehicles specifications'!$A$3:$A$86,0),MATCH("Power [kW]",'vehicles specifications'!$B$2:$CK$2,0))</f>
        <v>0.3</v>
      </c>
    </row>
    <row r="62" spans="1:2" x14ac:dyDescent="0.3">
      <c r="A62" t="s">
        <v>139</v>
      </c>
      <c r="B62">
        <f>INDEX('vehicles specifications'!$B$3:$CK$86,MATCH(B50,'vehicles specifications'!$A$3:$A$86,0),MATCH("Energy battery mass [kg]",'vehicles specifications'!$B$2:$CK$2,0))</f>
        <v>3.4666666666666668</v>
      </c>
    </row>
    <row r="63" spans="1:2" x14ac:dyDescent="0.3">
      <c r="A63" t="s">
        <v>140</v>
      </c>
      <c r="B63">
        <f>INDEX('vehicles specifications'!$B$3:$CK$86,MATCH(B50,'vehicles specifications'!$A$3:$A$86,0),MATCH("Electric energy stored [kWh]",'vehicles specifications'!$B$2:$CK$2,0))</f>
        <v>0.8</v>
      </c>
    </row>
    <row r="64" spans="1:2" s="21" customFormat="1" x14ac:dyDescent="0.3">
      <c r="A64" s="21" t="s">
        <v>654</v>
      </c>
      <c r="B64" s="21">
        <f>INDEX('vehicles specifications'!$B$3:$CK$86,MATCH(B50,'vehicles specifications'!$A$3:$A$86,0),MATCH("Electric energy available [kWh]",'vehicles specifications'!$B$2:$CK$2,0))</f>
        <v>0.64000000000000012</v>
      </c>
    </row>
    <row r="65" spans="1:8" x14ac:dyDescent="0.3">
      <c r="A65" t="s">
        <v>143</v>
      </c>
      <c r="B65">
        <f>INDEX('vehicles specifications'!$B$3:$CK$86,MATCH(B50,'vehicles specifications'!$A$3:$A$86,0),MATCH("Oxydation energy stored [kWh]",'vehicles specifications'!$B$2:$CK$2,0))</f>
        <v>0</v>
      </c>
    </row>
    <row r="66" spans="1:8" x14ac:dyDescent="0.3">
      <c r="A66" t="s">
        <v>145</v>
      </c>
      <c r="B66">
        <f>INDEX('vehicles specifications'!$B$3:$CK$86,MATCH(B50,'vehicles specifications'!$A$3:$A$86,0),MATCH("Fuel mass [kg]",'vehicles specifications'!$B$2:$CK$2,0))</f>
        <v>0</v>
      </c>
    </row>
    <row r="67" spans="1:8" x14ac:dyDescent="0.3">
      <c r="A67" t="s">
        <v>141</v>
      </c>
      <c r="B67" s="2">
        <f>INDEX('vehicles specifications'!$B$3:$CK$86,MATCH(B50,'vehicles specifications'!$A$3:$A$86,0),MATCH("Range [km]",'vehicles specifications'!$B$2:$CK$2,0))</f>
        <v>93.390365203118606</v>
      </c>
    </row>
    <row r="68" spans="1:8" x14ac:dyDescent="0.3">
      <c r="A68" t="s">
        <v>142</v>
      </c>
      <c r="B68" t="str">
        <f>INDEX('vehicles specifications'!$B$3:$CK$86,MATCH(B50,'vehicles specifications'!$A$3:$A$86,0),MATCH("Emission standard",'vehicles specifications'!$B$2:$CK$2,0))</f>
        <v>None</v>
      </c>
    </row>
    <row r="69" spans="1:8" x14ac:dyDescent="0.3">
      <c r="A69" t="s">
        <v>144</v>
      </c>
      <c r="B69" s="6">
        <f>INDEX('vehicles specifications'!$B$3:$CK$86,MATCH(B50,'vehicles specifications'!$A$3:$A$86,0),MATCH("Lightweighting rate [%]",'vehicles specifications'!$B$2:$CK$2,0))</f>
        <v>0.03</v>
      </c>
    </row>
    <row r="70" spans="1:8" s="21" customFormat="1" x14ac:dyDescent="0.3">
      <c r="A70" s="21" t="s">
        <v>513</v>
      </c>
      <c r="B70" s="6" t="s">
        <v>514</v>
      </c>
    </row>
    <row r="71" spans="1:8" s="21" customFormat="1" x14ac:dyDescent="0.3">
      <c r="A71" s="21" t="s">
        <v>515</v>
      </c>
      <c r="B71" s="2">
        <v>15900</v>
      </c>
    </row>
    <row r="72" spans="1:8" s="21" customFormat="1" x14ac:dyDescent="0.3">
      <c r="A72" s="21" t="s">
        <v>516</v>
      </c>
      <c r="B72" s="2">
        <v>1000</v>
      </c>
    </row>
    <row r="73" spans="1:8" s="21" customFormat="1" x14ac:dyDescent="0.3">
      <c r="A73" s="21" t="s">
        <v>84</v>
      </c>
      <c r="B73" s="21" t="str">
        <f>"Power: "&amp;B61&amp;" kW. Lifetime: "&amp;B55&amp;" km. Annual kilometers: "&amp;ROUND(B59,0)&amp;" km. Number of passengers: "&amp;ROUND(B56,1)&amp;". Curb mass: "&amp;ROUND(B60,1)&amp;" kg. Lightweighting of glider: "&amp;ROUND(B69*100,0)&amp;"%. Emission standard: "&amp;B68&amp;". Service visits throughout lifetime: "&amp;ROUND(B57,1)&amp;". Range: "&amp;ROUND(B67,0)&amp;" km. Battery capacity: "&amp;ROUND(B63,1)&amp;" kWh. Available battery capacity: "&amp;B64&amp;" kWh. Battery mass: "&amp;ROUND(B62,1)&amp; " kg. Battery replacement throughout lifetime: "&amp;ROUND(B58,1)&amp;". Fuel tank capacity: "&amp;ROUND(B65,1)&amp;" kWh. Fuel mass: "&amp;ROUND(B66,1)&amp;" kg. Origin of manufacture: "&amp;B70&amp;". Shipping distance: "&amp;B71&amp;" km. Lorry distribution distance: "&amp;B72&amp;" km. Documentation: "&amp;Readmefirst!$B$2&amp;", "&amp;Readmefirst!$B$3&amp;". "&amp;'lci-kick scooter'!B54</f>
        <v>Power: 0.3 kW. Lifetime: 20000 km. Annual kilometers: 2060 km. Number of passengers: 1. Curb mass: 22.9 kg. Lightweighting of glider: 3%. Emission standard: None. Service visits throughout lifetime: 5. Range: 93 km. Battery capacity: 0.8 kWh. Available battery capacity: 0.64 kWh. Battery mass: 3.5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unit</v>
      </c>
    </row>
    <row r="74" spans="1:8" ht="15.6" x14ac:dyDescent="0.3">
      <c r="A74" s="11" t="s">
        <v>80</v>
      </c>
    </row>
    <row r="75" spans="1:8" x14ac:dyDescent="0.3">
      <c r="A75" t="s">
        <v>81</v>
      </c>
      <c r="B75" t="s">
        <v>82</v>
      </c>
      <c r="C75" t="s">
        <v>73</v>
      </c>
      <c r="D75" t="s">
        <v>77</v>
      </c>
      <c r="E75" t="s">
        <v>83</v>
      </c>
      <c r="F75" t="s">
        <v>75</v>
      </c>
      <c r="G75" t="s">
        <v>84</v>
      </c>
      <c r="H75" t="s">
        <v>74</v>
      </c>
    </row>
    <row r="76" spans="1:8" x14ac:dyDescent="0.3">
      <c r="A76" s="12" t="str">
        <f>B45</f>
        <v>Bicycle, electric (&lt;25 km/h), 2030</v>
      </c>
      <c r="B76" s="12">
        <v>1</v>
      </c>
      <c r="C76" s="12" t="str">
        <f>B46</f>
        <v>CH</v>
      </c>
      <c r="D76" s="12" t="str">
        <f>B53</f>
        <v>unit</v>
      </c>
      <c r="E76" s="12"/>
      <c r="F76" s="12" t="s">
        <v>85</v>
      </c>
      <c r="G76" s="12" t="s">
        <v>86</v>
      </c>
      <c r="H76" s="12" t="str">
        <f>B47</f>
        <v>Bicycle, electric (&lt;25 km/h)</v>
      </c>
    </row>
    <row r="77" spans="1:8" x14ac:dyDescent="0.3">
      <c r="A77" s="12" t="str">
        <f>INDEX('ei names mapping'!$B$4:$R$33,MATCH($B$3,'ei names mapping'!$A$4:$A$33,0),MATCH(G77,'ei names mapping'!$B$3:$R$3,0))</f>
        <v>electric bicycle production, without battery and motor</v>
      </c>
      <c r="B77" s="14">
        <f>INDEX('vehicles specifications'!$B$3:$CK$86,MATCH(B50,'vehicles specifications'!$A$3:$A$86,0),MATCH(G77,'vehicles specifications'!$B$2:$CK$2,0))*INDEX('ei names mapping'!$B$137:$BK$220,MATCH(B50,'ei names mapping'!$A$137:$A$220,0),MATCH(G77,'ei names mapping'!$B$136:$BK$136,0))</f>
        <v>0.94117647058823528</v>
      </c>
      <c r="C77" s="12" t="str">
        <f>INDEX('ei names mapping'!$B$38:$R$67,MATCH($B$3,'ei names mapping'!$A$4:$A$33,0),MATCH(G77,'ei names mapping'!$B$3:$R$3,0))</f>
        <v>RER</v>
      </c>
      <c r="D77" s="12" t="str">
        <f>INDEX('ei names mapping'!$B$104:$R$133,MATCH(B47,'ei names mapping'!$A$104:$A$133,0),MATCH(G77,'ei names mapping'!$B$3:$R$3,0))</f>
        <v>unit</v>
      </c>
      <c r="E77" s="12"/>
      <c r="F77" s="12" t="s">
        <v>91</v>
      </c>
      <c r="G77" s="21" t="s">
        <v>15</v>
      </c>
      <c r="H77" s="12" t="str">
        <f>INDEX('ei names mapping'!$B$71:$R$100,MATCH($B$3,'ei names mapping'!$A$4:$A$33,0),MATCH(G77,'ei names mapping'!$B$3:$R$3,0))</f>
        <v>electric bicycle, without battery and motor</v>
      </c>
    </row>
    <row r="78" spans="1:8" x14ac:dyDescent="0.3">
      <c r="A78" s="12" t="str">
        <f>INDEX('ei names mapping'!$B$4:$R$33,MATCH($B$3,'ei names mapping'!$A$4:$A$33,0),MATCH(G78,'ei names mapping'!$B$3:$R$3,0))</f>
        <v>market for electric motor, vehicle</v>
      </c>
      <c r="B78" s="14">
        <f>INDEX('vehicles specifications'!$B$3:$CK$86,MATCH(B50,'vehicles specifications'!$A$3:$A$86,0),MATCH(G78,'vehicles specifications'!$B$2:$CK$2,0))*INDEX('ei names mapping'!$B$137:$BK$220,MATCH(B50,'ei names mapping'!$A$137:$A$220,0),MATCH(G78,'ei names mapping'!$B$136:$BK$136,0))</f>
        <v>3.9</v>
      </c>
      <c r="C78" s="12" t="str">
        <f>INDEX('ei names mapping'!$B$38:$R$67,MATCH($B$3,'ei names mapping'!$A$4:$A$33,0),MATCH(G78,'ei names mapping'!$B$3:$R$3,0))</f>
        <v>GLO</v>
      </c>
      <c r="D78" s="12" t="str">
        <f>INDEX('ei names mapping'!$B$104:$R$133,MATCH(B47,'ei names mapping'!$A$104:$A$133,0),MATCH(G78,'ei names mapping'!$B$3:$R$3,0))</f>
        <v>kilogram</v>
      </c>
      <c r="E78" s="12"/>
      <c r="F78" s="12" t="s">
        <v>91</v>
      </c>
      <c r="G78" t="s">
        <v>557</v>
      </c>
      <c r="H78" s="12" t="str">
        <f>INDEX('ei names mapping'!$B$71:$R$100,MATCH($B$3,'ei names mapping'!$A$4:$A$33,0),MATCH(G78,'ei names mapping'!$B$3:$R$3,0))</f>
        <v>electric motor, vehicle</v>
      </c>
    </row>
    <row r="79" spans="1:8" s="21" customFormat="1" x14ac:dyDescent="0.3">
      <c r="A79" s="12" t="str">
        <f>INDEX('ei names mapping'!$B$4:$R$33,MATCH(B47,'ei names mapping'!$A$4:$A$33,0),MATCH(G79,'ei names mapping'!$B$3:$R$3,0))</f>
        <v>glider lightweighting</v>
      </c>
      <c r="B79" s="16">
        <f>INDEX('vehicles specifications'!$B$3:$CK$86,MATCH(B50,'vehicles specifications'!$A$3:$A$86,0),MATCH(G79,'vehicles specifications'!$B$2:$CK$2,0))*INDEX('ei names mapping'!$B$137:$BK$220,MATCH(B50,'ei names mapping'!$A$137:$A$220,0),MATCH(G79,'ei names mapping'!$B$136:$BK$136,0))</f>
        <v>0.48</v>
      </c>
      <c r="C79" s="12" t="str">
        <f>INDEX('ei names mapping'!$B$38:$R$67,MATCH(B47,'ei names mapping'!$A$4:$A$33,0),MATCH(G79,'ei names mapping'!$B$3:$R$3,0))</f>
        <v>GLO</v>
      </c>
      <c r="D79" s="12" t="str">
        <f>INDEX('ei names mapping'!$B$104:$R$133,MATCH(B47,'ei names mapping'!$A$104:$A$133,0),MATCH(G79,'ei names mapping'!$B$3:$R$3,0))</f>
        <v>kilogram</v>
      </c>
      <c r="E79" s="12"/>
      <c r="F79" s="12" t="s">
        <v>91</v>
      </c>
      <c r="G79" s="21" t="s">
        <v>14</v>
      </c>
      <c r="H79" s="12" t="str">
        <f>INDEX('ei names mapping'!$B$71:$R$100,MATCH(B47,'ei names mapping'!$A$4:$A$33,0),MATCH(G79,'ei names mapping'!$B$3:$R$3,0))</f>
        <v>glider lightweighting</v>
      </c>
    </row>
    <row r="80" spans="1:8" x14ac:dyDescent="0.3">
      <c r="A80" s="12" t="str">
        <f>INDEX('ei names mapping'!$B$4:$R$33,MATCH($B$3,'ei names mapping'!$A$4:$A$33,0),MATCH(G80,'ei names mapping'!$B$3:$R$3,0))</f>
        <v>Battery cell, NMC</v>
      </c>
      <c r="B80" s="14">
        <f>INDEX('vehicles specifications'!$B$3:$CK$86,MATCH(B50,'vehicles specifications'!$A$3:$A$86,0),MATCH(G80,'vehicles specifications'!$B$2:$CK$2,0))*INDEX('ei names mapping'!$B$137:$BK$220,MATCH(B50,'ei names mapping'!$A$137:$A$220,0),MATCH(G80,'ei names mapping'!$B$136:$BK$136,0))</f>
        <v>4</v>
      </c>
      <c r="C80" s="12" t="str">
        <f>INDEX('ei names mapping'!$B$38:$R$67,MATCH($B$3,'ei names mapping'!$A$4:$A$33,0),MATCH(G80,'ei names mapping'!$B$3:$R$3,0))</f>
        <v>GLO</v>
      </c>
      <c r="D80" s="12" t="str">
        <f>INDEX('ei names mapping'!$B$104:$R$133,MATCH(B47,'ei names mapping'!$A$104:$A$133,0),MATCH(G80,'ei names mapping'!$B$3:$R$3,0))</f>
        <v>kilogram</v>
      </c>
      <c r="E80" s="12"/>
      <c r="F80" s="12" t="s">
        <v>91</v>
      </c>
      <c r="G80" t="s">
        <v>19</v>
      </c>
      <c r="H80" s="12" t="str">
        <f>INDEX('ei names mapping'!$B$71:$R$100,MATCH($B$3,'ei names mapping'!$A$4:$A$33,0),MATCH(G80,'ei names mapping'!$B$3:$R$3,0))</f>
        <v>Battery cell</v>
      </c>
    </row>
    <row r="81" spans="1:8" x14ac:dyDescent="0.3">
      <c r="A81" s="12" t="str">
        <f>INDEX('ei names mapping'!$B$4:$R$33,MATCH($B$3,'ei names mapping'!$A$4:$A$33,0),MATCH(G81,'ei names mapping'!$B$3:$R$3,0))</f>
        <v>Battery BoP</v>
      </c>
      <c r="B81" s="14">
        <f>INDEX('vehicles specifications'!$B$3:$CK$86,MATCH(B50,'vehicles specifications'!$A$3:$A$86,0),MATCH(G81,'vehicles specifications'!$B$2:$CK$2,0))*INDEX('ei names mapping'!$B$137:$BK$220,MATCH(B50,'ei names mapping'!$A$137:$A$220,0),MATCH(G81,'ei names mapping'!$B$136:$BK$136,0))</f>
        <v>1.2000000000000002</v>
      </c>
      <c r="C81" s="12" t="str">
        <f>INDEX('ei names mapping'!$B$38:$R$67,MATCH($B$3,'ei names mapping'!$A$4:$A$33,0),MATCH(G81,'ei names mapping'!$B$3:$R$3,0))</f>
        <v>GLO</v>
      </c>
      <c r="D81" s="12" t="str">
        <f>INDEX('ei names mapping'!$B$104:$R$133,MATCH(B47,'ei names mapping'!$A$104:$A$133,0),MATCH(G81,'ei names mapping'!$B$3:$R$3,0))</f>
        <v>kilogram</v>
      </c>
      <c r="E81" s="12"/>
      <c r="F81" s="12" t="s">
        <v>91</v>
      </c>
      <c r="G81" t="s">
        <v>20</v>
      </c>
      <c r="H81" s="12" t="str">
        <f>INDEX('ei names mapping'!$B$71:$R$100,MATCH($B$3,'ei names mapping'!$A$4:$A$33,0),MATCH(G81,'ei names mapping'!$B$3:$R$3,0))</f>
        <v>Battery BoP</v>
      </c>
    </row>
    <row r="82" spans="1:8" x14ac:dyDescent="0.3">
      <c r="A82" s="12" t="str">
        <f>INDEX('ei names mapping'!$B$4:$R$33,MATCH($B$3,'ei names mapping'!$A$4:$A$33,0),MATCH(G82,'ei names mapping'!$B$3:$R$3,0))</f>
        <v>charging station, 500W</v>
      </c>
      <c r="B82" s="14">
        <f>INDEX('vehicles specifications'!$B$3:$CK$86,MATCH(B50,'vehicles specifications'!$A$3:$A$86,0),MATCH(G82,'vehicles specifications'!$B$2:$CK$2,0))*INDEX('ei names mapping'!$B$137:$BK$220,MATCH(B50,'ei names mapping'!$A$137:$A$220,0),MATCH(G82,'ei names mapping'!$B$136:$BK$136,0))</f>
        <v>1</v>
      </c>
      <c r="C82" s="12" t="str">
        <f>INDEX('ei names mapping'!$B$38:$R$67,MATCH($B$3,'ei names mapping'!$A$4:$A$33,0),MATCH(G82,'ei names mapping'!$B$3:$R$3,0))</f>
        <v>GLO</v>
      </c>
      <c r="D82" s="12" t="str">
        <f>INDEX('ei names mapping'!$B$104:$R$133,MATCH(B47,'ei names mapping'!$A$104:$A$133,0),MATCH(G82,'ei names mapping'!$B$3:$R$3,0))</f>
        <v>unit</v>
      </c>
      <c r="E82" s="12"/>
      <c r="F82" s="12" t="s">
        <v>91</v>
      </c>
      <c r="G82" t="s">
        <v>53</v>
      </c>
      <c r="H82" s="12" t="str">
        <f>INDEX('ei names mapping'!$B$71:$R$100,MATCH($B$3,'ei names mapping'!$A$4:$A$33,0),MATCH(G82,'ei names mapping'!$B$3:$R$3,0))</f>
        <v>charging station, 500W</v>
      </c>
    </row>
    <row r="83" spans="1:8" x14ac:dyDescent="0.3">
      <c r="A83" s="12" t="str">
        <f>INDEX('ei names mapping'!$B$4:$R$33,MATCH($B$3,'ei names mapping'!$A$4:$A$33,0),MATCH(G83,'ei names mapping'!$B$3:$R$3,0))</f>
        <v>treatment of used electric bicycle</v>
      </c>
      <c r="B83" s="14">
        <f>INDEX('vehicles specifications'!$B$3:$CK$86,MATCH(B50,'vehicles specifications'!$A$3:$A$86,0),MATCH(G83,'vehicles specifications'!$B$2:$CK$2,0))*INDEX('ei names mapping'!$B$137:$BK$220,MATCH(B50,'ei names mapping'!$A$137:$A$220,0),MATCH(G83,'ei names mapping'!$B$136:$BK$136,0))</f>
        <v>-0.64666666666666661</v>
      </c>
      <c r="C83" s="12" t="str">
        <f>INDEX('ei names mapping'!$B$38:$R$67,MATCH($B$3,'ei names mapping'!$A$4:$A$33,0),MATCH(G83,'ei names mapping'!$B$3:$R$3,0))</f>
        <v>CH</v>
      </c>
      <c r="D83" s="12" t="str">
        <f>INDEX('ei names mapping'!$B$104:$R$133,MATCH(B47,'ei names mapping'!$A$104:$A$133,0),MATCH(G83,'ei names mapping'!$B$3:$R$3,0))</f>
        <v>unit</v>
      </c>
      <c r="E83" s="12"/>
      <c r="F83" s="12" t="s">
        <v>91</v>
      </c>
      <c r="G83" t="s">
        <v>150</v>
      </c>
      <c r="H83" s="12" t="str">
        <f>INDEX('ei names mapping'!$B$71:$R$100,MATCH($B$3,'ei names mapping'!$A$4:$A$33,0),MATCH(G83,'ei names mapping'!$B$3:$R$3,0))</f>
        <v>used electric bicycle</v>
      </c>
    </row>
    <row r="84" spans="1:8" x14ac:dyDescent="0.3">
      <c r="A84" s="12" t="str">
        <f>INDEX('ei names mapping'!$B$4:$R$33,MATCH($B$3,'ei names mapping'!$A$4:$A$33,0),MATCH(G84,'ei names mapping'!$B$3:$R$3,0))</f>
        <v>treatment of used electric bicycle</v>
      </c>
      <c r="B84" s="14">
        <f>INDEX('vehicles specifications'!$B$3:$CK$86,MATCH(B50,'vehicles specifications'!$A$3:$A$86,0),MATCH(G84,'vehicles specifications'!$B$2:$CK$2,0))*INDEX('ei names mapping'!$B$137:$BK$220,MATCH(B50,'ei names mapping'!$A$137:$A$220,0),MATCH(G84,'ei names mapping'!$B$136:$BK$136,0))</f>
        <v>-0.16249999999999998</v>
      </c>
      <c r="C84" s="12" t="str">
        <f>INDEX('ei names mapping'!$B$38:$R$67,MATCH($B$3,'ei names mapping'!$A$4:$A$33,0),MATCH(G84,'ei names mapping'!$B$3:$R$3,0))</f>
        <v>CH</v>
      </c>
      <c r="D84" s="12" t="str">
        <f>INDEX('ei names mapping'!$B$104:$R$133,MATCH(B47,'ei names mapping'!$A$104:$A$133,0),MATCH(G84,'ei names mapping'!$B$3:$R$3,0))</f>
        <v>unit</v>
      </c>
      <c r="E84" s="12"/>
      <c r="F84" s="12" t="s">
        <v>91</v>
      </c>
      <c r="G84" t="s">
        <v>151</v>
      </c>
      <c r="H84" s="12" t="str">
        <f>INDEX('ei names mapping'!$B$71:$R$100,MATCH($B$3,'ei names mapping'!$A$4:$A$33,0),MATCH(G84,'ei names mapping'!$B$3:$R$3,0))</f>
        <v>used electric bicycle</v>
      </c>
    </row>
    <row r="85" spans="1:8" x14ac:dyDescent="0.3">
      <c r="A85" s="12" t="str">
        <f>INDEX('ei names mapping'!$B$4:$R$33,MATCH($B$3,'ei names mapping'!$A$4:$A$33,0),MATCH(G85,'ei names mapping'!$B$3:$R$3,0))</f>
        <v>market for used Li-ion battery</v>
      </c>
      <c r="B85" s="14">
        <f>INDEX('vehicles specifications'!$B$3:$CK$86,MATCH(B50,'vehicles specifications'!$A$3:$A$86,0),MATCH(G85,'vehicles specifications'!$B$2:$CK$2,0))*INDEX('ei names mapping'!$B$137:$BK$220,MATCH(B50,'ei names mapping'!$A$137:$A$220,0),MATCH(G85,'ei names mapping'!$B$136:$BK$136,0))</f>
        <v>-5.2</v>
      </c>
      <c r="C85" s="12" t="str">
        <f>INDEX('ei names mapping'!$B$38:$R$67,MATCH($B$3,'ei names mapping'!$A$4:$A$33,0),MATCH(G85,'ei names mapping'!$B$3:$R$3,0))</f>
        <v>GLO</v>
      </c>
      <c r="D85" s="12" t="str">
        <f>INDEX('ei names mapping'!$B$104:$R$133,MATCH(B47,'ei names mapping'!$A$104:$A$133,0),MATCH(G85,'ei names mapping'!$B$3:$R$3,0))</f>
        <v>kilogram</v>
      </c>
      <c r="E85" s="12"/>
      <c r="F85" s="12" t="s">
        <v>91</v>
      </c>
      <c r="G85" t="s">
        <v>152</v>
      </c>
      <c r="H85" s="12" t="str">
        <f>INDEX('ei names mapping'!$B$71:$R$100,MATCH($B$3,'ei names mapping'!$A$4:$A$33,0),MATCH(G85,'ei names mapping'!$B$3:$R$3,0))</f>
        <v>used Li-ion battery</v>
      </c>
    </row>
    <row r="86" spans="1:8" s="21" customFormat="1" x14ac:dyDescent="0.3">
      <c r="A86" s="22" t="s">
        <v>468</v>
      </c>
      <c r="B86" s="21">
        <f>(B60/1000)*B72</f>
        <v>22.886666666666663</v>
      </c>
      <c r="C86" s="21" t="s">
        <v>94</v>
      </c>
      <c r="D86" s="21" t="s">
        <v>243</v>
      </c>
      <c r="F86" s="21" t="s">
        <v>91</v>
      </c>
      <c r="H86" s="22" t="s">
        <v>469</v>
      </c>
    </row>
    <row r="87" spans="1:8" s="21" customFormat="1" x14ac:dyDescent="0.3">
      <c r="A87" s="22" t="s">
        <v>467</v>
      </c>
      <c r="B87" s="2">
        <f>(B60/1000)*B71</f>
        <v>363.89799999999991</v>
      </c>
      <c r="C87" s="21" t="s">
        <v>98</v>
      </c>
      <c r="D87" s="21" t="s">
        <v>243</v>
      </c>
      <c r="F87" s="21" t="s">
        <v>91</v>
      </c>
      <c r="H87" s="22" t="s">
        <v>467</v>
      </c>
    </row>
    <row r="88" spans="1:8" x14ac:dyDescent="0.3">
      <c r="B88" s="12"/>
    </row>
    <row r="89" spans="1:8" ht="15.6" x14ac:dyDescent="0.3">
      <c r="A89" s="11" t="s">
        <v>72</v>
      </c>
      <c r="B89" s="9" t="str">
        <f>B91&amp;", "&amp;B93</f>
        <v>Bicycle, electric (&lt;25 km/h), 2040</v>
      </c>
    </row>
    <row r="90" spans="1:8" x14ac:dyDescent="0.3">
      <c r="A90" t="s">
        <v>73</v>
      </c>
      <c r="B90" t="s">
        <v>37</v>
      </c>
    </row>
    <row r="91" spans="1:8" x14ac:dyDescent="0.3">
      <c r="A91" t="s">
        <v>87</v>
      </c>
      <c r="B91" s="21" t="s">
        <v>517</v>
      </c>
    </row>
    <row r="92" spans="1:8" x14ac:dyDescent="0.3">
      <c r="A92" t="s">
        <v>88</v>
      </c>
      <c r="B92" s="12"/>
    </row>
    <row r="93" spans="1:8" x14ac:dyDescent="0.3">
      <c r="A93" t="s">
        <v>89</v>
      </c>
      <c r="B93" s="12">
        <v>2040</v>
      </c>
    </row>
    <row r="94" spans="1:8" x14ac:dyDescent="0.3">
      <c r="A94" t="s">
        <v>131</v>
      </c>
      <c r="B94" s="12" t="str">
        <f>B91&amp;" - "&amp;B93&amp;" - "&amp;B90</f>
        <v>Bicycle, electric (&lt;25 km/h) - 2040 - CH</v>
      </c>
    </row>
    <row r="95" spans="1:8" x14ac:dyDescent="0.3">
      <c r="A95" t="s">
        <v>74</v>
      </c>
      <c r="B95" t="str">
        <f>B91</f>
        <v>Bicycle, electric (&lt;25 km/h)</v>
      </c>
    </row>
    <row r="96" spans="1:8" x14ac:dyDescent="0.3">
      <c r="A96" t="s">
        <v>75</v>
      </c>
      <c r="B96" t="s">
        <v>76</v>
      </c>
    </row>
    <row r="97" spans="1:2" x14ac:dyDescent="0.3">
      <c r="A97" t="s">
        <v>77</v>
      </c>
      <c r="B97" t="s">
        <v>77</v>
      </c>
    </row>
    <row r="98" spans="1:2" x14ac:dyDescent="0.3">
      <c r="A98" t="s">
        <v>79</v>
      </c>
      <c r="B98" t="s">
        <v>90</v>
      </c>
    </row>
    <row r="99" spans="1:2" x14ac:dyDescent="0.3">
      <c r="A99" t="s">
        <v>132</v>
      </c>
      <c r="B99">
        <f>INDEX('vehicles specifications'!$B$3:$CK$86,MATCH(B94,'vehicles specifications'!$A$3:$A$86,0),MATCH("Lifetime [km]",'vehicles specifications'!$B$2:$CK$2,0))</f>
        <v>20000</v>
      </c>
    </row>
    <row r="100" spans="1:2" x14ac:dyDescent="0.3">
      <c r="A100" t="s">
        <v>133</v>
      </c>
      <c r="B100">
        <f>INDEX('vehicles specifications'!$B$3:$CK$86,MATCH(B94,'vehicles specifications'!$A$3:$A$86,0),MATCH("Passengers [unit]",'vehicles specifications'!$B$2:$CK$2,0))</f>
        <v>1</v>
      </c>
    </row>
    <row r="101" spans="1:2" x14ac:dyDescent="0.3">
      <c r="A101" t="s">
        <v>134</v>
      </c>
      <c r="B101">
        <f>INDEX('vehicles specifications'!$B$3:$CK$86,MATCH(B94,'vehicles specifications'!$A$3:$A$86,0),MATCH("Servicing [unit]",'vehicles specifications'!$B$2:$CK$2,0))</f>
        <v>5</v>
      </c>
    </row>
    <row r="102" spans="1:2" x14ac:dyDescent="0.3">
      <c r="A102" t="s">
        <v>135</v>
      </c>
      <c r="B102">
        <f>INDEX('vehicles specifications'!$B$3:$CK$86,MATCH(B94,'vehicles specifications'!$A$3:$A$86,0),MATCH("Energy battery replacement [unit]",'vehicles specifications'!$B$2:$CK$2,0))</f>
        <v>0.25</v>
      </c>
    </row>
    <row r="103" spans="1:2" x14ac:dyDescent="0.3">
      <c r="A103" t="s">
        <v>136</v>
      </c>
      <c r="B103">
        <f>INDEX('vehicles specifications'!$B$3:$CK$86,MATCH(B94,'vehicles specifications'!$A$3:$A$86,0),MATCH("Annual kilometers [km]",'vehicles specifications'!$B$2:$CK$2,0))</f>
        <v>2060</v>
      </c>
    </row>
    <row r="104" spans="1:2" x14ac:dyDescent="0.3">
      <c r="A104" t="s">
        <v>137</v>
      </c>
      <c r="B104">
        <f>INDEX('vehicles specifications'!$B$3:$CK$86,MATCH(B94,'vehicles specifications'!$A$3:$A$86,0),MATCH("Curb mass [kg]",'vehicles specifications'!$B$2:$CK$2,0))</f>
        <v>22.9</v>
      </c>
    </row>
    <row r="105" spans="1:2" x14ac:dyDescent="0.3">
      <c r="A105" t="s">
        <v>138</v>
      </c>
      <c r="B105">
        <f>INDEX('vehicles specifications'!$B$3:$CK$86,MATCH(B94,'vehicles specifications'!$A$3:$A$86,0),MATCH("Power [kW]",'vehicles specifications'!$B$2:$CK$2,0))</f>
        <v>0.3</v>
      </c>
    </row>
    <row r="106" spans="1:2" x14ac:dyDescent="0.3">
      <c r="A106" t="s">
        <v>139</v>
      </c>
      <c r="B106">
        <f>INDEX('vehicles specifications'!$B$3:$CK$86,MATCH(B94,'vehicles specifications'!$A$3:$A$86,0),MATCH("Energy battery mass [kg]",'vehicles specifications'!$B$2:$CK$2,0))</f>
        <v>3.8999999999999995</v>
      </c>
    </row>
    <row r="107" spans="1:2" x14ac:dyDescent="0.3">
      <c r="A107" t="s">
        <v>140</v>
      </c>
      <c r="B107">
        <f>INDEX('vehicles specifications'!$B$3:$CK$86,MATCH(B94,'vehicles specifications'!$A$3:$A$86,0),MATCH("Electric energy stored [kWh]",'vehicles specifications'!$B$2:$CK$2,0))</f>
        <v>1.2</v>
      </c>
    </row>
    <row r="108" spans="1:2" s="21" customFormat="1" x14ac:dyDescent="0.3">
      <c r="A108" s="21" t="s">
        <v>654</v>
      </c>
      <c r="B108" s="21">
        <f>INDEX('vehicles specifications'!$B$3:$CK$86,MATCH(B94,'vehicles specifications'!$A$3:$A$86,0),MATCH("Electric energy available [kWh]",'vehicles specifications'!$B$2:$CK$2,0))</f>
        <v>0.96</v>
      </c>
    </row>
    <row r="109" spans="1:2" x14ac:dyDescent="0.3">
      <c r="A109" t="s">
        <v>143</v>
      </c>
      <c r="B109">
        <f>INDEX('vehicles specifications'!$B$3:$CK$86,MATCH(B94,'vehicles specifications'!$A$3:$A$86,0),MATCH("Oxydation energy stored [kWh]",'vehicles specifications'!$B$2:$CK$2,0))</f>
        <v>0</v>
      </c>
    </row>
    <row r="110" spans="1:2" x14ac:dyDescent="0.3">
      <c r="A110" t="s">
        <v>145</v>
      </c>
      <c r="B110">
        <f>INDEX('vehicles specifications'!$B$3:$CK$86,MATCH(B94,'vehicles specifications'!$A$3:$A$86,0),MATCH("Fuel mass [kg]",'vehicles specifications'!$B$2:$CK$2,0))</f>
        <v>0</v>
      </c>
    </row>
    <row r="111" spans="1:2" x14ac:dyDescent="0.3">
      <c r="A111" t="s">
        <v>141</v>
      </c>
      <c r="B111" s="2">
        <f>INDEX('vehicles specifications'!$B$3:$CK$86,MATCH(B94,'vehicles specifications'!$A$3:$A$86,0),MATCH("Range [km]",'vehicles specifications'!$B$2:$CK$2,0))</f>
        <v>140.08554780467787</v>
      </c>
    </row>
    <row r="112" spans="1:2" x14ac:dyDescent="0.3">
      <c r="A112" t="s">
        <v>142</v>
      </c>
      <c r="B112" t="str">
        <f>INDEX('vehicles specifications'!$B$3:$CK$86,MATCH(B94,'vehicles specifications'!$A$3:$A$86,0),MATCH("Emission standard",'vehicles specifications'!$B$2:$CK$2,0))</f>
        <v>None</v>
      </c>
    </row>
    <row r="113" spans="1:8" x14ac:dyDescent="0.3">
      <c r="A113" t="s">
        <v>144</v>
      </c>
      <c r="B113" s="6">
        <f>INDEX('vehicles specifications'!$B$3:$CK$86,MATCH(B94,'vehicles specifications'!$A$3:$A$86,0),MATCH("Lightweighting rate [%]",'vehicles specifications'!$B$2:$CK$2,0))</f>
        <v>0.05</v>
      </c>
    </row>
    <row r="114" spans="1:8" s="21" customFormat="1" x14ac:dyDescent="0.3">
      <c r="A114" s="21" t="s">
        <v>513</v>
      </c>
      <c r="B114" s="6" t="s">
        <v>514</v>
      </c>
    </row>
    <row r="115" spans="1:8" s="21" customFormat="1" x14ac:dyDescent="0.3">
      <c r="A115" s="21" t="s">
        <v>515</v>
      </c>
      <c r="B115" s="2">
        <v>15900</v>
      </c>
    </row>
    <row r="116" spans="1:8" s="21" customFormat="1" x14ac:dyDescent="0.3">
      <c r="A116" s="21" t="s">
        <v>516</v>
      </c>
      <c r="B116" s="2">
        <v>1000</v>
      </c>
    </row>
    <row r="117" spans="1:8" s="21" customFormat="1" x14ac:dyDescent="0.3">
      <c r="A117" s="21" t="s">
        <v>84</v>
      </c>
      <c r="B117" s="21" t="str">
        <f>"Power: "&amp;B105&amp;" kW. Lifetime: "&amp;B99&amp;" km. Annual kilometers: "&amp;ROUND(B103,0)&amp;" km. Number of passengers: "&amp;ROUND(B100,1)&amp;". Curb mass: "&amp;ROUND(B104,1)&amp;" kg. Lightweighting of glider: "&amp;ROUND(B113*100,0)&amp;"%. Emission standard: "&amp;B112&amp;". Service visits throughout lifetime: "&amp;ROUND(B101,1)&amp;". Range: "&amp;ROUND(B111,0)&amp;" km. Battery capacity: "&amp;ROUND(B107,1)&amp;" kWh. Available battery capacity: "&amp;B108&amp;" kWh. Battery mass: "&amp;ROUND(B106,1)&amp; " kg. Battery replacement throughout lifetime: "&amp;ROUND(B102,1)&amp;". Fuel tank capacity: "&amp;ROUND(B109,1)&amp;" kWh. Fuel mass: "&amp;ROUND(B110,1)&amp;" kg. Origin of manufacture: "&amp;B114&amp;". Shipping distance: "&amp;B115&amp;" km. Lorry distribution distance: "&amp;B116&amp;" km. Documentation: "&amp;Readmefirst!$B$2&amp;", "&amp;Readmefirst!$B$3&amp;". "&amp;'lci-kick scooter'!B98</f>
        <v>Power: 0.3 kW. Lifetime: 20000 km. Annual kilometers: 2060 km. Number of passengers: 1. Curb mass: 22.9 kg. Lightweighting of glider: 5%. Emission standard: None. Service visits throughout lifetime: 5. Range: 140 km. Battery capacity: 1.2 kWh. Available battery capacity: 0.96 kWh. Battery mass: 3.9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18" spans="1:8" ht="15.6" x14ac:dyDescent="0.3">
      <c r="A118" s="11" t="s">
        <v>80</v>
      </c>
    </row>
    <row r="119" spans="1:8" x14ac:dyDescent="0.3">
      <c r="A119" t="s">
        <v>81</v>
      </c>
      <c r="B119" t="s">
        <v>82</v>
      </c>
      <c r="C119" t="s">
        <v>73</v>
      </c>
      <c r="D119" t="s">
        <v>77</v>
      </c>
      <c r="E119" t="s">
        <v>83</v>
      </c>
      <c r="F119" t="s">
        <v>75</v>
      </c>
      <c r="G119" t="s">
        <v>84</v>
      </c>
      <c r="H119" t="s">
        <v>74</v>
      </c>
    </row>
    <row r="120" spans="1:8" x14ac:dyDescent="0.3">
      <c r="A120" s="12" t="str">
        <f>B89</f>
        <v>Bicycle, electric (&lt;25 km/h), 2040</v>
      </c>
      <c r="B120" s="12">
        <v>1</v>
      </c>
      <c r="C120" s="12" t="str">
        <f>B90</f>
        <v>CH</v>
      </c>
      <c r="D120" s="12" t="str">
        <f>B97</f>
        <v>unit</v>
      </c>
      <c r="E120" s="12"/>
      <c r="F120" s="12" t="s">
        <v>85</v>
      </c>
      <c r="G120" s="12" t="s">
        <v>86</v>
      </c>
      <c r="H120" s="12" t="str">
        <f>B91</f>
        <v>Bicycle, electric (&lt;25 km/h)</v>
      </c>
    </row>
    <row r="121" spans="1:8" x14ac:dyDescent="0.3">
      <c r="A121" s="12" t="str">
        <f>INDEX('ei names mapping'!$B$4:$R$33,MATCH($B$3,'ei names mapping'!$A$4:$A$33,0),MATCH(G121,'ei names mapping'!$B$3:$R$3,0))</f>
        <v>electric bicycle production, without battery and motor</v>
      </c>
      <c r="B121" s="14">
        <f>INDEX('vehicles specifications'!$B$3:$CK$86,MATCH(B94,'vehicles specifications'!$A$3:$A$86,0),MATCH(G121,'vehicles specifications'!$B$2:$CK$2,0))*INDEX('ei names mapping'!$B$137:$BK$220,MATCH(B94,'ei names mapping'!$A$137:$A$220,0),MATCH(G121,'ei names mapping'!$B$136:$BK$136,0))</f>
        <v>0.94117647058823528</v>
      </c>
      <c r="C121" s="12" t="str">
        <f>INDEX('ei names mapping'!$B$38:$R$67,MATCH($B$3,'ei names mapping'!$A$4:$A$33,0),MATCH(G121,'ei names mapping'!$B$3:$R$3,0))</f>
        <v>RER</v>
      </c>
      <c r="D121" s="12" t="str">
        <f>INDEX('ei names mapping'!$B$104:$R$133,MATCH(B91,'ei names mapping'!$A$104:$A$133,0),MATCH(G121,'ei names mapping'!$B$3:$R$3,0))</f>
        <v>unit</v>
      </c>
      <c r="E121" s="12"/>
      <c r="F121" s="12" t="s">
        <v>91</v>
      </c>
      <c r="G121" s="21" t="s">
        <v>15</v>
      </c>
      <c r="H121" s="12" t="str">
        <f>INDEX('ei names mapping'!$B$71:$R$100,MATCH($B$3,'ei names mapping'!$A$4:$A$33,0),MATCH(G121,'ei names mapping'!$B$3:$R$3,0))</f>
        <v>electric bicycle, without battery and motor</v>
      </c>
    </row>
    <row r="122" spans="1:8" x14ac:dyDescent="0.3">
      <c r="A122" s="12" t="str">
        <f>INDEX('ei names mapping'!$B$4:$R$33,MATCH($B$3,'ei names mapping'!$A$4:$A$33,0),MATCH(G122,'ei names mapping'!$B$3:$R$3,0))</f>
        <v>market for electric motor, vehicle</v>
      </c>
      <c r="B122" s="14">
        <f>INDEX('vehicles specifications'!$B$3:$CK$86,MATCH(B94,'vehicles specifications'!$A$3:$A$86,0),MATCH(G122,'vehicles specifications'!$B$2:$CK$2,0))*INDEX('ei names mapping'!$B$137:$BK$220,MATCH(B94,'ei names mapping'!$A$137:$A$220,0),MATCH(G122,'ei names mapping'!$B$136:$BK$136,0))</f>
        <v>3.8</v>
      </c>
      <c r="C122" s="12" t="str">
        <f>INDEX('ei names mapping'!$B$38:$R$67,MATCH($B$3,'ei names mapping'!$A$4:$A$33,0),MATCH(G122,'ei names mapping'!$B$3:$R$3,0))</f>
        <v>GLO</v>
      </c>
      <c r="D122" s="12" t="str">
        <f>INDEX('ei names mapping'!$B$104:$R$133,MATCH(B91,'ei names mapping'!$A$104:$A$133,0),MATCH(G122,'ei names mapping'!$B$3:$R$3,0))</f>
        <v>kilogram</v>
      </c>
      <c r="E122" s="12"/>
      <c r="F122" s="12" t="s">
        <v>91</v>
      </c>
      <c r="G122" t="s">
        <v>557</v>
      </c>
      <c r="H122" s="12" t="str">
        <f>INDEX('ei names mapping'!$B$71:$R$100,MATCH($B$3,'ei names mapping'!$A$4:$A$33,0),MATCH(G122,'ei names mapping'!$B$3:$R$3,0))</f>
        <v>electric motor, vehicle</v>
      </c>
    </row>
    <row r="123" spans="1:8" s="21" customFormat="1" x14ac:dyDescent="0.3">
      <c r="A123" s="12" t="str">
        <f>INDEX('ei names mapping'!$B$4:$R$33,MATCH(B91,'ei names mapping'!$A$4:$A$33,0),MATCH(G123,'ei names mapping'!$B$3:$R$3,0))</f>
        <v>glider lightweighting</v>
      </c>
      <c r="B123" s="16">
        <f>INDEX('vehicles specifications'!$B$3:$CK$86,MATCH(B94,'vehicles specifications'!$A$3:$A$86,0),MATCH(G123,'vehicles specifications'!$B$2:$CK$2,0))*INDEX('ei names mapping'!$B$137:$BK$220,MATCH(B94,'ei names mapping'!$A$137:$A$220,0),MATCH(G123,'ei names mapping'!$B$136:$BK$136,0))</f>
        <v>0.8</v>
      </c>
      <c r="C123" s="12" t="str">
        <f>INDEX('ei names mapping'!$B$38:$R$67,MATCH(B91,'ei names mapping'!$A$4:$A$33,0),MATCH(G123,'ei names mapping'!$B$3:$R$3,0))</f>
        <v>GLO</v>
      </c>
      <c r="D123" s="12" t="str">
        <f>INDEX('ei names mapping'!$B$104:$R$133,MATCH(B91,'ei names mapping'!$A$104:$A$133,0),MATCH(G123,'ei names mapping'!$B$3:$R$3,0))</f>
        <v>kilogram</v>
      </c>
      <c r="E123" s="12"/>
      <c r="F123" s="12" t="s">
        <v>91</v>
      </c>
      <c r="G123" s="21" t="s">
        <v>14</v>
      </c>
      <c r="H123" s="12" t="str">
        <f>INDEX('ei names mapping'!$B$71:$R$100,MATCH(B91,'ei names mapping'!$A$4:$A$33,0),MATCH(G123,'ei names mapping'!$B$3:$R$3,0))</f>
        <v>glider lightweighting</v>
      </c>
    </row>
    <row r="124" spans="1:8" x14ac:dyDescent="0.3">
      <c r="A124" s="12" t="str">
        <f>INDEX('ei names mapping'!$B$4:$R$33,MATCH($B$3,'ei names mapping'!$A$4:$A$33,0),MATCH(G124,'ei names mapping'!$B$3:$R$3,0))</f>
        <v>Battery cell, NMC</v>
      </c>
      <c r="B124" s="14">
        <f>INDEX('vehicles specifications'!$B$3:$CK$86,MATCH(B94,'vehicles specifications'!$A$3:$A$86,0),MATCH(G124,'vehicles specifications'!$B$2:$CK$2,0))*INDEX('ei names mapping'!$B$137:$BK$220,MATCH(B94,'ei names mapping'!$A$137:$A$220,0),MATCH(G124,'ei names mapping'!$B$136:$BK$136,0))</f>
        <v>3.7499999999999996</v>
      </c>
      <c r="C124" s="12" t="str">
        <f>INDEX('ei names mapping'!$B$38:$R$67,MATCH($B$3,'ei names mapping'!$A$4:$A$33,0),MATCH(G124,'ei names mapping'!$B$3:$R$3,0))</f>
        <v>GLO</v>
      </c>
      <c r="D124" s="12" t="str">
        <f>INDEX('ei names mapping'!$B$104:$R$133,MATCH(B91,'ei names mapping'!$A$104:$A$133,0),MATCH(G124,'ei names mapping'!$B$3:$R$3,0))</f>
        <v>kilogram</v>
      </c>
      <c r="E124" s="12"/>
      <c r="F124" s="12" t="s">
        <v>91</v>
      </c>
      <c r="G124" t="s">
        <v>19</v>
      </c>
      <c r="H124" s="12" t="str">
        <f>INDEX('ei names mapping'!$B$71:$R$100,MATCH($B$3,'ei names mapping'!$A$4:$A$33,0),MATCH(G124,'ei names mapping'!$B$3:$R$3,0))</f>
        <v>Battery cell</v>
      </c>
    </row>
    <row r="125" spans="1:8" x14ac:dyDescent="0.3">
      <c r="A125" s="12" t="str">
        <f>INDEX('ei names mapping'!$B$4:$R$33,MATCH($B$3,'ei names mapping'!$A$4:$A$33,0),MATCH(G125,'ei names mapping'!$B$3:$R$3,0))</f>
        <v>Battery BoP</v>
      </c>
      <c r="B125" s="14">
        <f>INDEX('vehicles specifications'!$B$3:$CK$86,MATCH(B94,'vehicles specifications'!$A$3:$A$86,0),MATCH(G125,'vehicles specifications'!$B$2:$CK$2,0))*INDEX('ei names mapping'!$B$137:$BK$220,MATCH(B94,'ei names mapping'!$A$137:$A$220,0),MATCH(G125,'ei names mapping'!$B$136:$BK$136,0))</f>
        <v>1.1249999999999998</v>
      </c>
      <c r="C125" s="12" t="str">
        <f>INDEX('ei names mapping'!$B$38:$R$67,MATCH($B$3,'ei names mapping'!$A$4:$A$33,0),MATCH(G125,'ei names mapping'!$B$3:$R$3,0))</f>
        <v>GLO</v>
      </c>
      <c r="D125" s="12" t="str">
        <f>INDEX('ei names mapping'!$B$104:$R$133,MATCH(B91,'ei names mapping'!$A$104:$A$133,0),MATCH(G125,'ei names mapping'!$B$3:$R$3,0))</f>
        <v>kilogram</v>
      </c>
      <c r="E125" s="12"/>
      <c r="F125" s="12" t="s">
        <v>91</v>
      </c>
      <c r="G125" t="s">
        <v>20</v>
      </c>
      <c r="H125" s="12" t="str">
        <f>INDEX('ei names mapping'!$B$71:$R$100,MATCH($B$3,'ei names mapping'!$A$4:$A$33,0),MATCH(G125,'ei names mapping'!$B$3:$R$3,0))</f>
        <v>Battery BoP</v>
      </c>
    </row>
    <row r="126" spans="1:8" x14ac:dyDescent="0.3">
      <c r="A126" s="12" t="str">
        <f>INDEX('ei names mapping'!$B$4:$R$33,MATCH($B$3,'ei names mapping'!$A$4:$A$33,0),MATCH(G126,'ei names mapping'!$B$3:$R$3,0))</f>
        <v>charging station, 500W</v>
      </c>
      <c r="B126" s="14">
        <f>INDEX('vehicles specifications'!$B$3:$CK$86,MATCH(B94,'vehicles specifications'!$A$3:$A$86,0),MATCH(G126,'vehicles specifications'!$B$2:$CK$2,0))*INDEX('ei names mapping'!$B$137:$BK$220,MATCH(B94,'ei names mapping'!$A$137:$A$220,0),MATCH(G126,'ei names mapping'!$B$136:$BK$136,0))</f>
        <v>1</v>
      </c>
      <c r="C126" s="12" t="str">
        <f>INDEX('ei names mapping'!$B$38:$R$67,MATCH($B$3,'ei names mapping'!$A$4:$A$33,0),MATCH(G126,'ei names mapping'!$B$3:$R$3,0))</f>
        <v>GLO</v>
      </c>
      <c r="D126" s="12" t="str">
        <f>INDEX('ei names mapping'!$B$104:$R$133,MATCH(B91,'ei names mapping'!$A$104:$A$133,0),MATCH(G126,'ei names mapping'!$B$3:$R$3,0))</f>
        <v>unit</v>
      </c>
      <c r="E126" s="12"/>
      <c r="F126" s="12" t="s">
        <v>91</v>
      </c>
      <c r="G126" t="s">
        <v>53</v>
      </c>
      <c r="H126" s="12" t="str">
        <f>INDEX('ei names mapping'!$B$71:$R$100,MATCH($B$3,'ei names mapping'!$A$4:$A$33,0),MATCH(G126,'ei names mapping'!$B$3:$R$3,0))</f>
        <v>charging station, 500W</v>
      </c>
    </row>
    <row r="127" spans="1:8" x14ac:dyDescent="0.3">
      <c r="A127" s="12" t="str">
        <f>INDEX('ei names mapping'!$B$4:$R$33,MATCH($B$3,'ei names mapping'!$A$4:$A$33,0),MATCH(G127,'ei names mapping'!$B$3:$R$3,0))</f>
        <v>treatment of used electric bicycle</v>
      </c>
      <c r="B127" s="14">
        <f>INDEX('vehicles specifications'!$B$3:$CK$86,MATCH(B94,'vehicles specifications'!$A$3:$A$86,0),MATCH(G127,'vehicles specifications'!$B$2:$CK$2,0))*INDEX('ei names mapping'!$B$137:$BK$220,MATCH(B94,'ei names mapping'!$A$137:$A$220,0),MATCH(G127,'ei names mapping'!$B$136:$BK$136,0))</f>
        <v>-0.6333333333333333</v>
      </c>
      <c r="C127" s="12" t="str">
        <f>INDEX('ei names mapping'!$B$38:$R$67,MATCH($B$3,'ei names mapping'!$A$4:$A$33,0),MATCH(G127,'ei names mapping'!$B$3:$R$3,0))</f>
        <v>CH</v>
      </c>
      <c r="D127" s="12" t="str">
        <f>INDEX('ei names mapping'!$B$104:$R$133,MATCH(B91,'ei names mapping'!$A$104:$A$133,0),MATCH(G127,'ei names mapping'!$B$3:$R$3,0))</f>
        <v>unit</v>
      </c>
      <c r="E127" s="12"/>
      <c r="F127" s="12" t="s">
        <v>91</v>
      </c>
      <c r="G127" t="s">
        <v>150</v>
      </c>
      <c r="H127" s="12" t="str">
        <f>INDEX('ei names mapping'!$B$71:$R$100,MATCH($B$3,'ei names mapping'!$A$4:$A$33,0),MATCH(G127,'ei names mapping'!$B$3:$R$3,0))</f>
        <v>used electric bicycle</v>
      </c>
    </row>
    <row r="128" spans="1:8" x14ac:dyDescent="0.3">
      <c r="A128" s="12" t="str">
        <f>INDEX('ei names mapping'!$B$4:$R$33,MATCH($B$3,'ei names mapping'!$A$4:$A$33,0),MATCH(G128,'ei names mapping'!$B$3:$R$3,0))</f>
        <v>treatment of used electric bicycle</v>
      </c>
      <c r="B128" s="14">
        <f>INDEX('vehicles specifications'!$B$3:$CK$86,MATCH(B94,'vehicles specifications'!$A$3:$A$86,0),MATCH(G128,'vehicles specifications'!$B$2:$CK$2,0))*INDEX('ei names mapping'!$B$137:$BK$220,MATCH(B94,'ei names mapping'!$A$137:$A$220,0),MATCH(G128,'ei names mapping'!$B$136:$BK$136,0))</f>
        <v>-0.15833333333333333</v>
      </c>
      <c r="C128" s="12" t="str">
        <f>INDEX('ei names mapping'!$B$38:$R$67,MATCH($B$3,'ei names mapping'!$A$4:$A$33,0),MATCH(G128,'ei names mapping'!$B$3:$R$3,0))</f>
        <v>CH</v>
      </c>
      <c r="D128" s="12" t="str">
        <f>INDEX('ei names mapping'!$B$104:$R$133,MATCH(B91,'ei names mapping'!$A$104:$A$133,0),MATCH(G128,'ei names mapping'!$B$3:$R$3,0))</f>
        <v>unit</v>
      </c>
      <c r="E128" s="12"/>
      <c r="F128" s="12" t="s">
        <v>91</v>
      </c>
      <c r="G128" t="s">
        <v>151</v>
      </c>
      <c r="H128" s="12" t="str">
        <f>INDEX('ei names mapping'!$B$71:$R$100,MATCH($B$3,'ei names mapping'!$A$4:$A$33,0),MATCH(G128,'ei names mapping'!$B$3:$R$3,0))</f>
        <v>used electric bicycle</v>
      </c>
    </row>
    <row r="129" spans="1:8" x14ac:dyDescent="0.3">
      <c r="A129" s="12" t="str">
        <f>INDEX('ei names mapping'!$B$4:$R$33,MATCH($B$3,'ei names mapping'!$A$4:$A$33,0),MATCH(G129,'ei names mapping'!$B$3:$R$3,0))</f>
        <v>market for used Li-ion battery</v>
      </c>
      <c r="B129" s="14">
        <f>INDEX('vehicles specifications'!$B$3:$CK$86,MATCH(B94,'vehicles specifications'!$A$3:$A$86,0),MATCH(G129,'vehicles specifications'!$B$2:$CK$2,0))*INDEX('ei names mapping'!$B$137:$BK$220,MATCH(B94,'ei names mapping'!$A$137:$A$220,0),MATCH(G129,'ei names mapping'!$B$136:$BK$136,0))</f>
        <v>-4.8749999999999991</v>
      </c>
      <c r="C129" s="12" t="str">
        <f>INDEX('ei names mapping'!$B$38:$R$67,MATCH($B$3,'ei names mapping'!$A$4:$A$33,0),MATCH(G129,'ei names mapping'!$B$3:$R$3,0))</f>
        <v>GLO</v>
      </c>
      <c r="D129" s="12" t="str">
        <f>INDEX('ei names mapping'!$B$104:$R$133,MATCH(B91,'ei names mapping'!$A$104:$A$133,0),MATCH(G129,'ei names mapping'!$B$3:$R$3,0))</f>
        <v>kilogram</v>
      </c>
      <c r="E129" s="12"/>
      <c r="F129" s="12" t="s">
        <v>91</v>
      </c>
      <c r="G129" t="s">
        <v>152</v>
      </c>
      <c r="H129" s="12" t="str">
        <f>INDEX('ei names mapping'!$B$71:$R$100,MATCH($B$3,'ei names mapping'!$A$4:$A$33,0),MATCH(G129,'ei names mapping'!$B$3:$R$3,0))</f>
        <v>used Li-ion battery</v>
      </c>
    </row>
    <row r="130" spans="1:8" s="21" customFormat="1" x14ac:dyDescent="0.3">
      <c r="A130" s="22" t="s">
        <v>468</v>
      </c>
      <c r="B130" s="21">
        <f>(B104/1000)*B116</f>
        <v>22.9</v>
      </c>
      <c r="C130" s="21" t="s">
        <v>94</v>
      </c>
      <c r="D130" s="21" t="s">
        <v>243</v>
      </c>
      <c r="F130" s="21" t="s">
        <v>91</v>
      </c>
      <c r="H130" s="22" t="s">
        <v>469</v>
      </c>
    </row>
    <row r="131" spans="1:8" s="21" customFormat="1" x14ac:dyDescent="0.3">
      <c r="A131" s="22" t="s">
        <v>467</v>
      </c>
      <c r="B131" s="2">
        <f>(B104/1000)*B115</f>
        <v>364.11</v>
      </c>
      <c r="C131" s="21" t="s">
        <v>98</v>
      </c>
      <c r="D131" s="21" t="s">
        <v>243</v>
      </c>
      <c r="F131" s="21" t="s">
        <v>91</v>
      </c>
      <c r="H131" s="22" t="s">
        <v>467</v>
      </c>
    </row>
    <row r="133" spans="1:8" ht="15.6" x14ac:dyDescent="0.3">
      <c r="A133" s="11" t="s">
        <v>72</v>
      </c>
      <c r="B133" s="9" t="str">
        <f>B135&amp;", "&amp;B137</f>
        <v>Bicycle, electric (&lt;25 km/h), 2050</v>
      </c>
    </row>
    <row r="134" spans="1:8" x14ac:dyDescent="0.3">
      <c r="A134" t="s">
        <v>73</v>
      </c>
      <c r="B134" t="s">
        <v>37</v>
      </c>
    </row>
    <row r="135" spans="1:8" x14ac:dyDescent="0.3">
      <c r="A135" t="s">
        <v>87</v>
      </c>
      <c r="B135" s="21" t="s">
        <v>517</v>
      </c>
    </row>
    <row r="136" spans="1:8" x14ac:dyDescent="0.3">
      <c r="A136" t="s">
        <v>88</v>
      </c>
      <c r="B136" s="12"/>
    </row>
    <row r="137" spans="1:8" x14ac:dyDescent="0.3">
      <c r="A137" t="s">
        <v>89</v>
      </c>
      <c r="B137" s="12">
        <v>2050</v>
      </c>
    </row>
    <row r="138" spans="1:8" x14ac:dyDescent="0.3">
      <c r="A138" t="s">
        <v>131</v>
      </c>
      <c r="B138" s="12" t="str">
        <f>B135&amp;" - "&amp;B137&amp;" - "&amp;B134</f>
        <v>Bicycle, electric (&lt;25 km/h) - 2050 - CH</v>
      </c>
    </row>
    <row r="139" spans="1:8" x14ac:dyDescent="0.3">
      <c r="A139" t="s">
        <v>74</v>
      </c>
      <c r="B139" t="str">
        <f>B135</f>
        <v>Bicycle, electric (&lt;25 km/h)</v>
      </c>
    </row>
    <row r="140" spans="1:8" x14ac:dyDescent="0.3">
      <c r="A140" t="s">
        <v>75</v>
      </c>
      <c r="B140" t="s">
        <v>76</v>
      </c>
    </row>
    <row r="141" spans="1:8" x14ac:dyDescent="0.3">
      <c r="A141" t="s">
        <v>77</v>
      </c>
      <c r="B141" t="s">
        <v>77</v>
      </c>
    </row>
    <row r="142" spans="1:8" x14ac:dyDescent="0.3">
      <c r="A142" t="s">
        <v>79</v>
      </c>
      <c r="B142" t="s">
        <v>90</v>
      </c>
    </row>
    <row r="143" spans="1:8" x14ac:dyDescent="0.3">
      <c r="A143" t="s">
        <v>132</v>
      </c>
      <c r="B143">
        <f>INDEX('vehicles specifications'!$B$3:$CK$86,MATCH(B138,'vehicles specifications'!$A$3:$A$86,0),MATCH("Lifetime [km]",'vehicles specifications'!$B$2:$CK$2,0))</f>
        <v>20000</v>
      </c>
    </row>
    <row r="144" spans="1:8" x14ac:dyDescent="0.3">
      <c r="A144" t="s">
        <v>133</v>
      </c>
      <c r="B144">
        <f>INDEX('vehicles specifications'!$B$3:$CK$86,MATCH(B138,'vehicles specifications'!$A$3:$A$86,0),MATCH("Passengers [unit]",'vehicles specifications'!$B$2:$CK$2,0))</f>
        <v>1</v>
      </c>
    </row>
    <row r="145" spans="1:2" x14ac:dyDescent="0.3">
      <c r="A145" t="s">
        <v>134</v>
      </c>
      <c r="B145">
        <f>INDEX('vehicles specifications'!$B$3:$CK$86,MATCH(B138,'vehicles specifications'!$A$3:$A$86,0),MATCH("Servicing [unit]",'vehicles specifications'!$B$2:$CK$2,0))</f>
        <v>5</v>
      </c>
    </row>
    <row r="146" spans="1:2" x14ac:dyDescent="0.3">
      <c r="A146" t="s">
        <v>135</v>
      </c>
      <c r="B146">
        <f>INDEX('vehicles specifications'!$B$3:$CK$86,MATCH(B138,'vehicles specifications'!$A$3:$A$86,0),MATCH("Energy battery replacement [unit]",'vehicles specifications'!$B$2:$CK$2,0))</f>
        <v>0</v>
      </c>
    </row>
    <row r="147" spans="1:2" x14ac:dyDescent="0.3">
      <c r="A147" t="s">
        <v>136</v>
      </c>
      <c r="B147">
        <f>INDEX('vehicles specifications'!$B$3:$CK$86,MATCH(B138,'vehicles specifications'!$A$3:$A$86,0),MATCH("Annual kilometers [km]",'vehicles specifications'!$B$2:$CK$2,0))</f>
        <v>2060</v>
      </c>
    </row>
    <row r="148" spans="1:2" x14ac:dyDescent="0.3">
      <c r="A148" t="s">
        <v>137</v>
      </c>
      <c r="B148">
        <f>INDEX('vehicles specifications'!$B$3:$CK$86,MATCH(B138,'vehicles specifications'!$A$3:$A$86,0),MATCH("Curb mass [kg]",'vehicles specifications'!$B$2:$CK$2,0))</f>
        <v>22.74</v>
      </c>
    </row>
    <row r="149" spans="1:2" x14ac:dyDescent="0.3">
      <c r="A149" t="s">
        <v>138</v>
      </c>
      <c r="B149">
        <f>INDEX('vehicles specifications'!$B$3:$CK$86,MATCH(B138,'vehicles specifications'!$A$3:$A$86,0),MATCH("Power [kW]",'vehicles specifications'!$B$2:$CK$2,0))</f>
        <v>0.3</v>
      </c>
    </row>
    <row r="150" spans="1:2" x14ac:dyDescent="0.3">
      <c r="A150" t="s">
        <v>139</v>
      </c>
      <c r="B150">
        <f>INDEX('vehicles specifications'!$B$3:$CK$86,MATCH(B138,'vehicles specifications'!$A$3:$A$86,0),MATCH("Energy battery mass [kg]",'vehicles specifications'!$B$2:$CK$2,0))</f>
        <v>4.16</v>
      </c>
    </row>
    <row r="151" spans="1:2" x14ac:dyDescent="0.3">
      <c r="A151" t="s">
        <v>140</v>
      </c>
      <c r="B151">
        <f>INDEX('vehicles specifications'!$B$3:$CK$86,MATCH(B138,'vehicles specifications'!$A$3:$A$86,0),MATCH("Electric energy stored [kWh]",'vehicles specifications'!$B$2:$CK$2,0))</f>
        <v>1.6</v>
      </c>
    </row>
    <row r="152" spans="1:2" s="21" customFormat="1" x14ac:dyDescent="0.3">
      <c r="A152" s="21" t="s">
        <v>654</v>
      </c>
      <c r="B152" s="21">
        <f>INDEX('vehicles specifications'!$B$3:$CK$86,MATCH(B138,'vehicles specifications'!$A$3:$A$86,0),MATCH("Electric energy available [kWh]",'vehicles specifications'!$B$2:$CK$2,0))</f>
        <v>1.2800000000000002</v>
      </c>
    </row>
    <row r="153" spans="1:2" x14ac:dyDescent="0.3">
      <c r="A153" t="s">
        <v>143</v>
      </c>
      <c r="B153">
        <f>INDEX('vehicles specifications'!$B$3:$CK$86,MATCH(B138,'vehicles specifications'!$A$3:$A$86,0),MATCH("Oxydation energy stored [kWh]",'vehicles specifications'!$B$2:$CK$2,0))</f>
        <v>0</v>
      </c>
    </row>
    <row r="154" spans="1:2" x14ac:dyDescent="0.3">
      <c r="A154" t="s">
        <v>145</v>
      </c>
      <c r="B154">
        <f>INDEX('vehicles specifications'!$B$3:$CK$86,MATCH(B138,'vehicles specifications'!$A$3:$A$86,0),MATCH("Fuel mass [kg]",'vehicles specifications'!$B$2:$CK$2,0))</f>
        <v>0</v>
      </c>
    </row>
    <row r="155" spans="1:2" x14ac:dyDescent="0.3">
      <c r="A155" t="s">
        <v>141</v>
      </c>
      <c r="B155" s="2">
        <f>INDEX('vehicles specifications'!$B$3:$CK$86,MATCH(B138,'vehicles specifications'!$A$3:$A$86,0),MATCH("Range [km]",'vehicles specifications'!$B$2:$CK$2,0))</f>
        <v>186.78073040623721</v>
      </c>
    </row>
    <row r="156" spans="1:2" x14ac:dyDescent="0.3">
      <c r="A156" t="s">
        <v>142</v>
      </c>
      <c r="B156" t="str">
        <f>INDEX('vehicles specifications'!$B$3:$CK$86,MATCH(B138,'vehicles specifications'!$A$3:$A$86,0),MATCH("Emission standard",'vehicles specifications'!$B$2:$CK$2,0))</f>
        <v>None</v>
      </c>
    </row>
    <row r="157" spans="1:2" x14ac:dyDescent="0.3">
      <c r="A157" t="s">
        <v>144</v>
      </c>
      <c r="B157" s="6">
        <f>INDEX('vehicles specifications'!$B$3:$CK$86,MATCH(B138,'vehicles specifications'!$A$3:$A$86,0),MATCH("Lightweighting rate [%]",'vehicles specifications'!$B$2:$CK$2,0))</f>
        <v>7.0000000000000007E-2</v>
      </c>
    </row>
    <row r="158" spans="1:2" s="21" customFormat="1" x14ac:dyDescent="0.3">
      <c r="A158" s="21" t="s">
        <v>513</v>
      </c>
      <c r="B158" s="6" t="s">
        <v>514</v>
      </c>
    </row>
    <row r="159" spans="1:2" s="21" customFormat="1" x14ac:dyDescent="0.3">
      <c r="A159" s="21" t="s">
        <v>515</v>
      </c>
      <c r="B159" s="2">
        <v>15900</v>
      </c>
    </row>
    <row r="160" spans="1:2" s="21" customFormat="1" x14ac:dyDescent="0.3">
      <c r="A160" s="21" t="s">
        <v>516</v>
      </c>
      <c r="B160" s="2">
        <v>1000</v>
      </c>
    </row>
    <row r="161" spans="1:8" s="21" customFormat="1" x14ac:dyDescent="0.3">
      <c r="A161" s="21" t="s">
        <v>84</v>
      </c>
      <c r="B161" s="21" t="str">
        <f>"Power: "&amp;B149&amp;" kW. Lifetime: "&amp;B143&amp;" km. Annual kilometers: "&amp;ROUND(B147,0)&amp;" km. Number of passengers: "&amp;ROUND(B144,1)&amp;". Curb mass: "&amp;ROUND(B148,1)&amp;" kg. Lightweighting of glider: "&amp;ROUND(B157*100,0)&amp;"%. Emission standard: "&amp;B156&amp;". Service visits throughout lifetime: "&amp;ROUND(B145,1)&amp;". Range: "&amp;ROUND(B155,0)&amp;" km. Battery capacity: "&amp;ROUND(B151,1)&amp;" kWh. Available battery capacity: "&amp;B152&amp;" kWh. Battery mass: "&amp;ROUND(B150,1)&amp; " kg. Battery replacement throughout lifetime: "&amp;ROUND(B146,1)&amp;". Fuel tank capacity: "&amp;ROUND(B153,1)&amp;" kWh. Fuel mass: "&amp;ROUND(B154,1)&amp;" kg. Origin of manufacture: "&amp;B158&amp;". Shipping distance: "&amp;B159&amp;" km. Lorry distribution distance: "&amp;B160&amp;" km. Documentation: "&amp;Readmefirst!$B$2&amp;", "&amp;Readmefirst!$B$3&amp;". "&amp;'lci-kick scooter'!B142</f>
        <v>Power: 0.3 kW. Lifetime: 20000 km. Annual kilometers: 2060 km. Number of passengers: 1. Curb mass: 22.7 kg. Lightweighting of glider: 7%. Emission standard: None. Service visits throughout lifetime: 5. Range: 187 km. Battery capacity: 1.6 kWh. Available battery capacity: 1.28 kWh. Battery mass: 4.2 kg. Battery replacement throughout lifetime: 0. Fuel tank capacity: 0 kWh. Fuel mass: 0 kg. Origin of manufacture: China. Shipping distance: 15900 km. Lorry distribution distance: 1000 km. Documentation: 2021 UVEK life-cycle inventories update of on-road vehicles, Sacchi R. (PSI), Bauer C. (PSI), 2021. 1785</v>
      </c>
    </row>
    <row r="162" spans="1:8" ht="15.6" x14ac:dyDescent="0.3">
      <c r="A162" s="11" t="s">
        <v>80</v>
      </c>
    </row>
    <row r="163" spans="1:8" x14ac:dyDescent="0.3">
      <c r="A163" t="s">
        <v>81</v>
      </c>
      <c r="B163" t="s">
        <v>82</v>
      </c>
      <c r="C163" t="s">
        <v>73</v>
      </c>
      <c r="D163" t="s">
        <v>77</v>
      </c>
      <c r="E163" t="s">
        <v>83</v>
      </c>
      <c r="F163" t="s">
        <v>75</v>
      </c>
      <c r="G163" t="s">
        <v>84</v>
      </c>
      <c r="H163" t="s">
        <v>74</v>
      </c>
    </row>
    <row r="164" spans="1:8" x14ac:dyDescent="0.3">
      <c r="A164" s="12" t="str">
        <f>B133</f>
        <v>Bicycle, electric (&lt;25 km/h), 2050</v>
      </c>
      <c r="B164" s="12">
        <v>1</v>
      </c>
      <c r="C164" s="12" t="str">
        <f>B134</f>
        <v>CH</v>
      </c>
      <c r="D164" s="12" t="str">
        <f>B141</f>
        <v>unit</v>
      </c>
      <c r="E164" s="12"/>
      <c r="F164" s="12" t="s">
        <v>85</v>
      </c>
      <c r="G164" s="12" t="s">
        <v>86</v>
      </c>
      <c r="H164" s="12" t="str">
        <f>B135</f>
        <v>Bicycle, electric (&lt;25 km/h)</v>
      </c>
    </row>
    <row r="165" spans="1:8" x14ac:dyDescent="0.3">
      <c r="A165" s="12" t="str">
        <f>INDEX('ei names mapping'!$B$4:$R$33,MATCH($B$3,'ei names mapping'!$A$4:$A$33,0),MATCH(G165,'ei names mapping'!$B$3:$R$3,0))</f>
        <v>electric bicycle production, without battery and motor</v>
      </c>
      <c r="B165" s="14">
        <f>INDEX('vehicles specifications'!$B$3:$CK$86,MATCH(B138,'vehicles specifications'!$A$3:$A$86,0),MATCH(G165,'vehicles specifications'!$B$2:$CK$2,0))*INDEX('ei names mapping'!$B$137:$BK$220,MATCH(B138,'ei names mapping'!$A$137:$A$220,0),MATCH(G165,'ei names mapping'!$B$136:$BK$136,0))</f>
        <v>0.94117647058823528</v>
      </c>
      <c r="C165" s="12" t="str">
        <f>INDEX('ei names mapping'!$B$38:$R$67,MATCH($B$3,'ei names mapping'!$A$4:$A$33,0),MATCH(G165,'ei names mapping'!$B$3:$R$3,0))</f>
        <v>RER</v>
      </c>
      <c r="D165" s="12" t="str">
        <f>INDEX('ei names mapping'!$B$104:$R$133,MATCH(B135,'ei names mapping'!$A$104:$A$133,0),MATCH(G165,'ei names mapping'!$B$3:$R$3,0))</f>
        <v>unit</v>
      </c>
      <c r="E165" s="12"/>
      <c r="F165" s="12" t="s">
        <v>91</v>
      </c>
      <c r="G165" s="21" t="s">
        <v>15</v>
      </c>
      <c r="H165" s="12" t="str">
        <f>INDEX('ei names mapping'!$B$71:$R$100,MATCH($B$3,'ei names mapping'!$A$4:$A$33,0),MATCH(G165,'ei names mapping'!$B$3:$R$3,0))</f>
        <v>electric bicycle, without battery and motor</v>
      </c>
    </row>
    <row r="166" spans="1:8" x14ac:dyDescent="0.3">
      <c r="A166" s="12" t="str">
        <f>INDEX('ei names mapping'!$B$4:$R$33,MATCH($B$3,'ei names mapping'!$A$4:$A$33,0),MATCH(G166,'ei names mapping'!$B$3:$R$3,0))</f>
        <v>market for electric motor, vehicle</v>
      </c>
      <c r="B166" s="14">
        <f>INDEX('vehicles specifications'!$B$3:$CK$86,MATCH(B138,'vehicles specifications'!$A$3:$A$86,0),MATCH(G166,'vehicles specifications'!$B$2:$CK$2,0))*INDEX('ei names mapping'!$B$137:$BK$220,MATCH(B138,'ei names mapping'!$A$137:$A$220,0),MATCH(G166,'ei names mapping'!$B$136:$BK$136,0))</f>
        <v>3.7</v>
      </c>
      <c r="C166" s="12" t="str">
        <f>INDEX('ei names mapping'!$B$38:$R$67,MATCH($B$3,'ei names mapping'!$A$4:$A$33,0),MATCH(G166,'ei names mapping'!$B$3:$R$3,0))</f>
        <v>GLO</v>
      </c>
      <c r="D166" s="12" t="str">
        <f>INDEX('ei names mapping'!$B$104:$R$133,MATCH(B135,'ei names mapping'!$A$104:$A$133,0),MATCH(G166,'ei names mapping'!$B$3:$R$3,0))</f>
        <v>kilogram</v>
      </c>
      <c r="E166" s="12"/>
      <c r="F166" s="12" t="s">
        <v>91</v>
      </c>
      <c r="G166" t="s">
        <v>557</v>
      </c>
      <c r="H166" s="12" t="str">
        <f>INDEX('ei names mapping'!$B$71:$R$100,MATCH($B$3,'ei names mapping'!$A$4:$A$33,0),MATCH(G166,'ei names mapping'!$B$3:$R$3,0))</f>
        <v>electric motor, vehicle</v>
      </c>
    </row>
    <row r="167" spans="1:8" s="21" customFormat="1" x14ac:dyDescent="0.3">
      <c r="A167" s="12" t="str">
        <f>INDEX('ei names mapping'!$B$4:$R$33,MATCH(B135,'ei names mapping'!$A$4:$A$33,0),MATCH(G167,'ei names mapping'!$B$3:$R$3,0))</f>
        <v>glider lightweighting</v>
      </c>
      <c r="B167" s="16">
        <f>INDEX('vehicles specifications'!$B$3:$CK$86,MATCH(B138,'vehicles specifications'!$A$3:$A$86,0),MATCH(G167,'vehicles specifications'!$B$2:$CK$2,0))*INDEX('ei names mapping'!$B$137:$BK$220,MATCH(B138,'ei names mapping'!$A$137:$A$220,0),MATCH(G167,'ei names mapping'!$B$136:$BK$136,0))</f>
        <v>1.1200000000000001</v>
      </c>
      <c r="C167" s="12" t="str">
        <f>INDEX('ei names mapping'!$B$38:$R$67,MATCH(B135,'ei names mapping'!$A$4:$A$33,0),MATCH(G167,'ei names mapping'!$B$3:$R$3,0))</f>
        <v>GLO</v>
      </c>
      <c r="D167" s="12" t="str">
        <f>INDEX('ei names mapping'!$B$104:$R$133,MATCH(B135,'ei names mapping'!$A$104:$A$133,0),MATCH(G167,'ei names mapping'!$B$3:$R$3,0))</f>
        <v>kilogram</v>
      </c>
      <c r="E167" s="12"/>
      <c r="F167" s="12" t="s">
        <v>91</v>
      </c>
      <c r="G167" s="21" t="s">
        <v>14</v>
      </c>
      <c r="H167" s="12" t="str">
        <f>INDEX('ei names mapping'!$B$71:$R$100,MATCH(B135,'ei names mapping'!$A$4:$A$33,0),MATCH(G167,'ei names mapping'!$B$3:$R$3,0))</f>
        <v>glider lightweighting</v>
      </c>
    </row>
    <row r="168" spans="1:8" x14ac:dyDescent="0.3">
      <c r="A168" s="12" t="str">
        <f>INDEX('ei names mapping'!$B$4:$R$33,MATCH($B$3,'ei names mapping'!$A$4:$A$33,0),MATCH(G168,'ei names mapping'!$B$3:$R$3,0))</f>
        <v>Battery cell, NMC</v>
      </c>
      <c r="B168" s="14">
        <f>INDEX('vehicles specifications'!$B$3:$CK$86,MATCH(B138,'vehicles specifications'!$A$3:$A$86,0),MATCH(G168,'vehicles specifications'!$B$2:$CK$2,0))*INDEX('ei names mapping'!$B$137:$BK$220,MATCH(B138,'ei names mapping'!$A$137:$A$220,0),MATCH(G168,'ei names mapping'!$B$136:$BK$136,0))</f>
        <v>3.2</v>
      </c>
      <c r="C168" s="12" t="str">
        <f>INDEX('ei names mapping'!$B$38:$R$67,MATCH($B$3,'ei names mapping'!$A$4:$A$33,0),MATCH(G168,'ei names mapping'!$B$3:$R$3,0))</f>
        <v>GLO</v>
      </c>
      <c r="D168" s="12" t="str">
        <f>INDEX('ei names mapping'!$B$104:$R$133,MATCH(B135,'ei names mapping'!$A$104:$A$133,0),MATCH(G168,'ei names mapping'!$B$3:$R$3,0))</f>
        <v>kilogram</v>
      </c>
      <c r="E168" s="12"/>
      <c r="F168" s="12" t="s">
        <v>91</v>
      </c>
      <c r="G168" t="s">
        <v>19</v>
      </c>
      <c r="H168" s="12" t="str">
        <f>INDEX('ei names mapping'!$B$71:$R$100,MATCH($B$3,'ei names mapping'!$A$4:$A$33,0),MATCH(G168,'ei names mapping'!$B$3:$R$3,0))</f>
        <v>Battery cell</v>
      </c>
    </row>
    <row r="169" spans="1:8" x14ac:dyDescent="0.3">
      <c r="A169" s="12" t="str">
        <f>INDEX('ei names mapping'!$B$4:$R$33,MATCH($B$3,'ei names mapping'!$A$4:$A$33,0),MATCH(G169,'ei names mapping'!$B$3:$R$3,0))</f>
        <v>Battery BoP</v>
      </c>
      <c r="B169" s="14">
        <f>INDEX('vehicles specifications'!$B$3:$CK$86,MATCH(B138,'vehicles specifications'!$A$3:$A$86,0),MATCH(G169,'vehicles specifications'!$B$2:$CK$2,0))*INDEX('ei names mapping'!$B$137:$BK$220,MATCH(B138,'ei names mapping'!$A$137:$A$220,0),MATCH(G169,'ei names mapping'!$B$136:$BK$136,0))</f>
        <v>0.96</v>
      </c>
      <c r="C169" s="12" t="str">
        <f>INDEX('ei names mapping'!$B$38:$R$67,MATCH($B$3,'ei names mapping'!$A$4:$A$33,0),MATCH(G169,'ei names mapping'!$B$3:$R$3,0))</f>
        <v>GLO</v>
      </c>
      <c r="D169" s="12" t="str">
        <f>INDEX('ei names mapping'!$B$104:$R$133,MATCH(B135,'ei names mapping'!$A$104:$A$133,0),MATCH(G169,'ei names mapping'!$B$3:$R$3,0))</f>
        <v>kilogram</v>
      </c>
      <c r="E169" s="12"/>
      <c r="F169" s="12" t="s">
        <v>91</v>
      </c>
      <c r="G169" t="s">
        <v>20</v>
      </c>
      <c r="H169" s="12" t="str">
        <f>INDEX('ei names mapping'!$B$71:$R$100,MATCH($B$3,'ei names mapping'!$A$4:$A$33,0),MATCH(G169,'ei names mapping'!$B$3:$R$3,0))</f>
        <v>Battery BoP</v>
      </c>
    </row>
    <row r="170" spans="1:8" x14ac:dyDescent="0.3">
      <c r="A170" s="12" t="str">
        <f>INDEX('ei names mapping'!$B$4:$R$33,MATCH($B$3,'ei names mapping'!$A$4:$A$33,0),MATCH(G170,'ei names mapping'!$B$3:$R$3,0))</f>
        <v>charging station, 500W</v>
      </c>
      <c r="B170" s="14">
        <f>INDEX('vehicles specifications'!$B$3:$CK$86,MATCH(B138,'vehicles specifications'!$A$3:$A$86,0),MATCH(G170,'vehicles specifications'!$B$2:$CK$2,0))*INDEX('ei names mapping'!$B$137:$BK$220,MATCH(B138,'ei names mapping'!$A$137:$A$220,0),MATCH(G170,'ei names mapping'!$B$136:$BK$136,0))</f>
        <v>1</v>
      </c>
      <c r="C170" s="12" t="str">
        <f>INDEX('ei names mapping'!$B$38:$R$67,MATCH($B$3,'ei names mapping'!$A$4:$A$33,0),MATCH(G170,'ei names mapping'!$B$3:$R$3,0))</f>
        <v>GLO</v>
      </c>
      <c r="D170" s="12" t="str">
        <f>INDEX('ei names mapping'!$B$104:$R$133,MATCH(B135,'ei names mapping'!$A$104:$A$133,0),MATCH(G170,'ei names mapping'!$B$3:$R$3,0))</f>
        <v>unit</v>
      </c>
      <c r="E170" s="12"/>
      <c r="F170" s="12" t="s">
        <v>91</v>
      </c>
      <c r="G170" t="s">
        <v>53</v>
      </c>
      <c r="H170" s="12" t="str">
        <f>INDEX('ei names mapping'!$B$71:$R$100,MATCH($B$3,'ei names mapping'!$A$4:$A$33,0),MATCH(G170,'ei names mapping'!$B$3:$R$3,0))</f>
        <v>charging station, 500W</v>
      </c>
    </row>
    <row r="171" spans="1:8" x14ac:dyDescent="0.3">
      <c r="A171" s="12" t="str">
        <f>INDEX('ei names mapping'!$B$4:$R$33,MATCH($B$3,'ei names mapping'!$A$4:$A$33,0),MATCH(G171,'ei names mapping'!$B$3:$R$3,0))</f>
        <v>treatment of used electric bicycle</v>
      </c>
      <c r="B171" s="14">
        <f>INDEX('vehicles specifications'!$B$3:$CK$86,MATCH(B138,'vehicles specifications'!$A$3:$A$86,0),MATCH(G171,'vehicles specifications'!$B$2:$CK$2,0))*INDEX('ei names mapping'!$B$137:$BK$220,MATCH(B138,'ei names mapping'!$A$137:$A$220,0),MATCH(G171,'ei names mapping'!$B$136:$BK$136,0))</f>
        <v>-0.61999999999999988</v>
      </c>
      <c r="C171" s="12" t="str">
        <f>INDEX('ei names mapping'!$B$38:$R$67,MATCH($B$3,'ei names mapping'!$A$4:$A$33,0),MATCH(G171,'ei names mapping'!$B$3:$R$3,0))</f>
        <v>CH</v>
      </c>
      <c r="D171" s="12" t="str">
        <f>INDEX('ei names mapping'!$B$104:$R$133,MATCH(B135,'ei names mapping'!$A$104:$A$133,0),MATCH(G171,'ei names mapping'!$B$3:$R$3,0))</f>
        <v>unit</v>
      </c>
      <c r="E171" s="12"/>
      <c r="F171" s="12" t="s">
        <v>91</v>
      </c>
      <c r="G171" t="s">
        <v>150</v>
      </c>
      <c r="H171" s="12" t="str">
        <f>INDEX('ei names mapping'!$B$71:$R$100,MATCH($B$3,'ei names mapping'!$A$4:$A$33,0),MATCH(G171,'ei names mapping'!$B$3:$R$3,0))</f>
        <v>used electric bicycle</v>
      </c>
    </row>
    <row r="172" spans="1:8" x14ac:dyDescent="0.3">
      <c r="A172" s="12" t="str">
        <f>INDEX('ei names mapping'!$B$4:$R$33,MATCH($B$3,'ei names mapping'!$A$4:$A$33,0),MATCH(G172,'ei names mapping'!$B$3:$R$3,0))</f>
        <v>treatment of used electric bicycle</v>
      </c>
      <c r="B172" s="14">
        <f>INDEX('vehicles specifications'!$B$3:$CK$86,MATCH(B138,'vehicles specifications'!$A$3:$A$86,0),MATCH(G172,'vehicles specifications'!$B$2:$CK$2,0))*INDEX('ei names mapping'!$B$137:$BK$220,MATCH(B138,'ei names mapping'!$A$137:$A$220,0),MATCH(G172,'ei names mapping'!$B$136:$BK$136,0))</f>
        <v>-0.15416666666666667</v>
      </c>
      <c r="C172" s="12" t="str">
        <f>INDEX('ei names mapping'!$B$38:$R$67,MATCH($B$3,'ei names mapping'!$A$4:$A$33,0),MATCH(G172,'ei names mapping'!$B$3:$R$3,0))</f>
        <v>CH</v>
      </c>
      <c r="D172" s="12" t="str">
        <f>INDEX('ei names mapping'!$B$104:$R$133,MATCH(B135,'ei names mapping'!$A$104:$A$133,0),MATCH(G172,'ei names mapping'!$B$3:$R$3,0))</f>
        <v>unit</v>
      </c>
      <c r="E172" s="12"/>
      <c r="F172" s="12" t="s">
        <v>91</v>
      </c>
      <c r="G172" t="s">
        <v>151</v>
      </c>
      <c r="H172" s="12" t="str">
        <f>INDEX('ei names mapping'!$B$71:$R$100,MATCH($B$3,'ei names mapping'!$A$4:$A$33,0),MATCH(G172,'ei names mapping'!$B$3:$R$3,0))</f>
        <v>used electric bicycle</v>
      </c>
    </row>
    <row r="173" spans="1:8" x14ac:dyDescent="0.3">
      <c r="A173" s="12" t="str">
        <f>INDEX('ei names mapping'!$B$4:$R$33,MATCH($B$3,'ei names mapping'!$A$4:$A$33,0),MATCH(G173,'ei names mapping'!$B$3:$R$3,0))</f>
        <v>market for used Li-ion battery</v>
      </c>
      <c r="B173" s="14">
        <f>INDEX('vehicles specifications'!$B$3:$CK$86,MATCH(B138,'vehicles specifications'!$A$3:$A$86,0),MATCH(G173,'vehicles specifications'!$B$2:$CK$2,0))*INDEX('ei names mapping'!$B$137:$BK$220,MATCH(B138,'ei names mapping'!$A$137:$A$220,0),MATCH(G173,'ei names mapping'!$B$136:$BK$136,0))</f>
        <v>-4.16</v>
      </c>
      <c r="C173" s="12" t="str">
        <f>INDEX('ei names mapping'!$B$38:$R$67,MATCH($B$3,'ei names mapping'!$A$4:$A$33,0),MATCH(G173,'ei names mapping'!$B$3:$R$3,0))</f>
        <v>GLO</v>
      </c>
      <c r="D173" s="12" t="str">
        <f>INDEX('ei names mapping'!$B$104:$R$133,MATCH(B135,'ei names mapping'!$A$104:$A$133,0),MATCH(G173,'ei names mapping'!$B$3:$R$3,0))</f>
        <v>kilogram</v>
      </c>
      <c r="E173" s="12"/>
      <c r="F173" s="12" t="s">
        <v>91</v>
      </c>
      <c r="G173" t="s">
        <v>152</v>
      </c>
      <c r="H173" s="12" t="str">
        <f>INDEX('ei names mapping'!$B$71:$R$100,MATCH($B$3,'ei names mapping'!$A$4:$A$33,0),MATCH(G173,'ei names mapping'!$B$3:$R$3,0))</f>
        <v>used Li-ion battery</v>
      </c>
    </row>
    <row r="174" spans="1:8" s="21" customFormat="1" x14ac:dyDescent="0.3">
      <c r="A174" s="22" t="s">
        <v>468</v>
      </c>
      <c r="B174" s="21">
        <f>(B148/1000)*B160</f>
        <v>22.74</v>
      </c>
      <c r="C174" s="21" t="s">
        <v>94</v>
      </c>
      <c r="D174" s="21" t="s">
        <v>243</v>
      </c>
      <c r="F174" s="21" t="s">
        <v>91</v>
      </c>
      <c r="H174" s="22" t="s">
        <v>469</v>
      </c>
    </row>
    <row r="175" spans="1:8" s="21" customFormat="1" x14ac:dyDescent="0.3">
      <c r="A175" s="22" t="s">
        <v>467</v>
      </c>
      <c r="B175" s="2">
        <f>(B148/1000)*B159</f>
        <v>361.56599999999997</v>
      </c>
      <c r="C175" s="21" t="s">
        <v>98</v>
      </c>
      <c r="D175" s="21" t="s">
        <v>243</v>
      </c>
      <c r="F175" s="21" t="s">
        <v>91</v>
      </c>
      <c r="H175" s="22" t="s">
        <v>467</v>
      </c>
    </row>
    <row r="178" spans="1:2" ht="15.6" x14ac:dyDescent="0.3">
      <c r="A178" s="11" t="s">
        <v>72</v>
      </c>
      <c r="B178" s="9" t="str">
        <f>"transport, "&amp;B180&amp;", "&amp;B182</f>
        <v>transport, Bicycle, electric (&lt;25 km/h), 2020</v>
      </c>
    </row>
    <row r="179" spans="1:2" x14ac:dyDescent="0.3">
      <c r="A179" t="s">
        <v>73</v>
      </c>
      <c r="B179" t="s">
        <v>37</v>
      </c>
    </row>
    <row r="180" spans="1:2" x14ac:dyDescent="0.3">
      <c r="A180" t="s">
        <v>87</v>
      </c>
      <c r="B180" t="s">
        <v>517</v>
      </c>
    </row>
    <row r="181" spans="1:2" x14ac:dyDescent="0.3">
      <c r="A181" t="s">
        <v>88</v>
      </c>
      <c r="B181" s="12"/>
    </row>
    <row r="182" spans="1:2" x14ac:dyDescent="0.3">
      <c r="A182" t="s">
        <v>89</v>
      </c>
      <c r="B182" s="12">
        <v>2020</v>
      </c>
    </row>
    <row r="183" spans="1:2" x14ac:dyDescent="0.3">
      <c r="A183" t="s">
        <v>131</v>
      </c>
      <c r="B183" s="12" t="str">
        <f>B180&amp;" - "&amp;B182&amp;" - "&amp;B179</f>
        <v>Bicycle, electric (&lt;25 km/h) - 2020 - CH</v>
      </c>
    </row>
    <row r="184" spans="1:2" x14ac:dyDescent="0.3">
      <c r="A184" t="s">
        <v>74</v>
      </c>
      <c r="B184" t="str">
        <f>"transport, "&amp;B180</f>
        <v>transport, Bicycle, electric (&lt;25 km/h)</v>
      </c>
    </row>
    <row r="185" spans="1:2" x14ac:dyDescent="0.3">
      <c r="A185" t="s">
        <v>75</v>
      </c>
      <c r="B185" t="s">
        <v>76</v>
      </c>
    </row>
    <row r="186" spans="1:2" x14ac:dyDescent="0.3">
      <c r="A186" t="s">
        <v>77</v>
      </c>
      <c r="B186" t="s">
        <v>172</v>
      </c>
    </row>
    <row r="187" spans="1:2" x14ac:dyDescent="0.3">
      <c r="A187" t="s">
        <v>79</v>
      </c>
      <c r="B187" t="s">
        <v>90</v>
      </c>
    </row>
    <row r="188" spans="1:2" x14ac:dyDescent="0.3">
      <c r="A188" t="s">
        <v>132</v>
      </c>
      <c r="B188">
        <f>INDEX('vehicles specifications'!$B$3:$CK$86,MATCH(B183,'vehicles specifications'!$A$3:$A$86,0),MATCH("Lifetime [km]",'vehicles specifications'!$B$2:$CK$2,0))</f>
        <v>20000</v>
      </c>
    </row>
    <row r="189" spans="1:2" x14ac:dyDescent="0.3">
      <c r="A189" t="s">
        <v>133</v>
      </c>
      <c r="B189">
        <f>INDEX('vehicles specifications'!$B$3:$CK$86,MATCH(B183,'vehicles specifications'!$A$3:$A$86,0),MATCH("Passengers [unit]",'vehicles specifications'!$B$2:$CK$2,0))</f>
        <v>1</v>
      </c>
    </row>
    <row r="190" spans="1:2" x14ac:dyDescent="0.3">
      <c r="A190" t="s">
        <v>134</v>
      </c>
      <c r="B190">
        <f>INDEX('vehicles specifications'!$B$3:$CK$86,MATCH(B183,'vehicles specifications'!$A$3:$A$86,0),MATCH("Servicing [unit]",'vehicles specifications'!$B$2:$CK$2,0))</f>
        <v>5</v>
      </c>
    </row>
    <row r="191" spans="1:2" x14ac:dyDescent="0.3">
      <c r="A191" t="s">
        <v>135</v>
      </c>
      <c r="B191">
        <f>INDEX('vehicles specifications'!$B$3:$CK$86,MATCH(B183,'vehicles specifications'!$A$3:$A$86,0),MATCH("Energy battery replacement [unit]",'vehicles specifications'!$B$2:$CK$2,0))</f>
        <v>1</v>
      </c>
    </row>
    <row r="192" spans="1:2" x14ac:dyDescent="0.3">
      <c r="A192" t="s">
        <v>136</v>
      </c>
      <c r="B192">
        <f>INDEX('vehicles specifications'!$B$3:$CK$86,MATCH(B183,'vehicles specifications'!$A$3:$A$86,0),MATCH("Annual kilometers [km]",'vehicles specifications'!$B$2:$CK$2,0))</f>
        <v>2060</v>
      </c>
    </row>
    <row r="193" spans="1:8" x14ac:dyDescent="0.3">
      <c r="A193" t="s">
        <v>137</v>
      </c>
      <c r="B193">
        <f>INDEX('vehicles specifications'!$B$3:$CK$86,MATCH(B183,'vehicles specifications'!$A$3:$A$86,0),MATCH("Curb mass [kg]",'vehicles specifications'!$B$2:$CK$2,0))</f>
        <v>23.25</v>
      </c>
    </row>
    <row r="194" spans="1:8" x14ac:dyDescent="0.3">
      <c r="A194" t="s">
        <v>138</v>
      </c>
      <c r="B194">
        <f>INDEX('vehicles specifications'!$B$3:$CK$86,MATCH(B183,'vehicles specifications'!$A$3:$A$86,0),MATCH("Power [kW]",'vehicles specifications'!$B$2:$CK$2,0))</f>
        <v>0.3</v>
      </c>
    </row>
    <row r="195" spans="1:8" x14ac:dyDescent="0.3">
      <c r="A195" t="s">
        <v>139</v>
      </c>
      <c r="B195">
        <f>INDEX('vehicles specifications'!$B$3:$CK$86,MATCH(B183,'vehicles specifications'!$A$3:$A$86,0),MATCH("Energy battery mass [kg]",'vehicles specifications'!$B$2:$CK$2,0))</f>
        <v>3.25</v>
      </c>
    </row>
    <row r="196" spans="1:8" x14ac:dyDescent="0.3">
      <c r="A196" t="s">
        <v>140</v>
      </c>
      <c r="B196">
        <f>INDEX('vehicles specifications'!$B$3:$CK$86,MATCH(B183,'vehicles specifications'!$A$3:$A$86,0),MATCH("Electric energy stored [kWh]",'vehicles specifications'!$B$2:$CK$2,0))</f>
        <v>0.5</v>
      </c>
    </row>
    <row r="197" spans="1:8" s="21" customFormat="1" x14ac:dyDescent="0.3">
      <c r="A197" s="21" t="s">
        <v>654</v>
      </c>
      <c r="B197" s="21">
        <f>INDEX('vehicles specifications'!$B$3:$CK$86,MATCH(B183,'vehicles specifications'!$A$3:$A$86,0),MATCH("Electric energy available [kWh]",'vehicles specifications'!$B$2:$CK$2,0))</f>
        <v>0.4</v>
      </c>
    </row>
    <row r="198" spans="1:8" x14ac:dyDescent="0.3">
      <c r="A198" t="s">
        <v>143</v>
      </c>
      <c r="B198">
        <f>INDEX('vehicles specifications'!$B$3:$CK$86,MATCH(B183,'vehicles specifications'!$A$3:$A$86,0),MATCH("Oxydation energy stored [kWh]",'vehicles specifications'!$B$2:$CK$2,0))</f>
        <v>0</v>
      </c>
    </row>
    <row r="199" spans="1:8" x14ac:dyDescent="0.3">
      <c r="A199" t="s">
        <v>145</v>
      </c>
      <c r="B199">
        <f>INDEX('vehicles specifications'!$B$3:$CK$86,MATCH(B183,'vehicles specifications'!$A$3:$A$86,0),MATCH("Fuel mass [kg]",'vehicles specifications'!$B$2:$CK$2,0))</f>
        <v>0</v>
      </c>
    </row>
    <row r="200" spans="1:8" x14ac:dyDescent="0.3">
      <c r="A200" t="s">
        <v>141</v>
      </c>
      <c r="B200" s="2">
        <f>INDEX('vehicles specifications'!$B$3:$CK$86,MATCH(B183,'vehicles specifications'!$A$3:$A$86,0),MATCH("Range [km]",'vehicles specifications'!$B$2:$CK$2,0))</f>
        <v>58.368978251949123</v>
      </c>
    </row>
    <row r="201" spans="1:8" x14ac:dyDescent="0.3">
      <c r="A201" t="s">
        <v>142</v>
      </c>
      <c r="B201" t="str">
        <f>INDEX('vehicles specifications'!$B$3:$CK$86,MATCH(B183,'vehicles specifications'!$A$3:$A$86,0),MATCH("Emission standard",'vehicles specifications'!$B$2:$CK$2,0))</f>
        <v>None</v>
      </c>
    </row>
    <row r="202" spans="1:8" x14ac:dyDescent="0.3">
      <c r="A202" t="s">
        <v>144</v>
      </c>
      <c r="B202" s="6">
        <f>INDEX('vehicles specifications'!$B$3:$CK$86,MATCH(B183,'vehicles specifications'!$A$3:$A$86,0),MATCH("Lightweighting rate [%]",'vehicles specifications'!$B$2:$CK$2,0))</f>
        <v>0</v>
      </c>
    </row>
    <row r="203" spans="1:8" x14ac:dyDescent="0.3">
      <c r="A203" t="s">
        <v>84</v>
      </c>
      <c r="B203" s="21" t="str">
        <f>"Power: "&amp;B194&amp;" kW. Lifetime: "&amp;B188&amp;" km. Annual kilometers: "&amp;B192&amp;" km. Number of passengers: "&amp;B189&amp;". Curb mass: "&amp;ROUND(B193,1)&amp;" kg. Lightweighting of glider: "&amp;ROUND(B202*100,0)&amp;"%. Emission standard: "&amp;B201&amp;". Service visits throughout lifetime: "&amp;ROUND(B190,1)&amp;". Range: "&amp;ROUND(B200,0)&amp;" km. Battery capacity: "&amp;ROUND(B196,1)&amp;" kWh. Available battery capacity: "&amp;B197&amp;" kWh. Battery mass: "&amp;ROUND(B195,1)&amp; " kg. Battery replacement throughout lifetime: "&amp;ROUND(B191,1)&amp;". Fuel tank capacity: "&amp;ROUND(B198,1)&amp;" kWh. Fuel mass: "&amp;ROUND(B199,1)&amp;" kg. Documentation: "&amp;Readmefirst!$B$2&amp;", "&amp;Readmefirst!$B$3&amp;". "&amp;B187</f>
        <v>Power: 0.3 kW. Lifetime: 20000 km. Annual kilometers: 2060 km. Number of passengers: 1. Curb mass: 23.3 kg. Lightweighting of glider: 0%. Emission standard: None. Service visits throughout lifetime: 5. Range: 58 km. Battery capacity: 0.5 kWh. Available battery capacity: 0.4 kWh. Battery mass: 3.3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4" spans="1:8" ht="15.6" x14ac:dyDescent="0.3">
      <c r="A204" s="11" t="s">
        <v>80</v>
      </c>
    </row>
    <row r="205" spans="1:8" x14ac:dyDescent="0.3">
      <c r="A205" t="s">
        <v>81</v>
      </c>
      <c r="B205" t="s">
        <v>82</v>
      </c>
      <c r="C205" t="s">
        <v>73</v>
      </c>
      <c r="D205" t="s">
        <v>77</v>
      </c>
      <c r="E205" t="s">
        <v>83</v>
      </c>
      <c r="F205" t="s">
        <v>75</v>
      </c>
      <c r="G205" t="s">
        <v>84</v>
      </c>
      <c r="H205" t="s">
        <v>74</v>
      </c>
    </row>
    <row r="206" spans="1:8" x14ac:dyDescent="0.3">
      <c r="A206" s="12" t="str">
        <f>B178</f>
        <v>transport, Bicycle, electric (&lt;25 km/h), 2020</v>
      </c>
      <c r="B206" s="12">
        <v>1</v>
      </c>
      <c r="C206" s="12" t="str">
        <f>B179</f>
        <v>CH</v>
      </c>
      <c r="D206" s="12" t="s">
        <v>172</v>
      </c>
      <c r="E206" s="12"/>
      <c r="F206" s="12" t="s">
        <v>85</v>
      </c>
      <c r="G206" s="12" t="s">
        <v>86</v>
      </c>
      <c r="H206" s="12" t="str">
        <f>B184</f>
        <v>transport, Bicycle, electric (&lt;25 km/h)</v>
      </c>
    </row>
    <row r="207" spans="1:8" x14ac:dyDescent="0.3">
      <c r="A207" s="12" t="str">
        <f>RIGHT(A206,LEN(A206)-11)</f>
        <v>Bicycle, electric (&lt;25 km/h), 2020</v>
      </c>
      <c r="B207" s="12">
        <f>1/B188</f>
        <v>5.0000000000000002E-5</v>
      </c>
      <c r="C207" s="12" t="str">
        <f>B179</f>
        <v>CH</v>
      </c>
      <c r="D207" s="12" t="s">
        <v>77</v>
      </c>
      <c r="E207" s="12"/>
      <c r="F207" s="12" t="s">
        <v>91</v>
      </c>
      <c r="G207" s="12"/>
      <c r="H207" s="12" t="str">
        <f>RIGHT(H206,LEN(H206)-11)</f>
        <v>Bicycle, electric (&lt;25 km/h)</v>
      </c>
    </row>
    <row r="208" spans="1:8" s="21" customFormat="1" x14ac:dyDescent="0.3">
      <c r="A208" s="12" t="str">
        <f>INDEX('ei names mapping'!$B$4:$R$33,MATCH(B180,'ei names mapping'!$A$4:$A$33,0),MATCH(G208,'ei names mapping'!$B$3:$R$3,0))</f>
        <v>road construction</v>
      </c>
      <c r="B208" s="16">
        <f>INDEX('vehicles specifications'!$B$3:$CK$86,MATCH(B183,'vehicles specifications'!$A$3:$A$86,0),MATCH(G208,'vehicles specifications'!$B$2:$CK$2,0))*INDEX('ei names mapping'!$B$137:$BK$220,MATCH(B183,'ei names mapping'!$A$137:$A$220,0),MATCH(G208,'ei names mapping'!$B$136:$BK$136,0))</f>
        <v>5.061225E-5</v>
      </c>
      <c r="C208" s="12" t="str">
        <f>INDEX('ei names mapping'!$B$38:$R$67,MATCH(B180,'ei names mapping'!$A$4:$A$33,0),MATCH(G208,'ei names mapping'!$B$3:$R$3,0))</f>
        <v>CH</v>
      </c>
      <c r="D208" s="12" t="str">
        <f>INDEX('ei names mapping'!$B$104:$BK$133,MATCH(B180,'ei names mapping'!$A$4:$A$33,0),MATCH(G208,'ei names mapping'!$B$3:$BK$3,0))</f>
        <v>meter-year</v>
      </c>
      <c r="E208" s="12"/>
      <c r="F208" s="12" t="s">
        <v>91</v>
      </c>
      <c r="G208" s="21" t="s">
        <v>108</v>
      </c>
      <c r="H208" s="12" t="str">
        <f>INDEX('ei names mapping'!$B$71:$BK$100,MATCH(B180,'ei names mapping'!$A$4:$A$33,0),MATCH(G208,'ei names mapping'!$B$3:$BK$3,0))</f>
        <v>road</v>
      </c>
    </row>
    <row r="209" spans="1:8" x14ac:dyDescent="0.3">
      <c r="A209" s="12" t="str">
        <f>INDEX('ei names mapping'!$B$4:$R$33,MATCH($B$3,'ei names mapping'!$A$4:$A$33,0),MATCH(G209,'ei names mapping'!$B$3:$R$3,0))</f>
        <v>market for electricity, low voltage</v>
      </c>
      <c r="B209" s="14">
        <f>INDEX('vehicles specifications'!$B$3:$CK$86,MATCH(B183,'vehicles specifications'!$A$3:$A$86,0),MATCH(G209,'vehicles specifications'!$B$2:$CK$2,0))*INDEX('ei names mapping'!$B$137:$BK$220,MATCH(B183,'ei names mapping'!$A$137:$A$220,0),MATCH(G209,'ei names mapping'!$B$136:$BK$136,0))</f>
        <v>7.5382508513468297E-3</v>
      </c>
      <c r="C209" s="12" t="str">
        <f>INDEX('ei names mapping'!$B$38:$R$67,MATCH($B$3,'ei names mapping'!$A$4:$A$33,0),MATCH(G209,'ei names mapping'!$B$3:$R$3,0))</f>
        <v>CH</v>
      </c>
      <c r="D209" s="12" t="str">
        <f>INDEX('ei names mapping'!$B$104:$R$133,MATCH($B$3,'ei names mapping'!$A$4:$A$33,0),MATCH(G209,'ei names mapping'!$B$3:$R$3,0))</f>
        <v>kilowatt hour</v>
      </c>
      <c r="E209" s="12"/>
      <c r="F209" s="12" t="s">
        <v>91</v>
      </c>
      <c r="G209" t="s">
        <v>28</v>
      </c>
      <c r="H209" s="12" t="str">
        <f>INDEX('ei names mapping'!$B$71:$R$100,MATCH($B$3,'ei names mapping'!$A$4:$A$33,0),MATCH(G209,'ei names mapping'!$B$3:$R$3,0))</f>
        <v>electricity, low voltage</v>
      </c>
    </row>
    <row r="210" spans="1:8" x14ac:dyDescent="0.3">
      <c r="A210" s="12" t="str">
        <f>INDEX('ei names mapping'!$B$4:$R$33,MATCH($B$3,'ei names mapping'!$A$4:$A$33,0),MATCH(G210,'ei names mapping'!$B$3:$R$3,0))</f>
        <v>maintenance, electric bicycle, without battery</v>
      </c>
      <c r="B210" s="14">
        <f>INDEX('vehicles specifications'!$B$3:$CK$86,MATCH(B183,'vehicles specifications'!$A$3:$A$86,0),MATCH(G210,'vehicles specifications'!$B$2:$CK$2,0))*INDEX('ei names mapping'!$B$137:$BK$220,MATCH(B183,'ei names mapping'!$A$137:$A$220,0),MATCH(G210,'ei names mapping'!$B$136:$BK$136,0))</f>
        <v>2.5000000000000001E-4</v>
      </c>
      <c r="C210" s="12" t="str">
        <f>INDEX('ei names mapping'!$B$38:$R$67,MATCH($B$3,'ei names mapping'!$A$4:$A$33,0),MATCH(G210,'ei names mapping'!$B$3:$R$3,0))</f>
        <v>CH</v>
      </c>
      <c r="D210" s="12" t="str">
        <f>INDEX('ei names mapping'!$B$104:$R$133,MATCH($B$3,'ei names mapping'!$A$4:$A$33,0),MATCH(G210,'ei names mapping'!$B$3:$R$3,0))</f>
        <v>unit</v>
      </c>
      <c r="E210" s="12"/>
      <c r="F210" s="12" t="s">
        <v>91</v>
      </c>
      <c r="G210" t="s">
        <v>123</v>
      </c>
      <c r="H210" s="12" t="str">
        <f>INDEX('ei names mapping'!$B$71:$R$100,MATCH($B$3,'ei names mapping'!$A$4:$A$33,0),MATCH(G210,'ei names mapping'!$B$3:$R$3,0))</f>
        <v>maintenance, electric bicycle, without battery</v>
      </c>
    </row>
    <row r="211" spans="1:8" x14ac:dyDescent="0.3">
      <c r="A211" s="12" t="str">
        <f>INDEX('ei names mapping'!$B$4:$BK$33,MATCH($B$180,'ei names mapping'!$A$4:$A$33,0),MATCH(G211,'ei names mapping'!$B$3:$BK$3,0))</f>
        <v>treatment of road wear emissions, passenger car</v>
      </c>
      <c r="B211" s="15">
        <f>INDEX('vehicles specifications'!$B$3:$CK$86,MATCH(B183,'vehicles specifications'!$A$3:$A$86,0),MATCH(G211,'vehicles specifications'!$B$2:$CK$2,0))*INDEX('ei names mapping'!$B$137:$BK$220,MATCH(B183,'ei names mapping'!$A$137:$A$220,0),MATCH(G211,'ei names mapping'!$B$136:$BK$136,0))</f>
        <v>-3.0000000000000001E-6</v>
      </c>
      <c r="C211" s="12" t="str">
        <f>INDEX('ei names mapping'!$B$38:$BK$67,MATCH($B$180,'ei names mapping'!$A$4:$A$33,0),MATCH(G211,'ei names mapping'!$B$3:$BK$3,0))</f>
        <v>RER</v>
      </c>
      <c r="D211" s="12" t="str">
        <f>INDEX('ei names mapping'!$B$104:$BK$133,MATCH($B$180,'ei names mapping'!$A$4:$A$33,0),MATCH(G211,'ei names mapping'!$B$3:$BK$3,0))</f>
        <v>kilogram</v>
      </c>
      <c r="E211" s="12"/>
      <c r="F211" s="12" t="s">
        <v>91</v>
      </c>
      <c r="G211" t="s">
        <v>29</v>
      </c>
      <c r="H211" s="12" t="str">
        <f>INDEX('ei names mapping'!$B$71:$BK$100,MATCH(B180,'ei names mapping'!$A$4:$A$33,0),MATCH(G211,'ei names mapping'!$B$3:$BK$3,0))</f>
        <v>road wear emissions, passenger car</v>
      </c>
    </row>
    <row r="212" spans="1:8" x14ac:dyDescent="0.3">
      <c r="A212" s="12" t="str">
        <f>INDEX('ei names mapping'!$B$4:$BK$33,MATCH($B$180,'ei names mapping'!$A$4:$A$33,0),MATCH(G212,'ei names mapping'!$B$3:$BK$3,0))</f>
        <v>treatment of tyre wear emissions, passenger car</v>
      </c>
      <c r="B212" s="15">
        <f>INDEX('vehicles specifications'!$B$3:$CK$86,MATCH(B183,'vehicles specifications'!$A$3:$A$86,0),MATCH(G212,'vehicles specifications'!$B$2:$CK$2,0))*INDEX('ei names mapping'!$B$137:$BK$220,MATCH(B183,'ei names mapping'!$A$137:$A$220,0),MATCH(G212,'ei names mapping'!$B$136:$BK$136,0))</f>
        <v>-2.9189999999999999E-6</v>
      </c>
      <c r="C212" s="12" t="str">
        <f>INDEX('ei names mapping'!$B$38:$BK$67,MATCH($B$180,'ei names mapping'!$A$4:$A$33,0),MATCH(G212,'ei names mapping'!$B$3:$BK$3,0))</f>
        <v>RER</v>
      </c>
      <c r="D212" s="12" t="str">
        <f>INDEX('ei names mapping'!$B$104:$BK$133,MATCH($B$180,'ei names mapping'!$A$4:$A$33,0),MATCH(G212,'ei names mapping'!$B$3:$BK$3,0))</f>
        <v>kilogram</v>
      </c>
      <c r="E212" s="12"/>
      <c r="F212" s="12" t="s">
        <v>91</v>
      </c>
      <c r="G212" t="s">
        <v>30</v>
      </c>
      <c r="H212" s="12" t="str">
        <f>INDEX('ei names mapping'!$B$71:$BK$100,MATCH($B$180,'ei names mapping'!$A$4:$A$33,0),MATCH(G212,'ei names mapping'!$B$3:$BK$3,0))</f>
        <v>tyre wear emissions, passenger car</v>
      </c>
    </row>
    <row r="213" spans="1:8" x14ac:dyDescent="0.3">
      <c r="A213" s="12" t="str">
        <f>INDEX('ei names mapping'!$B$4:$BK$33,MATCH($B$180,'ei names mapping'!$A$4:$A$33,0),MATCH(G213,'ei names mapping'!$B$3:$BK$3,0))</f>
        <v>treatment of brake wear emissions, passenger car</v>
      </c>
      <c r="B213" s="15">
        <f>INDEX('vehicles specifications'!$B$3:$CK$86,MATCH(B183,'vehicles specifications'!$A$3:$A$86,0),MATCH(G213,'vehicles specifications'!$B$2:$CK$2,0))*INDEX('ei names mapping'!$B$137:$BK$220,MATCH(B183,'ei names mapping'!$A$137:$A$220,0),MATCH(G213,'ei names mapping'!$B$136:$BK$136,0))</f>
        <v>-1.8370000000000002E-6</v>
      </c>
      <c r="C213" s="12" t="str">
        <f>INDEX('ei names mapping'!$B$38:$BK$67,MATCH($B$180,'ei names mapping'!$A$4:$A$33,0),MATCH(G213,'ei names mapping'!$B$3:$BK$3,0))</f>
        <v>RER</v>
      </c>
      <c r="D213" s="12" t="str">
        <f>INDEX('ei names mapping'!$B$104:$BK$133,MATCH($B$180,'ei names mapping'!$A$4:$A$33,0),MATCH(G213,'ei names mapping'!$B$3:$BK$3,0))</f>
        <v>kilogram</v>
      </c>
      <c r="E213" s="12"/>
      <c r="F213" s="12" t="s">
        <v>91</v>
      </c>
      <c r="G213" t="s">
        <v>31</v>
      </c>
      <c r="H213" s="12" t="str">
        <f>INDEX('ei names mapping'!$B$71:$BK$100,MATCH($B$180,'ei names mapping'!$A$4:$A$33,0),MATCH(G213,'ei names mapping'!$B$3:$BK$3,0))</f>
        <v>brake wear emissions, passenger car</v>
      </c>
    </row>
    <row r="215" spans="1:8" ht="15.6" x14ac:dyDescent="0.3">
      <c r="A215" s="11" t="s">
        <v>72</v>
      </c>
      <c r="B215" s="9" t="str">
        <f>"transport, "&amp;B217&amp;", "&amp;B219</f>
        <v>transport, Bicycle, electric (&lt;25 km/h), 2030</v>
      </c>
    </row>
    <row r="216" spans="1:8" x14ac:dyDescent="0.3">
      <c r="A216" t="s">
        <v>73</v>
      </c>
      <c r="B216" t="s">
        <v>37</v>
      </c>
    </row>
    <row r="217" spans="1:8" x14ac:dyDescent="0.3">
      <c r="A217" t="s">
        <v>87</v>
      </c>
      <c r="B217" s="21" t="s">
        <v>517</v>
      </c>
    </row>
    <row r="218" spans="1:8" x14ac:dyDescent="0.3">
      <c r="A218" t="s">
        <v>88</v>
      </c>
      <c r="B218" s="12"/>
    </row>
    <row r="219" spans="1:8" x14ac:dyDescent="0.3">
      <c r="A219" t="s">
        <v>89</v>
      </c>
      <c r="B219" s="12">
        <v>2030</v>
      </c>
    </row>
    <row r="220" spans="1:8" x14ac:dyDescent="0.3">
      <c r="A220" t="s">
        <v>131</v>
      </c>
      <c r="B220" s="12" t="str">
        <f>B217&amp;" - "&amp;B219&amp;" - "&amp;B216</f>
        <v>Bicycle, electric (&lt;25 km/h) - 2030 - CH</v>
      </c>
    </row>
    <row r="221" spans="1:8" x14ac:dyDescent="0.3">
      <c r="A221" t="s">
        <v>74</v>
      </c>
      <c r="B221" t="str">
        <f>"transport, "&amp;B217</f>
        <v>transport, Bicycle, electric (&lt;25 km/h)</v>
      </c>
    </row>
    <row r="222" spans="1:8" x14ac:dyDescent="0.3">
      <c r="A222" t="s">
        <v>75</v>
      </c>
      <c r="B222" t="s">
        <v>76</v>
      </c>
    </row>
    <row r="223" spans="1:8" x14ac:dyDescent="0.3">
      <c r="A223" t="s">
        <v>77</v>
      </c>
      <c r="B223" t="s">
        <v>172</v>
      </c>
    </row>
    <row r="224" spans="1:8" x14ac:dyDescent="0.3">
      <c r="A224" t="s">
        <v>79</v>
      </c>
      <c r="B224" t="s">
        <v>90</v>
      </c>
    </row>
    <row r="225" spans="1:2" x14ac:dyDescent="0.3">
      <c r="A225" t="s">
        <v>132</v>
      </c>
      <c r="B225">
        <f>INDEX('vehicles specifications'!$B$3:$CK$86,MATCH(B220,'vehicles specifications'!$A$3:$A$86,0),MATCH("Lifetime [km]",'vehicles specifications'!$B$2:$CK$2,0))</f>
        <v>20000</v>
      </c>
    </row>
    <row r="226" spans="1:2" x14ac:dyDescent="0.3">
      <c r="A226" t="s">
        <v>133</v>
      </c>
      <c r="B226">
        <f>INDEX('vehicles specifications'!$B$3:$CK$86,MATCH(B220,'vehicles specifications'!$A$3:$A$86,0),MATCH("Passengers [unit]",'vehicles specifications'!$B$2:$CK$2,0))</f>
        <v>1</v>
      </c>
    </row>
    <row r="227" spans="1:2" x14ac:dyDescent="0.3">
      <c r="A227" t="s">
        <v>134</v>
      </c>
      <c r="B227">
        <f>INDEX('vehicles specifications'!$B$3:$CK$86,MATCH(B220,'vehicles specifications'!$A$3:$A$86,0),MATCH("Servicing [unit]",'vehicles specifications'!$B$2:$CK$2,0))</f>
        <v>5</v>
      </c>
    </row>
    <row r="228" spans="1:2" x14ac:dyDescent="0.3">
      <c r="A228" t="s">
        <v>135</v>
      </c>
      <c r="B228">
        <f>INDEX('vehicles specifications'!$B$3:$CK$86,MATCH(B220,'vehicles specifications'!$A$3:$A$86,0),MATCH("Energy battery replacement [unit]",'vehicles specifications'!$B$2:$CK$2,0))</f>
        <v>0.5</v>
      </c>
    </row>
    <row r="229" spans="1:2" x14ac:dyDescent="0.3">
      <c r="A229" t="s">
        <v>136</v>
      </c>
      <c r="B229">
        <f>INDEX('vehicles specifications'!$B$3:$CK$86,MATCH(B220,'vehicles specifications'!$A$3:$A$86,0),MATCH("Annual kilometers [km]",'vehicles specifications'!$B$2:$CK$2,0))</f>
        <v>2060</v>
      </c>
    </row>
    <row r="230" spans="1:2" x14ac:dyDescent="0.3">
      <c r="A230" t="s">
        <v>137</v>
      </c>
      <c r="B230">
        <f>INDEX('vehicles specifications'!$B$3:$CK$86,MATCH(B220,'vehicles specifications'!$A$3:$A$86,0),MATCH("Curb mass [kg]",'vehicles specifications'!$B$2:$CK$2,0))</f>
        <v>22.886666666666663</v>
      </c>
    </row>
    <row r="231" spans="1:2" x14ac:dyDescent="0.3">
      <c r="A231" t="s">
        <v>138</v>
      </c>
      <c r="B231">
        <f>INDEX('vehicles specifications'!$B$3:$CK$86,MATCH(B220,'vehicles specifications'!$A$3:$A$86,0),MATCH("Power [kW]",'vehicles specifications'!$B$2:$CK$2,0))</f>
        <v>0.3</v>
      </c>
    </row>
    <row r="232" spans="1:2" x14ac:dyDescent="0.3">
      <c r="A232" t="s">
        <v>139</v>
      </c>
      <c r="B232">
        <f>INDEX('vehicles specifications'!$B$3:$CK$86,MATCH(B220,'vehicles specifications'!$A$3:$A$86,0),MATCH("Energy battery mass [kg]",'vehicles specifications'!$B$2:$CK$2,0))</f>
        <v>3.4666666666666668</v>
      </c>
    </row>
    <row r="233" spans="1:2" x14ac:dyDescent="0.3">
      <c r="A233" t="s">
        <v>140</v>
      </c>
      <c r="B233">
        <f>INDEX('vehicles specifications'!$B$3:$CK$86,MATCH(B220,'vehicles specifications'!$A$3:$A$86,0),MATCH("Electric energy stored [kWh]",'vehicles specifications'!$B$2:$CK$2,0))</f>
        <v>0.8</v>
      </c>
    </row>
    <row r="234" spans="1:2" s="21" customFormat="1" x14ac:dyDescent="0.3">
      <c r="A234" s="21" t="s">
        <v>654</v>
      </c>
      <c r="B234" s="21">
        <f>INDEX('vehicles specifications'!$B$3:$CK$86,MATCH(B220,'vehicles specifications'!$A$3:$A$86,0),MATCH("Electric energy available [kWh]",'vehicles specifications'!$B$2:$CK$2,0))</f>
        <v>0.64000000000000012</v>
      </c>
    </row>
    <row r="235" spans="1:2" x14ac:dyDescent="0.3">
      <c r="A235" t="s">
        <v>143</v>
      </c>
      <c r="B235">
        <f>INDEX('vehicles specifications'!$B$3:$CK$86,MATCH(B220,'vehicles specifications'!$A$3:$A$86,0),MATCH("Oxydation energy stored [kWh]",'vehicles specifications'!$B$2:$CK$2,0))</f>
        <v>0</v>
      </c>
    </row>
    <row r="236" spans="1:2" x14ac:dyDescent="0.3">
      <c r="A236" t="s">
        <v>145</v>
      </c>
      <c r="B236">
        <f>INDEX('vehicles specifications'!$B$3:$CK$86,MATCH(B220,'vehicles specifications'!$A$3:$A$86,0),MATCH("Fuel mass [kg]",'vehicles specifications'!$B$2:$CK$2,0))</f>
        <v>0</v>
      </c>
    </row>
    <row r="237" spans="1:2" x14ac:dyDescent="0.3">
      <c r="A237" t="s">
        <v>141</v>
      </c>
      <c r="B237" s="2">
        <f>INDEX('vehicles specifications'!$B$3:$CK$86,MATCH(B220,'vehicles specifications'!$A$3:$A$86,0),MATCH("Range [km]",'vehicles specifications'!$B$2:$CK$2,0))</f>
        <v>93.390365203118606</v>
      </c>
    </row>
    <row r="238" spans="1:2" x14ac:dyDescent="0.3">
      <c r="A238" t="s">
        <v>142</v>
      </c>
      <c r="B238" t="str">
        <f>INDEX('vehicles specifications'!$B$3:$CK$86,MATCH(B220,'vehicles specifications'!$A$3:$A$86,0),MATCH("Emission standard",'vehicles specifications'!$B$2:$CK$2,0))</f>
        <v>None</v>
      </c>
    </row>
    <row r="239" spans="1:2" x14ac:dyDescent="0.3">
      <c r="A239" t="s">
        <v>144</v>
      </c>
      <c r="B239" s="6">
        <f>INDEX('vehicles specifications'!$B$3:$CK$86,MATCH(B220,'vehicles specifications'!$A$3:$A$86,0),MATCH("Lightweighting rate [%]",'vehicles specifications'!$B$2:$CK$2,0))</f>
        <v>0.03</v>
      </c>
    </row>
    <row r="240" spans="1:2" x14ac:dyDescent="0.3">
      <c r="A240" t="s">
        <v>84</v>
      </c>
      <c r="B240" s="21" t="str">
        <f>"Power: "&amp;B231&amp;" kW. Lifetime: "&amp;B225&amp;" km. Annual kilometers: "&amp;B229&amp;" km. Number of passengers: "&amp;B226&amp;". Curb mass: "&amp;ROUND(B230,1)&amp;" kg. Lightweighting of glider: "&amp;ROUND(B239*100,0)&amp;"%. Emission standard: "&amp;B238&amp;". Service visits throughout lifetime: "&amp;ROUND(B227,1)&amp;". Range: "&amp;ROUND(B237,0)&amp;" km. Battery capacity: "&amp;ROUND(B233,1)&amp;" kWh. Available battery capacity: "&amp;B234&amp;" kWh. Battery mass: "&amp;ROUND(B232,1)&amp; " kg. Battery replacement throughout lifetime: "&amp;ROUND(B228,1)&amp;". Fuel tank capacity: "&amp;ROUND(B235,1)&amp;" kWh. Fuel mass: "&amp;ROUND(B236,1)&amp;" kg. Documentation: "&amp;Readmefirst!$B$2&amp;", "&amp;Readmefirst!$B$3&amp;". "&amp;B224</f>
        <v>Power: 0.3 kW. Lifetime: 20000 km. Annual kilometers: 2060 km. Number of passengers: 1. Curb mass: 22.9 kg. Lightweighting of glider: 3%. Emission standard: None. Service visits throughout lifetime: 5. Range: 93 km. Battery capacity: 0.8 kWh. Available battery capacity: 0.64 kWh. Battery mass: 3.5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1" spans="1:8" ht="15.6" x14ac:dyDescent="0.3">
      <c r="A241" s="11" t="s">
        <v>80</v>
      </c>
    </row>
    <row r="242" spans="1:8" x14ac:dyDescent="0.3">
      <c r="A242" t="s">
        <v>81</v>
      </c>
      <c r="B242" t="s">
        <v>82</v>
      </c>
      <c r="C242" t="s">
        <v>73</v>
      </c>
      <c r="D242" t="s">
        <v>77</v>
      </c>
      <c r="E242" t="s">
        <v>83</v>
      </c>
      <c r="F242" t="s">
        <v>75</v>
      </c>
      <c r="G242" t="s">
        <v>84</v>
      </c>
      <c r="H242" t="s">
        <v>74</v>
      </c>
    </row>
    <row r="243" spans="1:8" x14ac:dyDescent="0.3">
      <c r="A243" s="12" t="str">
        <f>B215</f>
        <v>transport, Bicycle, electric (&lt;25 km/h), 2030</v>
      </c>
      <c r="B243" s="12">
        <v>1</v>
      </c>
      <c r="C243" s="12" t="str">
        <f>B216</f>
        <v>CH</v>
      </c>
      <c r="D243" s="12" t="s">
        <v>172</v>
      </c>
      <c r="E243" s="12"/>
      <c r="F243" s="12" t="s">
        <v>85</v>
      </c>
      <c r="G243" s="12" t="s">
        <v>86</v>
      </c>
      <c r="H243" s="12" t="str">
        <f>B221</f>
        <v>transport, Bicycle, electric (&lt;25 km/h)</v>
      </c>
    </row>
    <row r="244" spans="1:8" x14ac:dyDescent="0.3">
      <c r="A244" s="12" t="str">
        <f>RIGHT(A243,LEN(A243)-11)</f>
        <v>Bicycle, electric (&lt;25 km/h), 2030</v>
      </c>
      <c r="B244" s="12">
        <f>1/B225</f>
        <v>5.0000000000000002E-5</v>
      </c>
      <c r="C244" s="12" t="str">
        <f>B216</f>
        <v>CH</v>
      </c>
      <c r="D244" s="12" t="s">
        <v>77</v>
      </c>
      <c r="E244" s="12"/>
      <c r="F244" s="12" t="s">
        <v>91</v>
      </c>
      <c r="G244" s="12"/>
      <c r="H244" s="12" t="str">
        <f>RIGHT(H243,LEN(H243)-11)</f>
        <v>Bicycle, electric (&lt;25 km/h)</v>
      </c>
    </row>
    <row r="245" spans="1:8" s="21" customFormat="1" x14ac:dyDescent="0.3">
      <c r="A245" s="12" t="str">
        <f>INDEX('ei names mapping'!$B$4:$R$33,MATCH(B217,'ei names mapping'!$A$4:$A$33,0),MATCH(G245,'ei names mapping'!$B$3:$R$3,0))</f>
        <v>road construction</v>
      </c>
      <c r="B245" s="16">
        <f>INDEX('vehicles specifications'!$B$3:$CK$86,MATCH(B220,'vehicles specifications'!$A$3:$A$86,0),MATCH(G245,'vehicles specifications'!$B$2:$CK$2,0))*INDEX('ei names mapping'!$B$137:$BK$220,MATCH(B220,'ei names mapping'!$A$137:$A$220,0),MATCH(G245,'ei names mapping'!$B$136:$BK$136,0))</f>
        <v>5.0417139999999991E-5</v>
      </c>
      <c r="C245" s="12" t="str">
        <f>INDEX('ei names mapping'!$B$38:$R$67,MATCH(B217,'ei names mapping'!$A$4:$A$33,0),MATCH(G245,'ei names mapping'!$B$3:$R$3,0))</f>
        <v>CH</v>
      </c>
      <c r="D245" s="12" t="str">
        <f>INDEX('ei names mapping'!$B$104:$BK$133,MATCH(B217,'ei names mapping'!$A$4:$A$33,0),MATCH(G245,'ei names mapping'!$B$3:$BK$3,0))</f>
        <v>meter-year</v>
      </c>
      <c r="E245" s="12"/>
      <c r="F245" s="12" t="s">
        <v>91</v>
      </c>
      <c r="G245" s="21" t="s">
        <v>108</v>
      </c>
      <c r="H245" s="12" t="str">
        <f>INDEX('ei names mapping'!$B$71:$BK$100,MATCH(B217,'ei names mapping'!$A$4:$A$33,0),MATCH(G245,'ei names mapping'!$B$3:$BK$3,0))</f>
        <v>road</v>
      </c>
    </row>
    <row r="246" spans="1:8" x14ac:dyDescent="0.3">
      <c r="A246" s="12" t="str">
        <f>INDEX('ei names mapping'!$B$4:$R$33,MATCH($B$3,'ei names mapping'!$A$4:$A$33,0),MATCH(G246,'ei names mapping'!$B$3:$R$3,0))</f>
        <v>market for electricity, low voltage</v>
      </c>
      <c r="B246" s="14">
        <f>INDEX('vehicles specifications'!$B$3:$CK$86,MATCH(B220,'vehicles specifications'!$A$3:$A$86,0),MATCH(G246,'vehicles specifications'!$B$2:$CK$2,0))*INDEX('ei names mapping'!$B$137:$BK$220,MATCH(B220,'ei names mapping'!$A$137:$A$220,0),MATCH(G246,'ei names mapping'!$B$136:$BK$136,0))</f>
        <v>7.5382508513468297E-3</v>
      </c>
      <c r="C246" s="12" t="str">
        <f>INDEX('ei names mapping'!$B$38:$R$67,MATCH($B$3,'ei names mapping'!$A$4:$A$33,0),MATCH(G246,'ei names mapping'!$B$3:$R$3,0))</f>
        <v>CH</v>
      </c>
      <c r="D246" s="12" t="str">
        <f>INDEX('ei names mapping'!$B$104:$R$133,MATCH($B$3,'ei names mapping'!$A$4:$A$33,0),MATCH(G246,'ei names mapping'!$B$3:$R$3,0))</f>
        <v>kilowatt hour</v>
      </c>
      <c r="E246" s="12"/>
      <c r="F246" s="12" t="s">
        <v>91</v>
      </c>
      <c r="G246" t="s">
        <v>28</v>
      </c>
      <c r="H246" s="12" t="str">
        <f>INDEX('ei names mapping'!$B$71:$R$100,MATCH($B$3,'ei names mapping'!$A$4:$A$33,0),MATCH(G246,'ei names mapping'!$B$3:$R$3,0))</f>
        <v>electricity, low voltage</v>
      </c>
    </row>
    <row r="247" spans="1:8" x14ac:dyDescent="0.3">
      <c r="A247" s="12" t="str">
        <f>INDEX('ei names mapping'!$B$4:$R$33,MATCH($B$3,'ei names mapping'!$A$4:$A$33,0),MATCH(G247,'ei names mapping'!$B$3:$R$3,0))</f>
        <v>maintenance, electric bicycle, without battery</v>
      </c>
      <c r="B247" s="14">
        <f>INDEX('vehicles specifications'!$B$3:$CK$86,MATCH(B220,'vehicles specifications'!$A$3:$A$86,0),MATCH(G247,'vehicles specifications'!$B$2:$CK$2,0))*INDEX('ei names mapping'!$B$137:$BK$220,MATCH(B220,'ei names mapping'!$A$137:$A$220,0),MATCH(G247,'ei names mapping'!$B$136:$BK$136,0))</f>
        <v>2.5000000000000001E-4</v>
      </c>
      <c r="C247" s="12" t="str">
        <f>INDEX('ei names mapping'!$B$38:$R$67,MATCH($B$3,'ei names mapping'!$A$4:$A$33,0),MATCH(G247,'ei names mapping'!$B$3:$R$3,0))</f>
        <v>CH</v>
      </c>
      <c r="D247" s="12" t="str">
        <f>INDEX('ei names mapping'!$B$104:$R$133,MATCH($B$3,'ei names mapping'!$A$4:$A$33,0),MATCH(G247,'ei names mapping'!$B$3:$R$3,0))</f>
        <v>unit</v>
      </c>
      <c r="E247" s="12"/>
      <c r="F247" s="12" t="s">
        <v>91</v>
      </c>
      <c r="G247" t="s">
        <v>123</v>
      </c>
      <c r="H247" s="12" t="str">
        <f>INDEX('ei names mapping'!$B$71:$R$100,MATCH($B$3,'ei names mapping'!$A$4:$A$33,0),MATCH(G247,'ei names mapping'!$B$3:$R$3,0))</f>
        <v>maintenance, electric bicycle, without battery</v>
      </c>
    </row>
    <row r="248" spans="1:8" x14ac:dyDescent="0.3">
      <c r="A248" s="12" t="str">
        <f>INDEX('ei names mapping'!$B$4:$BK$33,MATCH($B$180,'ei names mapping'!$A$4:$A$33,0),MATCH(G248,'ei names mapping'!$B$3:$BK$3,0))</f>
        <v>treatment of road wear emissions, passenger car</v>
      </c>
      <c r="B248" s="15">
        <f>INDEX('vehicles specifications'!$B$3:$CK$86,MATCH(B220,'vehicles specifications'!$A$3:$A$86,0),MATCH(G248,'vehicles specifications'!$B$2:$CK$2,0))*INDEX('ei names mapping'!$B$137:$BK$220,MATCH(B220,'ei names mapping'!$A$137:$A$220,0),MATCH(G248,'ei names mapping'!$B$136:$BK$136,0))</f>
        <v>-3.0000000000000001E-6</v>
      </c>
      <c r="C248" s="12" t="str">
        <f>INDEX('ei names mapping'!$B$38:$BK$67,MATCH($B$180,'ei names mapping'!$A$4:$A$33,0),MATCH(G248,'ei names mapping'!$B$3:$BK$3,0))</f>
        <v>RER</v>
      </c>
      <c r="D248" s="12" t="str">
        <f>INDEX('ei names mapping'!$B$104:$BK$133,MATCH($B$180,'ei names mapping'!$A$4:$A$33,0),MATCH(G248,'ei names mapping'!$B$3:$BK$3,0))</f>
        <v>kilogram</v>
      </c>
      <c r="E248" s="12"/>
      <c r="F248" s="12" t="s">
        <v>91</v>
      </c>
      <c r="G248" t="s">
        <v>29</v>
      </c>
      <c r="H248" s="12" t="str">
        <f>INDEX('ei names mapping'!$B$71:$BK$100,MATCH(B217,'ei names mapping'!$A$4:$A$33,0),MATCH(G248,'ei names mapping'!$B$3:$BK$3,0))</f>
        <v>road wear emissions, passenger car</v>
      </c>
    </row>
    <row r="249" spans="1:8" x14ac:dyDescent="0.3">
      <c r="A249" s="12" t="str">
        <f>INDEX('ei names mapping'!$B$4:$BK$33,MATCH($B$180,'ei names mapping'!$A$4:$A$33,0),MATCH(G249,'ei names mapping'!$B$3:$BK$3,0))</f>
        <v>treatment of tyre wear emissions, passenger car</v>
      </c>
      <c r="B249" s="15">
        <f>INDEX('vehicles specifications'!$B$3:$CK$86,MATCH(B220,'vehicles specifications'!$A$3:$A$86,0),MATCH(G249,'vehicles specifications'!$B$2:$CK$2,0))*INDEX('ei names mapping'!$B$137:$BK$220,MATCH(B220,'ei names mapping'!$A$137:$A$220,0),MATCH(G249,'ei names mapping'!$B$136:$BK$136,0))</f>
        <v>-2.9189999999999999E-6</v>
      </c>
      <c r="C249" s="12" t="str">
        <f>INDEX('ei names mapping'!$B$38:$BK$67,MATCH($B$180,'ei names mapping'!$A$4:$A$33,0),MATCH(G249,'ei names mapping'!$B$3:$BK$3,0))</f>
        <v>RER</v>
      </c>
      <c r="D249" s="12" t="str">
        <f>INDEX('ei names mapping'!$B$104:$BK$133,MATCH($B$180,'ei names mapping'!$A$4:$A$33,0),MATCH(G249,'ei names mapping'!$B$3:$BK$3,0))</f>
        <v>kilogram</v>
      </c>
      <c r="E249" s="12"/>
      <c r="F249" s="12" t="s">
        <v>91</v>
      </c>
      <c r="G249" t="s">
        <v>30</v>
      </c>
      <c r="H249" s="12" t="str">
        <f>INDEX('ei names mapping'!$B$71:$BK$100,MATCH($B$180,'ei names mapping'!$A$4:$A$33,0),MATCH(G249,'ei names mapping'!$B$3:$BK$3,0))</f>
        <v>tyre wear emissions, passenger car</v>
      </c>
    </row>
    <row r="250" spans="1:8" x14ac:dyDescent="0.3">
      <c r="A250" s="12" t="str">
        <f>INDEX('ei names mapping'!$B$4:$BK$33,MATCH($B$180,'ei names mapping'!$A$4:$A$33,0),MATCH(G250,'ei names mapping'!$B$3:$BK$3,0))</f>
        <v>treatment of brake wear emissions, passenger car</v>
      </c>
      <c r="B250" s="15">
        <f>INDEX('vehicles specifications'!$B$3:$CK$86,MATCH(B220,'vehicles specifications'!$A$3:$A$86,0),MATCH(G250,'vehicles specifications'!$B$2:$CK$2,0))*INDEX('ei names mapping'!$B$137:$BK$220,MATCH(B220,'ei names mapping'!$A$137:$A$220,0),MATCH(G250,'ei names mapping'!$B$136:$BK$136,0))</f>
        <v>-1.8370000000000002E-6</v>
      </c>
      <c r="C250" s="12" t="str">
        <f>INDEX('ei names mapping'!$B$38:$BK$67,MATCH($B$180,'ei names mapping'!$A$4:$A$33,0),MATCH(G250,'ei names mapping'!$B$3:$BK$3,0))</f>
        <v>RER</v>
      </c>
      <c r="D250" s="12" t="str">
        <f>INDEX('ei names mapping'!$B$104:$BK$133,MATCH($B$180,'ei names mapping'!$A$4:$A$33,0),MATCH(G250,'ei names mapping'!$B$3:$BK$3,0))</f>
        <v>kilogram</v>
      </c>
      <c r="E250" s="12"/>
      <c r="F250" s="12" t="s">
        <v>91</v>
      </c>
      <c r="G250" t="s">
        <v>31</v>
      </c>
      <c r="H250" s="12" t="str">
        <f>INDEX('ei names mapping'!$B$71:$BK$100,MATCH($B$180,'ei names mapping'!$A$4:$A$33,0),MATCH(G250,'ei names mapping'!$B$3:$BK$3,0))</f>
        <v>brake wear emissions, passenger car</v>
      </c>
    </row>
    <row r="252" spans="1:8" ht="15.6" x14ac:dyDescent="0.3">
      <c r="A252" s="11" t="s">
        <v>72</v>
      </c>
      <c r="B252" s="9" t="str">
        <f>"transport, "&amp;B254&amp;", "&amp;B256</f>
        <v>transport, Bicycle, electric (&lt;25 km/h), 2040</v>
      </c>
    </row>
    <row r="253" spans="1:8" x14ac:dyDescent="0.3">
      <c r="A253" t="s">
        <v>73</v>
      </c>
      <c r="B253" t="s">
        <v>37</v>
      </c>
    </row>
    <row r="254" spans="1:8" x14ac:dyDescent="0.3">
      <c r="A254" t="s">
        <v>87</v>
      </c>
      <c r="B254" s="21" t="s">
        <v>517</v>
      </c>
    </row>
    <row r="255" spans="1:8" x14ac:dyDescent="0.3">
      <c r="A255" t="s">
        <v>88</v>
      </c>
      <c r="B255" s="12"/>
    </row>
    <row r="256" spans="1:8" x14ac:dyDescent="0.3">
      <c r="A256" t="s">
        <v>89</v>
      </c>
      <c r="B256" s="12">
        <v>2040</v>
      </c>
    </row>
    <row r="257" spans="1:2" x14ac:dyDescent="0.3">
      <c r="A257" t="s">
        <v>131</v>
      </c>
      <c r="B257" s="12" t="str">
        <f>B254&amp;" - "&amp;B256&amp;" - "&amp;B253</f>
        <v>Bicycle, electric (&lt;25 km/h) - 2040 - CH</v>
      </c>
    </row>
    <row r="258" spans="1:2" x14ac:dyDescent="0.3">
      <c r="A258" t="s">
        <v>74</v>
      </c>
      <c r="B258" t="str">
        <f>"transport, "&amp;B254</f>
        <v>transport, Bicycle, electric (&lt;25 km/h)</v>
      </c>
    </row>
    <row r="259" spans="1:2" x14ac:dyDescent="0.3">
      <c r="A259" t="s">
        <v>75</v>
      </c>
      <c r="B259" t="s">
        <v>76</v>
      </c>
    </row>
    <row r="260" spans="1:2" x14ac:dyDescent="0.3">
      <c r="A260" t="s">
        <v>77</v>
      </c>
      <c r="B260" t="s">
        <v>172</v>
      </c>
    </row>
    <row r="261" spans="1:2" x14ac:dyDescent="0.3">
      <c r="A261" t="s">
        <v>79</v>
      </c>
      <c r="B261" t="s">
        <v>90</v>
      </c>
    </row>
    <row r="262" spans="1:2" x14ac:dyDescent="0.3">
      <c r="A262" t="s">
        <v>132</v>
      </c>
      <c r="B262">
        <f>INDEX('vehicles specifications'!$B$3:$CK$86,MATCH(B257,'vehicles specifications'!$A$3:$A$86,0),MATCH("Lifetime [km]",'vehicles specifications'!$B$2:$CK$2,0))</f>
        <v>20000</v>
      </c>
    </row>
    <row r="263" spans="1:2" x14ac:dyDescent="0.3">
      <c r="A263" t="s">
        <v>133</v>
      </c>
      <c r="B263">
        <f>INDEX('vehicles specifications'!$B$3:$CK$86,MATCH(B257,'vehicles specifications'!$A$3:$A$86,0),MATCH("Passengers [unit]",'vehicles specifications'!$B$2:$CK$2,0))</f>
        <v>1</v>
      </c>
    </row>
    <row r="264" spans="1:2" x14ac:dyDescent="0.3">
      <c r="A264" t="s">
        <v>134</v>
      </c>
      <c r="B264">
        <f>INDEX('vehicles specifications'!$B$3:$CK$86,MATCH(B257,'vehicles specifications'!$A$3:$A$86,0),MATCH("Servicing [unit]",'vehicles specifications'!$B$2:$CK$2,0))</f>
        <v>5</v>
      </c>
    </row>
    <row r="265" spans="1:2" x14ac:dyDescent="0.3">
      <c r="A265" t="s">
        <v>135</v>
      </c>
      <c r="B265">
        <f>INDEX('vehicles specifications'!$B$3:$CK$86,MATCH(B257,'vehicles specifications'!$A$3:$A$86,0),MATCH("Energy battery replacement [unit]",'vehicles specifications'!$B$2:$CK$2,0))</f>
        <v>0.25</v>
      </c>
    </row>
    <row r="266" spans="1:2" x14ac:dyDescent="0.3">
      <c r="A266" t="s">
        <v>136</v>
      </c>
      <c r="B266">
        <f>INDEX('vehicles specifications'!$B$3:$CK$86,MATCH(B257,'vehicles specifications'!$A$3:$A$86,0),MATCH("Annual kilometers [km]",'vehicles specifications'!$B$2:$CK$2,0))</f>
        <v>2060</v>
      </c>
    </row>
    <row r="267" spans="1:2" x14ac:dyDescent="0.3">
      <c r="A267" t="s">
        <v>137</v>
      </c>
      <c r="B267">
        <f>INDEX('vehicles specifications'!$B$3:$CK$86,MATCH(B257,'vehicles specifications'!$A$3:$A$86,0),MATCH("Curb mass [kg]",'vehicles specifications'!$B$2:$CK$2,0))</f>
        <v>22.9</v>
      </c>
    </row>
    <row r="268" spans="1:2" x14ac:dyDescent="0.3">
      <c r="A268" t="s">
        <v>138</v>
      </c>
      <c r="B268">
        <f>INDEX('vehicles specifications'!$B$3:$CK$86,MATCH(B257,'vehicles specifications'!$A$3:$A$86,0),MATCH("Power [kW]",'vehicles specifications'!$B$2:$CK$2,0))</f>
        <v>0.3</v>
      </c>
    </row>
    <row r="269" spans="1:2" x14ac:dyDescent="0.3">
      <c r="A269" t="s">
        <v>139</v>
      </c>
      <c r="B269">
        <f>INDEX('vehicles specifications'!$B$3:$CK$86,MATCH(B257,'vehicles specifications'!$A$3:$A$86,0),MATCH("Energy battery mass [kg]",'vehicles specifications'!$B$2:$CK$2,0))</f>
        <v>3.8999999999999995</v>
      </c>
    </row>
    <row r="270" spans="1:2" x14ac:dyDescent="0.3">
      <c r="A270" t="s">
        <v>140</v>
      </c>
      <c r="B270">
        <f>INDEX('vehicles specifications'!$B$3:$CK$86,MATCH(B257,'vehicles specifications'!$A$3:$A$86,0),MATCH("Electric energy stored [kWh]",'vehicles specifications'!$B$2:$CK$2,0))</f>
        <v>1.2</v>
      </c>
    </row>
    <row r="271" spans="1:2" s="21" customFormat="1" x14ac:dyDescent="0.3">
      <c r="A271" s="21" t="s">
        <v>654</v>
      </c>
      <c r="B271" s="21">
        <f>INDEX('vehicles specifications'!$B$3:$CK$86,MATCH(B257,'vehicles specifications'!$A$3:$A$86,0),MATCH("Electric energy available [kWh]",'vehicles specifications'!$B$2:$CK$2,0))</f>
        <v>0.96</v>
      </c>
    </row>
    <row r="272" spans="1:2" x14ac:dyDescent="0.3">
      <c r="A272" t="s">
        <v>143</v>
      </c>
      <c r="B272">
        <f>INDEX('vehicles specifications'!$B$3:$CK$86,MATCH(B257,'vehicles specifications'!$A$3:$A$86,0),MATCH("Oxydation energy stored [kWh]",'vehicles specifications'!$B$2:$CK$2,0))</f>
        <v>0</v>
      </c>
    </row>
    <row r="273" spans="1:8" x14ac:dyDescent="0.3">
      <c r="A273" t="s">
        <v>145</v>
      </c>
      <c r="B273">
        <f>INDEX('vehicles specifications'!$B$3:$CK$86,MATCH(B257,'vehicles specifications'!$A$3:$A$86,0),MATCH("Fuel mass [kg]",'vehicles specifications'!$B$2:$CK$2,0))</f>
        <v>0</v>
      </c>
    </row>
    <row r="274" spans="1:8" x14ac:dyDescent="0.3">
      <c r="A274" t="s">
        <v>141</v>
      </c>
      <c r="B274" s="2">
        <f>INDEX('vehicles specifications'!$B$3:$CK$86,MATCH(B257,'vehicles specifications'!$A$3:$A$86,0),MATCH("Range [km]",'vehicles specifications'!$B$2:$CK$2,0))</f>
        <v>140.08554780467787</v>
      </c>
    </row>
    <row r="275" spans="1:8" x14ac:dyDescent="0.3">
      <c r="A275" t="s">
        <v>142</v>
      </c>
      <c r="B275" t="str">
        <f>INDEX('vehicles specifications'!$B$3:$CK$86,MATCH(B257,'vehicles specifications'!$A$3:$A$86,0),MATCH("Emission standard",'vehicles specifications'!$B$2:$CK$2,0))</f>
        <v>None</v>
      </c>
    </row>
    <row r="276" spans="1:8" x14ac:dyDescent="0.3">
      <c r="A276" t="s">
        <v>144</v>
      </c>
      <c r="B276" s="6">
        <f>INDEX('vehicles specifications'!$B$3:$CK$86,MATCH(B257,'vehicles specifications'!$A$3:$A$86,0),MATCH("Lightweighting rate [%]",'vehicles specifications'!$B$2:$CK$2,0))</f>
        <v>0.05</v>
      </c>
    </row>
    <row r="277" spans="1:8" x14ac:dyDescent="0.3">
      <c r="A277" t="s">
        <v>84</v>
      </c>
      <c r="B277" s="21" t="str">
        <f>"Power: "&amp;B268&amp;" kW. Lifetime: "&amp;B262&amp;" km. Annual kilometers: "&amp;B266&amp;" km. Number of passengers: "&amp;B263&amp;". Curb mass: "&amp;ROUND(B267,1)&amp;" kg. Lightweighting of glider: "&amp;ROUND(B276*100,0)&amp;"%. Emission standard: "&amp;B275&amp;". Service visits throughout lifetime: "&amp;ROUND(B264,1)&amp;". Range: "&amp;ROUND(B274,0)&amp;" km. Battery capacity: "&amp;ROUND(B270,1)&amp;" kWh. Available battery capacity: "&amp;B271&amp;" kWh. Battery mass: "&amp;ROUND(B269,1)&amp; " kg. Battery replacement throughout lifetime: "&amp;ROUND(B265,1)&amp;". Fuel tank capacity: "&amp;ROUND(B272,1)&amp;" kWh. Fuel mass: "&amp;ROUND(B273,1)&amp;" kg. Documentation: "&amp;Readmefirst!$B$2&amp;", "&amp;Readmefirst!$B$3&amp;". "&amp;B261</f>
        <v>Power: 0.3 kW. Lifetime: 20000 km. Annual kilometers: 2060 km. Number of passengers: 1. Curb mass: 22.9 kg. Lightweighting of glider: 5%. Emission standard: None. Service visits throughout lifetime: 5. Range: 140 km. Battery capacity: 1.2 kWh. Available battery capacity: 0.96 kWh. Battery mass: 3.9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78" spans="1:8" ht="15.6" x14ac:dyDescent="0.3">
      <c r="A278" s="11" t="s">
        <v>80</v>
      </c>
    </row>
    <row r="279" spans="1:8" x14ac:dyDescent="0.3">
      <c r="A279" t="s">
        <v>81</v>
      </c>
      <c r="B279" t="s">
        <v>82</v>
      </c>
      <c r="C279" t="s">
        <v>73</v>
      </c>
      <c r="D279" t="s">
        <v>77</v>
      </c>
      <c r="E279" t="s">
        <v>83</v>
      </c>
      <c r="F279" t="s">
        <v>75</v>
      </c>
      <c r="G279" t="s">
        <v>84</v>
      </c>
      <c r="H279" t="s">
        <v>74</v>
      </c>
    </row>
    <row r="280" spans="1:8" x14ac:dyDescent="0.3">
      <c r="A280" s="12" t="str">
        <f>B252</f>
        <v>transport, Bicycle, electric (&lt;25 km/h), 2040</v>
      </c>
      <c r="B280" s="12">
        <v>1</v>
      </c>
      <c r="C280" s="12" t="str">
        <f>B253</f>
        <v>CH</v>
      </c>
      <c r="D280" s="12" t="s">
        <v>172</v>
      </c>
      <c r="E280" s="12"/>
      <c r="F280" s="12" t="s">
        <v>85</v>
      </c>
      <c r="G280" s="12" t="s">
        <v>86</v>
      </c>
      <c r="H280" s="12" t="str">
        <f>B258</f>
        <v>transport, Bicycle, electric (&lt;25 km/h)</v>
      </c>
    </row>
    <row r="281" spans="1:8" x14ac:dyDescent="0.3">
      <c r="A281" s="12" t="str">
        <f>RIGHT(A280,LEN(A280)-11)</f>
        <v>Bicycle, electric (&lt;25 km/h), 2040</v>
      </c>
      <c r="B281" s="12">
        <f>1/B262</f>
        <v>5.0000000000000002E-5</v>
      </c>
      <c r="C281" s="12" t="str">
        <f>B253</f>
        <v>CH</v>
      </c>
      <c r="D281" s="12" t="s">
        <v>77</v>
      </c>
      <c r="E281" s="12"/>
      <c r="F281" s="12" t="s">
        <v>91</v>
      </c>
      <c r="G281" s="12"/>
      <c r="H281" s="12" t="str">
        <f>RIGHT(H280,LEN(H280)-11)</f>
        <v>Bicycle, electric (&lt;25 km/h)</v>
      </c>
    </row>
    <row r="282" spans="1:8" s="21" customFormat="1" x14ac:dyDescent="0.3">
      <c r="A282" s="12" t="str">
        <f>INDEX('ei names mapping'!$B$4:$R$33,MATCH(B254,'ei names mapping'!$A$4:$A$33,0),MATCH(G282,'ei names mapping'!$B$3:$R$3,0))</f>
        <v>road construction</v>
      </c>
      <c r="B282" s="16">
        <f>INDEX('vehicles specifications'!$B$3:$CK$86,MATCH(B257,'vehicles specifications'!$A$3:$A$86,0),MATCH(G282,'vehicles specifications'!$B$2:$CK$2,0))*INDEX('ei names mapping'!$B$137:$BK$220,MATCH(B257,'ei names mapping'!$A$137:$A$220,0),MATCH(G282,'ei names mapping'!$B$136:$BK$136,0))</f>
        <v>5.0424300000000004E-5</v>
      </c>
      <c r="C282" s="12" t="str">
        <f>INDEX('ei names mapping'!$B$38:$R$67,MATCH(B254,'ei names mapping'!$A$4:$A$33,0),MATCH(G282,'ei names mapping'!$B$3:$R$3,0))</f>
        <v>CH</v>
      </c>
      <c r="D282" s="12" t="str">
        <f>INDEX('ei names mapping'!$B$104:$BK$133,MATCH(B254,'ei names mapping'!$A$4:$A$33,0),MATCH(G282,'ei names mapping'!$B$3:$BK$3,0))</f>
        <v>meter-year</v>
      </c>
      <c r="E282" s="12"/>
      <c r="F282" s="12" t="s">
        <v>91</v>
      </c>
      <c r="G282" s="21" t="s">
        <v>108</v>
      </c>
      <c r="H282" s="12" t="str">
        <f>INDEX('ei names mapping'!$B$71:$BK$100,MATCH(B254,'ei names mapping'!$A$4:$A$33,0),MATCH(G282,'ei names mapping'!$B$3:$BK$3,0))</f>
        <v>road</v>
      </c>
    </row>
    <row r="283" spans="1:8" x14ac:dyDescent="0.3">
      <c r="A283" s="12" t="str">
        <f>INDEX('ei names mapping'!$B$4:$R$33,MATCH($B$3,'ei names mapping'!$A$4:$A$33,0),MATCH(G283,'ei names mapping'!$B$3:$R$3,0))</f>
        <v>market for electricity, low voltage</v>
      </c>
      <c r="B283" s="14">
        <f>INDEX('vehicles specifications'!$B$3:$CK$86,MATCH(B257,'vehicles specifications'!$A$3:$A$86,0),MATCH(G283,'vehicles specifications'!$B$2:$CK$2,0))*INDEX('ei names mapping'!$B$137:$BK$220,MATCH(B257,'ei names mapping'!$A$137:$A$220,0),MATCH(G283,'ei names mapping'!$B$136:$BK$136,0))</f>
        <v>7.5382508513468297E-3</v>
      </c>
      <c r="C283" s="12" t="str">
        <f>INDEX('ei names mapping'!$B$38:$R$67,MATCH($B$3,'ei names mapping'!$A$4:$A$33,0),MATCH(G283,'ei names mapping'!$B$3:$R$3,0))</f>
        <v>CH</v>
      </c>
      <c r="D283" s="12" t="str">
        <f>INDEX('ei names mapping'!$B$104:$R$133,MATCH($B$3,'ei names mapping'!$A$4:$A$33,0),MATCH(G283,'ei names mapping'!$B$3:$R$3,0))</f>
        <v>kilowatt hour</v>
      </c>
      <c r="E283" s="12"/>
      <c r="F283" s="12" t="s">
        <v>91</v>
      </c>
      <c r="G283" t="s">
        <v>28</v>
      </c>
      <c r="H283" s="12" t="str">
        <f>INDEX('ei names mapping'!$B$71:$R$100,MATCH($B$3,'ei names mapping'!$A$4:$A$33,0),MATCH(G283,'ei names mapping'!$B$3:$R$3,0))</f>
        <v>electricity, low voltage</v>
      </c>
    </row>
    <row r="284" spans="1:8" x14ac:dyDescent="0.3">
      <c r="A284" s="12" t="str">
        <f>INDEX('ei names mapping'!$B$4:$R$33,MATCH($B$3,'ei names mapping'!$A$4:$A$33,0),MATCH(G284,'ei names mapping'!$B$3:$R$3,0))</f>
        <v>maintenance, electric bicycle, without battery</v>
      </c>
      <c r="B284" s="14">
        <f>INDEX('vehicles specifications'!$B$3:$CK$86,MATCH(B257,'vehicles specifications'!$A$3:$A$86,0),MATCH(G284,'vehicles specifications'!$B$2:$CK$2,0))*INDEX('ei names mapping'!$B$137:$BK$220,MATCH(B257,'ei names mapping'!$A$137:$A$220,0),MATCH(G284,'ei names mapping'!$B$136:$BK$136,0))</f>
        <v>2.5000000000000001E-4</v>
      </c>
      <c r="C284" s="12" t="str">
        <f>INDEX('ei names mapping'!$B$38:$R$67,MATCH($B$3,'ei names mapping'!$A$4:$A$33,0),MATCH(G284,'ei names mapping'!$B$3:$R$3,0))</f>
        <v>CH</v>
      </c>
      <c r="D284" s="12" t="str">
        <f>INDEX('ei names mapping'!$B$104:$R$133,MATCH($B$3,'ei names mapping'!$A$4:$A$33,0),MATCH(G284,'ei names mapping'!$B$3:$R$3,0))</f>
        <v>unit</v>
      </c>
      <c r="E284" s="12"/>
      <c r="F284" s="12" t="s">
        <v>91</v>
      </c>
      <c r="G284" t="s">
        <v>123</v>
      </c>
      <c r="H284" s="12" t="str">
        <f>INDEX('ei names mapping'!$B$71:$R$100,MATCH($B$3,'ei names mapping'!$A$4:$A$33,0),MATCH(G284,'ei names mapping'!$B$3:$R$3,0))</f>
        <v>maintenance, electric bicycle, without battery</v>
      </c>
    </row>
    <row r="285" spans="1:8" x14ac:dyDescent="0.3">
      <c r="A285" s="12" t="str">
        <f>INDEX('ei names mapping'!$B$4:$BK$33,MATCH($B$180,'ei names mapping'!$A$4:$A$33,0),MATCH(G285,'ei names mapping'!$B$3:$BK$3,0))</f>
        <v>treatment of road wear emissions, passenger car</v>
      </c>
      <c r="B285" s="15">
        <f>INDEX('vehicles specifications'!$B$3:$CK$86,MATCH(B257,'vehicles specifications'!$A$3:$A$86,0),MATCH(G285,'vehicles specifications'!$B$2:$CK$2,0))*INDEX('ei names mapping'!$B$137:$BK$220,MATCH(B257,'ei names mapping'!$A$137:$A$220,0),MATCH(G285,'ei names mapping'!$B$136:$BK$136,0))</f>
        <v>-3.0000000000000001E-6</v>
      </c>
      <c r="C285" s="12" t="str">
        <f>INDEX('ei names mapping'!$B$38:$BK$67,MATCH($B$180,'ei names mapping'!$A$4:$A$33,0),MATCH(G285,'ei names mapping'!$B$3:$BK$3,0))</f>
        <v>RER</v>
      </c>
      <c r="D285" s="12" t="str">
        <f>INDEX('ei names mapping'!$B$104:$BK$133,MATCH($B$180,'ei names mapping'!$A$4:$A$33,0),MATCH(G285,'ei names mapping'!$B$3:$BK$3,0))</f>
        <v>kilogram</v>
      </c>
      <c r="E285" s="12"/>
      <c r="F285" s="12" t="s">
        <v>91</v>
      </c>
      <c r="G285" t="s">
        <v>29</v>
      </c>
      <c r="H285" s="12" t="str">
        <f>INDEX('ei names mapping'!$B$71:$BK$100,MATCH(B254,'ei names mapping'!$A$4:$A$33,0),MATCH(G285,'ei names mapping'!$B$3:$BK$3,0))</f>
        <v>road wear emissions, passenger car</v>
      </c>
    </row>
    <row r="286" spans="1:8" x14ac:dyDescent="0.3">
      <c r="A286" s="12" t="str">
        <f>INDEX('ei names mapping'!$B$4:$BK$33,MATCH($B$180,'ei names mapping'!$A$4:$A$33,0),MATCH(G286,'ei names mapping'!$B$3:$BK$3,0))</f>
        <v>treatment of tyre wear emissions, passenger car</v>
      </c>
      <c r="B286" s="15">
        <f>INDEX('vehicles specifications'!$B$3:$CK$86,MATCH(B257,'vehicles specifications'!$A$3:$A$86,0),MATCH(G286,'vehicles specifications'!$B$2:$CK$2,0))*INDEX('ei names mapping'!$B$137:$BK$220,MATCH(B257,'ei names mapping'!$A$137:$A$220,0),MATCH(G286,'ei names mapping'!$B$136:$BK$136,0))</f>
        <v>-2.9189999999999999E-6</v>
      </c>
      <c r="C286" s="12" t="str">
        <f>INDEX('ei names mapping'!$B$38:$BK$67,MATCH($B$180,'ei names mapping'!$A$4:$A$33,0),MATCH(G286,'ei names mapping'!$B$3:$BK$3,0))</f>
        <v>RER</v>
      </c>
      <c r="D286" s="12" t="str">
        <f>INDEX('ei names mapping'!$B$104:$BK$133,MATCH($B$180,'ei names mapping'!$A$4:$A$33,0),MATCH(G286,'ei names mapping'!$B$3:$BK$3,0))</f>
        <v>kilogram</v>
      </c>
      <c r="E286" s="12"/>
      <c r="F286" s="12" t="s">
        <v>91</v>
      </c>
      <c r="G286" t="s">
        <v>30</v>
      </c>
      <c r="H286" s="12" t="str">
        <f>INDEX('ei names mapping'!$B$71:$BK$100,MATCH($B$180,'ei names mapping'!$A$4:$A$33,0),MATCH(G286,'ei names mapping'!$B$3:$BK$3,0))</f>
        <v>tyre wear emissions, passenger car</v>
      </c>
    </row>
    <row r="287" spans="1:8" x14ac:dyDescent="0.3">
      <c r="A287" s="12" t="str">
        <f>INDEX('ei names mapping'!$B$4:$BK$33,MATCH($B$180,'ei names mapping'!$A$4:$A$33,0),MATCH(G287,'ei names mapping'!$B$3:$BK$3,0))</f>
        <v>treatment of brake wear emissions, passenger car</v>
      </c>
      <c r="B287" s="15">
        <f>INDEX('vehicles specifications'!$B$3:$CK$86,MATCH(B257,'vehicles specifications'!$A$3:$A$86,0),MATCH(G287,'vehicles specifications'!$B$2:$CK$2,0))*INDEX('ei names mapping'!$B$137:$BK$220,MATCH(B257,'ei names mapping'!$A$137:$A$220,0),MATCH(G287,'ei names mapping'!$B$136:$BK$136,0))</f>
        <v>-1.8370000000000002E-6</v>
      </c>
      <c r="C287" s="12" t="str">
        <f>INDEX('ei names mapping'!$B$38:$BK$67,MATCH($B$180,'ei names mapping'!$A$4:$A$33,0),MATCH(G287,'ei names mapping'!$B$3:$BK$3,0))</f>
        <v>RER</v>
      </c>
      <c r="D287" s="12" t="str">
        <f>INDEX('ei names mapping'!$B$104:$BK$133,MATCH($B$180,'ei names mapping'!$A$4:$A$33,0),MATCH(G287,'ei names mapping'!$B$3:$BK$3,0))</f>
        <v>kilogram</v>
      </c>
      <c r="E287" s="12"/>
      <c r="F287" s="12" t="s">
        <v>91</v>
      </c>
      <c r="G287" t="s">
        <v>31</v>
      </c>
      <c r="H287" s="12" t="str">
        <f>INDEX('ei names mapping'!$B$71:$BK$100,MATCH($B$180,'ei names mapping'!$A$4:$A$33,0),MATCH(G287,'ei names mapping'!$B$3:$BK$3,0))</f>
        <v>brake wear emissions, passenger car</v>
      </c>
    </row>
    <row r="289" spans="1:2" ht="15.6" x14ac:dyDescent="0.3">
      <c r="A289" s="11" t="s">
        <v>72</v>
      </c>
      <c r="B289" s="9" t="str">
        <f>"transport, "&amp;B291&amp;", "&amp;B293</f>
        <v>transport, Bicycle, electric (&lt;25 km/h), 2050</v>
      </c>
    </row>
    <row r="290" spans="1:2" x14ac:dyDescent="0.3">
      <c r="A290" t="s">
        <v>73</v>
      </c>
      <c r="B290" t="s">
        <v>37</v>
      </c>
    </row>
    <row r="291" spans="1:2" x14ac:dyDescent="0.3">
      <c r="A291" t="s">
        <v>87</v>
      </c>
      <c r="B291" s="21" t="s">
        <v>517</v>
      </c>
    </row>
    <row r="292" spans="1:2" x14ac:dyDescent="0.3">
      <c r="A292" t="s">
        <v>88</v>
      </c>
      <c r="B292" s="12"/>
    </row>
    <row r="293" spans="1:2" x14ac:dyDescent="0.3">
      <c r="A293" t="s">
        <v>89</v>
      </c>
      <c r="B293" s="12">
        <v>2050</v>
      </c>
    </row>
    <row r="294" spans="1:2" x14ac:dyDescent="0.3">
      <c r="A294" t="s">
        <v>131</v>
      </c>
      <c r="B294" s="12" t="str">
        <f>B291&amp;" - "&amp;B293&amp;" - "&amp;B290</f>
        <v>Bicycle, electric (&lt;25 km/h) - 2050 - CH</v>
      </c>
    </row>
    <row r="295" spans="1:2" x14ac:dyDescent="0.3">
      <c r="A295" t="s">
        <v>74</v>
      </c>
      <c r="B295" t="str">
        <f>"transport, "&amp;B291</f>
        <v>transport, Bicycle, electric (&lt;25 km/h)</v>
      </c>
    </row>
    <row r="296" spans="1:2" x14ac:dyDescent="0.3">
      <c r="A296" t="s">
        <v>75</v>
      </c>
      <c r="B296" t="s">
        <v>76</v>
      </c>
    </row>
    <row r="297" spans="1:2" x14ac:dyDescent="0.3">
      <c r="A297" t="s">
        <v>77</v>
      </c>
      <c r="B297" t="s">
        <v>172</v>
      </c>
    </row>
    <row r="298" spans="1:2" x14ac:dyDescent="0.3">
      <c r="A298" t="s">
        <v>79</v>
      </c>
      <c r="B298" t="s">
        <v>90</v>
      </c>
    </row>
    <row r="299" spans="1:2" x14ac:dyDescent="0.3">
      <c r="A299" t="s">
        <v>132</v>
      </c>
      <c r="B299">
        <f>INDEX('vehicles specifications'!$B$3:$CK$86,MATCH(B294,'vehicles specifications'!$A$3:$A$86,0),MATCH("Lifetime [km]",'vehicles specifications'!$B$2:$CK$2,0))</f>
        <v>20000</v>
      </c>
    </row>
    <row r="300" spans="1:2" x14ac:dyDescent="0.3">
      <c r="A300" t="s">
        <v>133</v>
      </c>
      <c r="B300">
        <f>INDEX('vehicles specifications'!$B$3:$CK$86,MATCH(B294,'vehicles specifications'!$A$3:$A$86,0),MATCH("Passengers [unit]",'vehicles specifications'!$B$2:$CK$2,0))</f>
        <v>1</v>
      </c>
    </row>
    <row r="301" spans="1:2" x14ac:dyDescent="0.3">
      <c r="A301" t="s">
        <v>134</v>
      </c>
      <c r="B301">
        <f>INDEX('vehicles specifications'!$B$3:$CK$86,MATCH(B294,'vehicles specifications'!$A$3:$A$86,0),MATCH("Servicing [unit]",'vehicles specifications'!$B$2:$CK$2,0))</f>
        <v>5</v>
      </c>
    </row>
    <row r="302" spans="1:2" x14ac:dyDescent="0.3">
      <c r="A302" t="s">
        <v>135</v>
      </c>
      <c r="B302">
        <f>INDEX('vehicles specifications'!$B$3:$CK$86,MATCH(B294,'vehicles specifications'!$A$3:$A$86,0),MATCH("Energy battery replacement [unit]",'vehicles specifications'!$B$2:$CK$2,0))</f>
        <v>0</v>
      </c>
    </row>
    <row r="303" spans="1:2" x14ac:dyDescent="0.3">
      <c r="A303" t="s">
        <v>136</v>
      </c>
      <c r="B303">
        <f>INDEX('vehicles specifications'!$B$3:$CK$86,MATCH(B294,'vehicles specifications'!$A$3:$A$86,0),MATCH("Annual kilometers [km]",'vehicles specifications'!$B$2:$CK$2,0))</f>
        <v>2060</v>
      </c>
    </row>
    <row r="304" spans="1:2" x14ac:dyDescent="0.3">
      <c r="A304" t="s">
        <v>137</v>
      </c>
      <c r="B304">
        <f>INDEX('vehicles specifications'!$B$3:$CK$86,MATCH(B294,'vehicles specifications'!$A$3:$A$86,0),MATCH("Curb mass [kg]",'vehicles specifications'!$B$2:$CK$2,0))</f>
        <v>22.74</v>
      </c>
    </row>
    <row r="305" spans="1:8" x14ac:dyDescent="0.3">
      <c r="A305" t="s">
        <v>138</v>
      </c>
      <c r="B305">
        <f>INDEX('vehicles specifications'!$B$3:$CK$86,MATCH(B294,'vehicles specifications'!$A$3:$A$86,0),MATCH("Power [kW]",'vehicles specifications'!$B$2:$CK$2,0))</f>
        <v>0.3</v>
      </c>
    </row>
    <row r="306" spans="1:8" x14ac:dyDescent="0.3">
      <c r="A306" t="s">
        <v>139</v>
      </c>
      <c r="B306">
        <f>INDEX('vehicles specifications'!$B$3:$CK$86,MATCH(B294,'vehicles specifications'!$A$3:$A$86,0),MATCH("Energy battery mass [kg]",'vehicles specifications'!$B$2:$CK$2,0))</f>
        <v>4.16</v>
      </c>
    </row>
    <row r="307" spans="1:8" x14ac:dyDescent="0.3">
      <c r="A307" t="s">
        <v>140</v>
      </c>
      <c r="B307">
        <f>INDEX('vehicles specifications'!$B$3:$CK$86,MATCH(B294,'vehicles specifications'!$A$3:$A$86,0),MATCH("Electric energy stored [kWh]",'vehicles specifications'!$B$2:$CK$2,0))</f>
        <v>1.6</v>
      </c>
    </row>
    <row r="308" spans="1:8" s="21" customFormat="1" x14ac:dyDescent="0.3">
      <c r="A308" s="21" t="s">
        <v>654</v>
      </c>
      <c r="B308" s="21">
        <f>INDEX('vehicles specifications'!$B$3:$CK$86,MATCH(B294,'vehicles specifications'!$A$3:$A$86,0),MATCH("Electric energy available [kWh]",'vehicles specifications'!$B$2:$CK$2,0))</f>
        <v>1.2800000000000002</v>
      </c>
    </row>
    <row r="309" spans="1:8" x14ac:dyDescent="0.3">
      <c r="A309" t="s">
        <v>143</v>
      </c>
      <c r="B309">
        <f>INDEX('vehicles specifications'!$B$3:$CK$86,MATCH(B294,'vehicles specifications'!$A$3:$A$86,0),MATCH("Oxydation energy stored [kWh]",'vehicles specifications'!$B$2:$CK$2,0))</f>
        <v>0</v>
      </c>
    </row>
    <row r="310" spans="1:8" x14ac:dyDescent="0.3">
      <c r="A310" t="s">
        <v>145</v>
      </c>
      <c r="B310">
        <f>INDEX('vehicles specifications'!$B$3:$CK$86,MATCH(B294,'vehicles specifications'!$A$3:$A$86,0),MATCH("Fuel mass [kg]",'vehicles specifications'!$B$2:$CK$2,0))</f>
        <v>0</v>
      </c>
    </row>
    <row r="311" spans="1:8" x14ac:dyDescent="0.3">
      <c r="A311" t="s">
        <v>141</v>
      </c>
      <c r="B311" s="2">
        <f>INDEX('vehicles specifications'!$B$3:$CK$86,MATCH(B294,'vehicles specifications'!$A$3:$A$86,0),MATCH("Range [km]",'vehicles specifications'!$B$2:$CK$2,0))</f>
        <v>186.78073040623721</v>
      </c>
    </row>
    <row r="312" spans="1:8" x14ac:dyDescent="0.3">
      <c r="A312" t="s">
        <v>142</v>
      </c>
      <c r="B312" t="str">
        <f>INDEX('vehicles specifications'!$B$3:$CK$86,MATCH(B294,'vehicles specifications'!$A$3:$A$86,0),MATCH("Emission standard",'vehicles specifications'!$B$2:$CK$2,0))</f>
        <v>None</v>
      </c>
    </row>
    <row r="313" spans="1:8" x14ac:dyDescent="0.3">
      <c r="A313" t="s">
        <v>144</v>
      </c>
      <c r="B313" s="6">
        <f>INDEX('vehicles specifications'!$B$3:$CK$86,MATCH(B294,'vehicles specifications'!$A$3:$A$86,0),MATCH("Lightweighting rate [%]",'vehicles specifications'!$B$2:$CK$2,0))</f>
        <v>7.0000000000000007E-2</v>
      </c>
    </row>
    <row r="314" spans="1:8" x14ac:dyDescent="0.3">
      <c r="A314" t="s">
        <v>84</v>
      </c>
      <c r="B314" s="21" t="str">
        <f>"Power: "&amp;B305&amp;" kW. Lifetime: "&amp;B299&amp;" km. Annual kilometers: "&amp;B303&amp;" km. Number of passengers: "&amp;B300&amp;". Curb mass: "&amp;ROUND(B304,1)&amp;" kg. Lightweighting of glider: "&amp;ROUND(B313*100,0)&amp;"%. Emission standard: "&amp;B312&amp;". Service visits throughout lifetime: "&amp;ROUND(B301,1)&amp;". Range: "&amp;ROUND(B311,0)&amp;" km. Battery capacity: "&amp;ROUND(B307,1)&amp;" kWh. Available battery capacity: "&amp;B308&amp;" kWh. Battery mass: "&amp;ROUND(B306,1)&amp; " kg. Battery replacement throughout lifetime: "&amp;ROUND(B302,1)&amp;". Fuel tank capacity: "&amp;ROUND(B309,1)&amp;" kWh. Fuel mass: "&amp;ROUND(B310,1)&amp;" kg. Documentation: "&amp;Readmefirst!$B$2&amp;", "&amp;Readmefirst!$B$3&amp;". "&amp;B298</f>
        <v>Power: 0.3 kW. Lifetime: 20000 km. Annual kilometers: 2060 km. Number of passengers: 1. Curb mass: 22.7 kg. Lightweighting of glider: 7%. Emission standard: None. Service visits throughout lifetime: 5. Range: 187 km. Battery capacity: 1.6 kWh. Available battery capacity: 1.28 kWh. Battery mass: 4.2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15" spans="1:8" ht="15.6" x14ac:dyDescent="0.3">
      <c r="A315" s="11" t="s">
        <v>80</v>
      </c>
    </row>
    <row r="316" spans="1:8" x14ac:dyDescent="0.3">
      <c r="A316" t="s">
        <v>81</v>
      </c>
      <c r="B316" t="s">
        <v>82</v>
      </c>
      <c r="C316" t="s">
        <v>73</v>
      </c>
      <c r="D316" t="s">
        <v>77</v>
      </c>
      <c r="E316" t="s">
        <v>83</v>
      </c>
      <c r="F316" t="s">
        <v>75</v>
      </c>
      <c r="G316" t="s">
        <v>84</v>
      </c>
      <c r="H316" t="s">
        <v>74</v>
      </c>
    </row>
    <row r="317" spans="1:8" x14ac:dyDescent="0.3">
      <c r="A317" s="12" t="str">
        <f>B289</f>
        <v>transport, Bicycle, electric (&lt;25 km/h), 2050</v>
      </c>
      <c r="B317" s="12">
        <v>1</v>
      </c>
      <c r="C317" s="12" t="str">
        <f>B290</f>
        <v>CH</v>
      </c>
      <c r="D317" s="12" t="s">
        <v>172</v>
      </c>
      <c r="E317" s="12"/>
      <c r="F317" s="12" t="s">
        <v>85</v>
      </c>
      <c r="G317" s="12" t="s">
        <v>86</v>
      </c>
      <c r="H317" s="12" t="str">
        <f>B295</f>
        <v>transport, Bicycle, electric (&lt;25 km/h)</v>
      </c>
    </row>
    <row r="318" spans="1:8" x14ac:dyDescent="0.3">
      <c r="A318" s="12" t="str">
        <f>RIGHT(A317,LEN(A317)-11)</f>
        <v>Bicycle, electric (&lt;25 km/h), 2050</v>
      </c>
      <c r="B318" s="12">
        <f>1/B299</f>
        <v>5.0000000000000002E-5</v>
      </c>
      <c r="C318" s="12" t="str">
        <f>B290</f>
        <v>CH</v>
      </c>
      <c r="D318" s="12" t="s">
        <v>77</v>
      </c>
      <c r="E318" s="12"/>
      <c r="F318" s="12" t="s">
        <v>91</v>
      </c>
      <c r="G318" s="12"/>
      <c r="H318" s="12" t="str">
        <f>RIGHT(H317,LEN(H317)-11)</f>
        <v>Bicycle, electric (&lt;25 km/h)</v>
      </c>
    </row>
    <row r="319" spans="1:8" s="21" customFormat="1" x14ac:dyDescent="0.3">
      <c r="A319" s="12" t="str">
        <f>INDEX('ei names mapping'!$B$4:$R$33,MATCH(B291,'ei names mapping'!$A$4:$A$33,0),MATCH(G319,'ei names mapping'!$B$3:$R$3,0))</f>
        <v>road construction</v>
      </c>
      <c r="B319" s="16">
        <f>INDEX('vehicles specifications'!$B$3:$CK$86,MATCH(B294,'vehicles specifications'!$A$3:$A$86,0),MATCH(G319,'vehicles specifications'!$B$2:$CK$2,0))*INDEX('ei names mapping'!$B$137:$BK$220,MATCH(B294,'ei names mapping'!$A$137:$A$220,0),MATCH(G319,'ei names mapping'!$B$136:$BK$136,0))</f>
        <v>5.0338379999999998E-5</v>
      </c>
      <c r="C319" s="12" t="str">
        <f>INDEX('ei names mapping'!$B$38:$R$67,MATCH(B291,'ei names mapping'!$A$4:$A$33,0),MATCH(G319,'ei names mapping'!$B$3:$R$3,0))</f>
        <v>CH</v>
      </c>
      <c r="D319" s="12" t="str">
        <f>INDEX('ei names mapping'!$B$104:$BK$133,MATCH(B291,'ei names mapping'!$A$4:$A$33,0),MATCH(G319,'ei names mapping'!$B$3:$BK$3,0))</f>
        <v>meter-year</v>
      </c>
      <c r="E319" s="12"/>
      <c r="F319" s="12" t="s">
        <v>91</v>
      </c>
      <c r="G319" s="21" t="s">
        <v>108</v>
      </c>
      <c r="H319" s="12" t="str">
        <f>INDEX('ei names mapping'!$B$71:$BK$100,MATCH(B291,'ei names mapping'!$A$4:$A$33,0),MATCH(G319,'ei names mapping'!$B$3:$BK$3,0))</f>
        <v>road</v>
      </c>
    </row>
    <row r="320" spans="1:8" x14ac:dyDescent="0.3">
      <c r="A320" s="12" t="str">
        <f>INDEX('ei names mapping'!$B$4:$R$33,MATCH($B$3,'ei names mapping'!$A$4:$A$33,0),MATCH(G320,'ei names mapping'!$B$3:$R$3,0))</f>
        <v>market for electricity, low voltage</v>
      </c>
      <c r="B320" s="14">
        <f>INDEX('vehicles specifications'!$B$3:$CK$86,MATCH(B294,'vehicles specifications'!$A$3:$A$86,0),MATCH(G320,'vehicles specifications'!$B$2:$CK$2,0))*INDEX('ei names mapping'!$B$137:$BK$220,MATCH(B294,'ei names mapping'!$A$137:$A$220,0),MATCH(G320,'ei names mapping'!$B$136:$BK$136,0))</f>
        <v>7.5382508513468297E-3</v>
      </c>
      <c r="C320" s="12" t="str">
        <f>INDEX('ei names mapping'!$B$38:$R$67,MATCH($B$3,'ei names mapping'!$A$4:$A$33,0),MATCH(G320,'ei names mapping'!$B$3:$R$3,0))</f>
        <v>CH</v>
      </c>
      <c r="D320" s="12" t="str">
        <f>INDEX('ei names mapping'!$B$104:$R$133,MATCH($B$3,'ei names mapping'!$A$4:$A$33,0),MATCH(G320,'ei names mapping'!$B$3:$R$3,0))</f>
        <v>kilowatt hour</v>
      </c>
      <c r="E320" s="12"/>
      <c r="F320" s="12" t="s">
        <v>91</v>
      </c>
      <c r="G320" t="s">
        <v>28</v>
      </c>
      <c r="H320" s="12" t="str">
        <f>INDEX('ei names mapping'!$B$71:$R$100,MATCH($B$3,'ei names mapping'!$A$4:$A$33,0),MATCH(G320,'ei names mapping'!$B$3:$R$3,0))</f>
        <v>electricity, low voltage</v>
      </c>
    </row>
    <row r="321" spans="1:8" x14ac:dyDescent="0.3">
      <c r="A321" s="12" t="str">
        <f>INDEX('ei names mapping'!$B$4:$R$33,MATCH($B$3,'ei names mapping'!$A$4:$A$33,0),MATCH(G321,'ei names mapping'!$B$3:$R$3,0))</f>
        <v>maintenance, electric bicycle, without battery</v>
      </c>
      <c r="B321" s="14">
        <f>INDEX('vehicles specifications'!$B$3:$CK$86,MATCH(B294,'vehicles specifications'!$A$3:$A$86,0),MATCH(G321,'vehicles specifications'!$B$2:$CK$2,0))*INDEX('ei names mapping'!$B$137:$BK$220,MATCH(B294,'ei names mapping'!$A$137:$A$220,0),MATCH(G321,'ei names mapping'!$B$136:$BK$136,0))</f>
        <v>2.5000000000000001E-4</v>
      </c>
      <c r="C321" s="12" t="str">
        <f>INDEX('ei names mapping'!$B$38:$R$67,MATCH($B$3,'ei names mapping'!$A$4:$A$33,0),MATCH(G321,'ei names mapping'!$B$3:$R$3,0))</f>
        <v>CH</v>
      </c>
      <c r="D321" s="12" t="str">
        <f>INDEX('ei names mapping'!$B$104:$R$133,MATCH($B$3,'ei names mapping'!$A$4:$A$33,0),MATCH(G321,'ei names mapping'!$B$3:$R$3,0))</f>
        <v>unit</v>
      </c>
      <c r="E321" s="12"/>
      <c r="F321" s="12" t="s">
        <v>91</v>
      </c>
      <c r="G321" t="s">
        <v>123</v>
      </c>
      <c r="H321" s="12" t="str">
        <f>INDEX('ei names mapping'!$B$71:$R$100,MATCH($B$3,'ei names mapping'!$A$4:$A$33,0),MATCH(G321,'ei names mapping'!$B$3:$R$3,0))</f>
        <v>maintenance, electric bicycle, without battery</v>
      </c>
    </row>
    <row r="322" spans="1:8" x14ac:dyDescent="0.3">
      <c r="A322" s="12" t="str">
        <f>INDEX('ei names mapping'!$B$4:$BK$33,MATCH($B$180,'ei names mapping'!$A$4:$A$33,0),MATCH(G322,'ei names mapping'!$B$3:$BK$3,0))</f>
        <v>treatment of road wear emissions, passenger car</v>
      </c>
      <c r="B322" s="15">
        <f>INDEX('vehicles specifications'!$B$3:$CK$86,MATCH(B294,'vehicles specifications'!$A$3:$A$86,0),MATCH(G322,'vehicles specifications'!$B$2:$CK$2,0))*INDEX('ei names mapping'!$B$137:$BK$220,MATCH(B294,'ei names mapping'!$A$137:$A$220,0),MATCH(G322,'ei names mapping'!$B$136:$BK$136,0))</f>
        <v>-3.0000000000000001E-6</v>
      </c>
      <c r="C322" s="12" t="str">
        <f>INDEX('ei names mapping'!$B$38:$BK$67,MATCH($B$180,'ei names mapping'!$A$4:$A$33,0),MATCH(G322,'ei names mapping'!$B$3:$BK$3,0))</f>
        <v>RER</v>
      </c>
      <c r="D322" s="12" t="str">
        <f>INDEX('ei names mapping'!$B$104:$BK$133,MATCH($B$180,'ei names mapping'!$A$4:$A$33,0),MATCH(G322,'ei names mapping'!$B$3:$BK$3,0))</f>
        <v>kilogram</v>
      </c>
      <c r="E322" s="12"/>
      <c r="F322" s="12" t="s">
        <v>91</v>
      </c>
      <c r="G322" t="s">
        <v>29</v>
      </c>
      <c r="H322" s="12" t="str">
        <f>INDEX('ei names mapping'!$B$71:$BK$100,MATCH(B291,'ei names mapping'!$A$4:$A$33,0),MATCH(G322,'ei names mapping'!$B$3:$BK$3,0))</f>
        <v>road wear emissions, passenger car</v>
      </c>
    </row>
    <row r="323" spans="1:8" x14ac:dyDescent="0.3">
      <c r="A323" s="12" t="str">
        <f>INDEX('ei names mapping'!$B$4:$BK$33,MATCH($B$180,'ei names mapping'!$A$4:$A$33,0),MATCH(G323,'ei names mapping'!$B$3:$BK$3,0))</f>
        <v>treatment of tyre wear emissions, passenger car</v>
      </c>
      <c r="B323" s="15">
        <f>INDEX('vehicles specifications'!$B$3:$CK$86,MATCH(B294,'vehicles specifications'!$A$3:$A$86,0),MATCH(G323,'vehicles specifications'!$B$2:$CK$2,0))*INDEX('ei names mapping'!$B$137:$BK$220,MATCH(B294,'ei names mapping'!$A$137:$A$220,0),MATCH(G323,'ei names mapping'!$B$136:$BK$136,0))</f>
        <v>-2.9189999999999999E-6</v>
      </c>
      <c r="C323" s="12" t="str">
        <f>INDEX('ei names mapping'!$B$38:$BK$67,MATCH($B$180,'ei names mapping'!$A$4:$A$33,0),MATCH(G323,'ei names mapping'!$B$3:$BK$3,0))</f>
        <v>RER</v>
      </c>
      <c r="D323" s="12" t="str">
        <f>INDEX('ei names mapping'!$B$104:$BK$133,MATCH($B$180,'ei names mapping'!$A$4:$A$33,0),MATCH(G323,'ei names mapping'!$B$3:$BK$3,0))</f>
        <v>kilogram</v>
      </c>
      <c r="E323" s="12"/>
      <c r="F323" s="12" t="s">
        <v>91</v>
      </c>
      <c r="G323" t="s">
        <v>30</v>
      </c>
      <c r="H323" s="12" t="str">
        <f>INDEX('ei names mapping'!$B$71:$BK$100,MATCH($B$180,'ei names mapping'!$A$4:$A$33,0),MATCH(G323,'ei names mapping'!$B$3:$BK$3,0))</f>
        <v>tyre wear emissions, passenger car</v>
      </c>
    </row>
    <row r="324" spans="1:8" x14ac:dyDescent="0.3">
      <c r="A324" s="12" t="str">
        <f>INDEX('ei names mapping'!$B$4:$BK$33,MATCH($B$180,'ei names mapping'!$A$4:$A$33,0),MATCH(G324,'ei names mapping'!$B$3:$BK$3,0))</f>
        <v>treatment of brake wear emissions, passenger car</v>
      </c>
      <c r="B324" s="15">
        <f>INDEX('vehicles specifications'!$B$3:$CK$86,MATCH(B294,'vehicles specifications'!$A$3:$A$86,0),MATCH(G324,'vehicles specifications'!$B$2:$CK$2,0))*INDEX('ei names mapping'!$B$137:$BK$220,MATCH(B294,'ei names mapping'!$A$137:$A$220,0),MATCH(G324,'ei names mapping'!$B$136:$BK$136,0))</f>
        <v>-1.8370000000000002E-6</v>
      </c>
      <c r="C324" s="12" t="str">
        <f>INDEX('ei names mapping'!$B$38:$BK$67,MATCH($B$180,'ei names mapping'!$A$4:$A$33,0),MATCH(G324,'ei names mapping'!$B$3:$BK$3,0))</f>
        <v>RER</v>
      </c>
      <c r="D324" s="12" t="str">
        <f>INDEX('ei names mapping'!$B$104:$BK$133,MATCH($B$180,'ei names mapping'!$A$4:$A$33,0),MATCH(G324,'ei names mapping'!$B$3:$BK$3,0))</f>
        <v>kilogram</v>
      </c>
      <c r="E324" s="12"/>
      <c r="F324" s="12" t="s">
        <v>91</v>
      </c>
      <c r="G324" t="s">
        <v>31</v>
      </c>
      <c r="H324" s="12" t="str">
        <f>INDEX('ei names mapping'!$B$71:$BK$100,MATCH($B$180,'ei names mapping'!$A$4:$A$33,0),MATCH(G324,'ei names mapping'!$B$3:$BK$3,0))</f>
        <v>brake wear emissions, passenger car</v>
      </c>
    </row>
    <row r="326" spans="1:8" ht="15.6" x14ac:dyDescent="0.3">
      <c r="A326" s="11" t="s">
        <v>72</v>
      </c>
      <c r="B326" s="9" t="str">
        <f>"transport, "&amp;B328&amp;", "&amp;B330&amp;", label-certified electricity"</f>
        <v>transport, Bicycle, electric (&lt;25 km/h), 2020, label-certified electricity</v>
      </c>
    </row>
    <row r="327" spans="1:8" x14ac:dyDescent="0.3">
      <c r="A327" t="s">
        <v>73</v>
      </c>
      <c r="B327" t="s">
        <v>37</v>
      </c>
    </row>
    <row r="328" spans="1:8" x14ac:dyDescent="0.3">
      <c r="A328" t="s">
        <v>87</v>
      </c>
      <c r="B328" t="s">
        <v>517</v>
      </c>
    </row>
    <row r="329" spans="1:8" x14ac:dyDescent="0.3">
      <c r="A329" t="s">
        <v>88</v>
      </c>
      <c r="B329" s="12"/>
    </row>
    <row r="330" spans="1:8" x14ac:dyDescent="0.3">
      <c r="A330" t="s">
        <v>89</v>
      </c>
      <c r="B330" s="12">
        <v>2020</v>
      </c>
    </row>
    <row r="331" spans="1:8" x14ac:dyDescent="0.3">
      <c r="A331" t="s">
        <v>131</v>
      </c>
      <c r="B331" s="12" t="str">
        <f>B328&amp;" - "&amp;B330&amp;" - "&amp;B327</f>
        <v>Bicycle, electric (&lt;25 km/h) - 2020 - CH</v>
      </c>
    </row>
    <row r="332" spans="1:8" x14ac:dyDescent="0.3">
      <c r="A332" t="s">
        <v>74</v>
      </c>
      <c r="B332" t="str">
        <f>"transport, "&amp;B328</f>
        <v>transport, Bicycle, electric (&lt;25 km/h)</v>
      </c>
    </row>
    <row r="333" spans="1:8" x14ac:dyDescent="0.3">
      <c r="A333" t="s">
        <v>75</v>
      </c>
      <c r="B333" t="s">
        <v>76</v>
      </c>
    </row>
    <row r="334" spans="1:8" x14ac:dyDescent="0.3">
      <c r="A334" t="s">
        <v>77</v>
      </c>
      <c r="B334" t="s">
        <v>172</v>
      </c>
    </row>
    <row r="335" spans="1:8" x14ac:dyDescent="0.3">
      <c r="A335" t="s">
        <v>79</v>
      </c>
      <c r="B335" t="s">
        <v>90</v>
      </c>
    </row>
    <row r="336" spans="1:8" x14ac:dyDescent="0.3">
      <c r="A336" t="s">
        <v>132</v>
      </c>
      <c r="B336">
        <f>INDEX('vehicles specifications'!$B$3:$CK$86,MATCH(B331,'vehicles specifications'!$A$3:$A$86,0),MATCH("Lifetime [km]",'vehicles specifications'!$B$2:$CK$2,0))</f>
        <v>20000</v>
      </c>
    </row>
    <row r="337" spans="1:2" x14ac:dyDescent="0.3">
      <c r="A337" t="s">
        <v>133</v>
      </c>
      <c r="B337">
        <f>INDEX('vehicles specifications'!$B$3:$CK$86,MATCH(B331,'vehicles specifications'!$A$3:$A$86,0),MATCH("Passengers [unit]",'vehicles specifications'!$B$2:$CK$2,0))</f>
        <v>1</v>
      </c>
    </row>
    <row r="338" spans="1:2" x14ac:dyDescent="0.3">
      <c r="A338" t="s">
        <v>134</v>
      </c>
      <c r="B338">
        <f>INDEX('vehicles specifications'!$B$3:$CK$86,MATCH(B331,'vehicles specifications'!$A$3:$A$86,0),MATCH("Servicing [unit]",'vehicles specifications'!$B$2:$CK$2,0))</f>
        <v>5</v>
      </c>
    </row>
    <row r="339" spans="1:2" x14ac:dyDescent="0.3">
      <c r="A339" t="s">
        <v>135</v>
      </c>
      <c r="B339">
        <f>INDEX('vehicles specifications'!$B$3:$CK$86,MATCH(B331,'vehicles specifications'!$A$3:$A$86,0),MATCH("Energy battery replacement [unit]",'vehicles specifications'!$B$2:$CK$2,0))</f>
        <v>1</v>
      </c>
    </row>
    <row r="340" spans="1:2" x14ac:dyDescent="0.3">
      <c r="A340" t="s">
        <v>136</v>
      </c>
      <c r="B340">
        <f>INDEX('vehicles specifications'!$B$3:$CK$86,MATCH(B331,'vehicles specifications'!$A$3:$A$86,0),MATCH("Annual kilometers [km]",'vehicles specifications'!$B$2:$CK$2,0))</f>
        <v>2060</v>
      </c>
    </row>
    <row r="341" spans="1:2" x14ac:dyDescent="0.3">
      <c r="A341" t="s">
        <v>137</v>
      </c>
      <c r="B341">
        <f>INDEX('vehicles specifications'!$B$3:$CK$86,MATCH(B331,'vehicles specifications'!$A$3:$A$86,0),MATCH("Curb mass [kg]",'vehicles specifications'!$B$2:$CK$2,0))</f>
        <v>23.25</v>
      </c>
    </row>
    <row r="342" spans="1:2" x14ac:dyDescent="0.3">
      <c r="A342" t="s">
        <v>138</v>
      </c>
      <c r="B342">
        <f>INDEX('vehicles specifications'!$B$3:$CK$86,MATCH(B331,'vehicles specifications'!$A$3:$A$86,0),MATCH("Power [kW]",'vehicles specifications'!$B$2:$CK$2,0))</f>
        <v>0.3</v>
      </c>
    </row>
    <row r="343" spans="1:2" x14ac:dyDescent="0.3">
      <c r="A343" t="s">
        <v>139</v>
      </c>
      <c r="B343">
        <f>INDEX('vehicles specifications'!$B$3:$CK$86,MATCH(B331,'vehicles specifications'!$A$3:$A$86,0),MATCH("Energy battery mass [kg]",'vehicles specifications'!$B$2:$CK$2,0))</f>
        <v>3.25</v>
      </c>
    </row>
    <row r="344" spans="1:2" x14ac:dyDescent="0.3">
      <c r="A344" t="s">
        <v>140</v>
      </c>
      <c r="B344">
        <f>INDEX('vehicles specifications'!$B$3:$CK$86,MATCH(B331,'vehicles specifications'!$A$3:$A$86,0),MATCH("Electric energy stored [kWh]",'vehicles specifications'!$B$2:$CK$2,0))</f>
        <v>0.5</v>
      </c>
    </row>
    <row r="345" spans="1:2" s="21" customFormat="1" x14ac:dyDescent="0.3">
      <c r="A345" s="21" t="s">
        <v>654</v>
      </c>
      <c r="B345" s="21">
        <f>INDEX('vehicles specifications'!$B$3:$CK$86,MATCH(B331,'vehicles specifications'!$A$3:$A$86,0),MATCH("Electric energy available [kWh]",'vehicles specifications'!$B$2:$CK$2,0))</f>
        <v>0.4</v>
      </c>
    </row>
    <row r="346" spans="1:2" x14ac:dyDescent="0.3">
      <c r="A346" t="s">
        <v>143</v>
      </c>
      <c r="B346">
        <f>INDEX('vehicles specifications'!$B$3:$CK$86,MATCH(B331,'vehicles specifications'!$A$3:$A$86,0),MATCH("Oxydation energy stored [kWh]",'vehicles specifications'!$B$2:$CK$2,0))</f>
        <v>0</v>
      </c>
    </row>
    <row r="347" spans="1:2" x14ac:dyDescent="0.3">
      <c r="A347" t="s">
        <v>145</v>
      </c>
      <c r="B347">
        <f>INDEX('vehicles specifications'!$B$3:$CK$86,MATCH(B331,'vehicles specifications'!$A$3:$A$86,0),MATCH("Fuel mass [kg]",'vehicles specifications'!$B$2:$CK$2,0))</f>
        <v>0</v>
      </c>
    </row>
    <row r="348" spans="1:2" x14ac:dyDescent="0.3">
      <c r="A348" t="s">
        <v>141</v>
      </c>
      <c r="B348" s="2">
        <f>INDEX('vehicles specifications'!$B$3:$CK$86,MATCH(B331,'vehicles specifications'!$A$3:$A$86,0),MATCH("Range [km]",'vehicles specifications'!$B$2:$CK$2,0))</f>
        <v>58.368978251949123</v>
      </c>
    </row>
    <row r="349" spans="1:2" x14ac:dyDescent="0.3">
      <c r="A349" t="s">
        <v>142</v>
      </c>
      <c r="B349" t="str">
        <f>INDEX('vehicles specifications'!$B$3:$CK$86,MATCH(B331,'vehicles specifications'!$A$3:$A$86,0),MATCH("Emission standard",'vehicles specifications'!$B$2:$CK$2,0))</f>
        <v>None</v>
      </c>
    </row>
    <row r="350" spans="1:2" x14ac:dyDescent="0.3">
      <c r="A350" t="s">
        <v>144</v>
      </c>
      <c r="B350" s="6">
        <f>INDEX('vehicles specifications'!$B$3:$CK$86,MATCH(B331,'vehicles specifications'!$A$3:$A$86,0),MATCH("Lightweighting rate [%]",'vehicles specifications'!$B$2:$CK$2,0))</f>
        <v>0</v>
      </c>
    </row>
    <row r="351" spans="1:2" x14ac:dyDescent="0.3">
      <c r="A351" t="s">
        <v>84</v>
      </c>
      <c r="B351" s="21" t="str">
        <f>"Power: "&amp;B342&amp;" kW. Lifetime: "&amp;B336&amp;" km. Annual kilometers: "&amp;B340&amp;" km. Number of passengers: "&amp;B337&amp;". Curb mass: "&amp;ROUND(B341,1)&amp;" kg. Lightweighting of glider: "&amp;ROUND(B350*100,0)&amp;"%. Emission standard: "&amp;B349&amp;". Service visits throughout lifetime: "&amp;ROUND(B338,1)&amp;". Range: "&amp;ROUND(B348,0)&amp;" km. Battery capacity: "&amp;ROUND(B344,1)&amp;" kWh. Available battery capacity: "&amp;B345&amp;" kWh. Battery mass: "&amp;ROUND(B343,1)&amp; " kg. Battery replacement throughout lifetime: "&amp;ROUND(B339,1)&amp;". Fuel tank capacity: "&amp;ROUND(B346,1)&amp;" kWh. Fuel mass: "&amp;ROUND(B347,1)&amp;" kg. Documentation: "&amp;Readmefirst!$B$2&amp;", "&amp;Readmefirst!$B$3&amp;". "&amp;B335</f>
        <v>Power: 0.3 kW. Lifetime: 20000 km. Annual kilometers: 2060 km. Number of passengers: 1. Curb mass: 23.3 kg. Lightweighting of glider: 0%. Emission standard: None. Service visits throughout lifetime: 5. Range: 58 km. Battery capacity: 0.5 kWh. Available battery capacity: 0.4 kWh. Battery mass: 3.3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2" spans="1:2" ht="15.6" x14ac:dyDescent="0.3">
      <c r="A352" s="11" t="s">
        <v>80</v>
      </c>
    </row>
    <row r="353" spans="1:8" x14ac:dyDescent="0.3">
      <c r="A353" t="s">
        <v>81</v>
      </c>
      <c r="B353" t="s">
        <v>82</v>
      </c>
      <c r="C353" t="s">
        <v>73</v>
      </c>
      <c r="D353" t="s">
        <v>77</v>
      </c>
      <c r="E353" t="s">
        <v>83</v>
      </c>
      <c r="F353" t="s">
        <v>75</v>
      </c>
      <c r="G353" t="s">
        <v>84</v>
      </c>
      <c r="H353" t="s">
        <v>74</v>
      </c>
    </row>
    <row r="354" spans="1:8" x14ac:dyDescent="0.3">
      <c r="A354" s="12" t="str">
        <f>B326</f>
        <v>transport, Bicycle, electric (&lt;25 km/h), 2020, label-certified electricity</v>
      </c>
      <c r="B354" s="12">
        <v>1</v>
      </c>
      <c r="C354" s="12" t="str">
        <f>B327</f>
        <v>CH</v>
      </c>
      <c r="D354" s="12" t="s">
        <v>172</v>
      </c>
      <c r="E354" s="12"/>
      <c r="F354" s="12" t="s">
        <v>85</v>
      </c>
      <c r="G354" s="12" t="s">
        <v>86</v>
      </c>
      <c r="H354" s="12" t="str">
        <f>B332</f>
        <v>transport, Bicycle, electric (&lt;25 km/h)</v>
      </c>
    </row>
    <row r="355" spans="1:8" x14ac:dyDescent="0.3">
      <c r="A355" s="12" t="str">
        <f>B328&amp;", "&amp;B330</f>
        <v>Bicycle, electric (&lt;25 km/h), 2020</v>
      </c>
      <c r="B355" s="12">
        <f>1/B336</f>
        <v>5.0000000000000002E-5</v>
      </c>
      <c r="C355" s="12" t="str">
        <f>B327</f>
        <v>CH</v>
      </c>
      <c r="D355" s="12" t="s">
        <v>77</v>
      </c>
      <c r="E355" s="12"/>
      <c r="F355" s="12" t="s">
        <v>91</v>
      </c>
      <c r="G355" s="12"/>
      <c r="H355" s="12" t="str">
        <f>RIGHT(H354,LEN(H354)-11)</f>
        <v>Bicycle, electric (&lt;25 km/h)</v>
      </c>
    </row>
    <row r="356" spans="1:8" s="21" customFormat="1" x14ac:dyDescent="0.3">
      <c r="A356" s="12" t="str">
        <f>INDEX('ei names mapping'!$B$4:$R$33,MATCH(B328,'ei names mapping'!$A$4:$A$33,0),MATCH(G356,'ei names mapping'!$B$3:$R$3,0))</f>
        <v>road construction</v>
      </c>
      <c r="B356" s="16">
        <f>INDEX('vehicles specifications'!$B$3:$CK$86,MATCH(B331,'vehicles specifications'!$A$3:$A$86,0),MATCH(G356,'vehicles specifications'!$B$2:$CK$2,0))*INDEX('ei names mapping'!$B$137:$BK$220,MATCH(B331,'ei names mapping'!$A$137:$A$220,0),MATCH(G356,'ei names mapping'!$B$136:$BK$136,0))</f>
        <v>5.061225E-5</v>
      </c>
      <c r="C356" s="12" t="str">
        <f>INDEX('ei names mapping'!$B$38:$R$67,MATCH(B328,'ei names mapping'!$A$4:$A$33,0),MATCH(G356,'ei names mapping'!$B$3:$R$3,0))</f>
        <v>CH</v>
      </c>
      <c r="D356" s="12" t="str">
        <f>INDEX('ei names mapping'!$B$104:$BK$133,MATCH(B328,'ei names mapping'!$A$4:$A$33,0),MATCH(G356,'ei names mapping'!$B$3:$BK$3,0))</f>
        <v>meter-year</v>
      </c>
      <c r="E356" s="12"/>
      <c r="F356" s="12" t="s">
        <v>91</v>
      </c>
      <c r="G356" s="21" t="s">
        <v>108</v>
      </c>
      <c r="H356" s="12" t="str">
        <f>INDEX('ei names mapping'!$B$71:$BK$100,MATCH(B328,'ei names mapping'!$A$4:$A$33,0),MATCH(G356,'ei names mapping'!$B$3:$BK$3,0))</f>
        <v>road</v>
      </c>
    </row>
    <row r="357" spans="1:8" x14ac:dyDescent="0.3">
      <c r="A357" s="12" t="s">
        <v>114</v>
      </c>
      <c r="B357" s="14">
        <f>INDEX('vehicles specifications'!$B$3:$CK$86,MATCH(B331,'vehicles specifications'!$A$3:$A$86,0),MATCH(G357,'vehicles specifications'!$B$2:$CK$2,0))*INDEX('ei names mapping'!$B$137:$BK$220,MATCH(B331,'ei names mapping'!$A$137:$A$220,0),MATCH(G357,'ei names mapping'!$B$136:$BK$136,0))</f>
        <v>7.5382508513468297E-3</v>
      </c>
      <c r="C357" s="12" t="str">
        <f>INDEX('ei names mapping'!$B$38:$R$67,MATCH($B$3,'ei names mapping'!$A$4:$A$33,0),MATCH(G357,'ei names mapping'!$B$3:$R$3,0))</f>
        <v>CH</v>
      </c>
      <c r="D357" s="12" t="str">
        <f>INDEX('ei names mapping'!$B$104:$R$133,MATCH($B$3,'ei names mapping'!$A$4:$A$33,0),MATCH(G357,'ei names mapping'!$B$3:$R$3,0))</f>
        <v>kilowatt hour</v>
      </c>
      <c r="E357" s="12"/>
      <c r="F357" s="12" t="s">
        <v>91</v>
      </c>
      <c r="G357" t="s">
        <v>28</v>
      </c>
      <c r="H357" s="12" t="s">
        <v>116</v>
      </c>
    </row>
    <row r="358" spans="1:8" x14ac:dyDescent="0.3">
      <c r="A358" s="12" t="str">
        <f>INDEX('ei names mapping'!$B$4:$R$33,MATCH($B$3,'ei names mapping'!$A$4:$A$33,0),MATCH(G358,'ei names mapping'!$B$3:$R$3,0))</f>
        <v>maintenance, electric bicycle, without battery</v>
      </c>
      <c r="B358" s="14">
        <f>INDEX('vehicles specifications'!$B$3:$CK$86,MATCH(B331,'vehicles specifications'!$A$3:$A$86,0),MATCH(G358,'vehicles specifications'!$B$2:$CK$2,0))*INDEX('ei names mapping'!$B$137:$BK$220,MATCH(B331,'ei names mapping'!$A$137:$A$220,0),MATCH(G358,'ei names mapping'!$B$136:$BK$136,0))</f>
        <v>2.5000000000000001E-4</v>
      </c>
      <c r="C358" s="12" t="str">
        <f>INDEX('ei names mapping'!$B$38:$R$67,MATCH($B$3,'ei names mapping'!$A$4:$A$33,0),MATCH(G358,'ei names mapping'!$B$3:$R$3,0))</f>
        <v>CH</v>
      </c>
      <c r="D358" s="12" t="str">
        <f>INDEX('ei names mapping'!$B$104:$R$133,MATCH($B$3,'ei names mapping'!$A$4:$A$33,0),MATCH(G358,'ei names mapping'!$B$3:$R$3,0))</f>
        <v>unit</v>
      </c>
      <c r="E358" s="12"/>
      <c r="F358" s="12" t="s">
        <v>91</v>
      </c>
      <c r="G358" t="s">
        <v>123</v>
      </c>
      <c r="H358" s="12" t="str">
        <f>INDEX('ei names mapping'!$B$71:$R$100,MATCH($B$3,'ei names mapping'!$A$4:$A$33,0),MATCH(G358,'ei names mapping'!$B$3:$R$3,0))</f>
        <v>maintenance, electric bicycle, without battery</v>
      </c>
    </row>
    <row r="359" spans="1:8" x14ac:dyDescent="0.3">
      <c r="A359" s="12" t="str">
        <f>INDEX('ei names mapping'!$B$4:$BK$33,MATCH($B$180,'ei names mapping'!$A$4:$A$33,0),MATCH(G359,'ei names mapping'!$B$3:$BK$3,0))</f>
        <v>treatment of road wear emissions, passenger car</v>
      </c>
      <c r="B359" s="15">
        <f>INDEX('vehicles specifications'!$B$3:$CK$86,MATCH(B331,'vehicles specifications'!$A$3:$A$86,0),MATCH(G359,'vehicles specifications'!$B$2:$CK$2,0))*INDEX('ei names mapping'!$B$137:$BK$220,MATCH(B331,'ei names mapping'!$A$137:$A$220,0),MATCH(G359,'ei names mapping'!$B$136:$BK$136,0))</f>
        <v>-3.0000000000000001E-6</v>
      </c>
      <c r="C359" s="12" t="str">
        <f>INDEX('ei names mapping'!$B$38:$BK$67,MATCH($B$180,'ei names mapping'!$A$4:$A$33,0),MATCH(G359,'ei names mapping'!$B$3:$BK$3,0))</f>
        <v>RER</v>
      </c>
      <c r="D359" s="12" t="str">
        <f>INDEX('ei names mapping'!$B$104:$BK$133,MATCH($B$180,'ei names mapping'!$A$4:$A$33,0),MATCH(G359,'ei names mapping'!$B$3:$BK$3,0))</f>
        <v>kilogram</v>
      </c>
      <c r="E359" s="12"/>
      <c r="F359" s="12" t="s">
        <v>91</v>
      </c>
      <c r="G359" t="s">
        <v>29</v>
      </c>
      <c r="H359" s="12" t="str">
        <f>INDEX('ei names mapping'!$B$71:$BK$100,MATCH(B328,'ei names mapping'!$A$4:$A$33,0),MATCH(G359,'ei names mapping'!$B$3:$BK$3,0))</f>
        <v>road wear emissions, passenger car</v>
      </c>
    </row>
    <row r="360" spans="1:8" x14ac:dyDescent="0.3">
      <c r="A360" s="12" t="str">
        <f>INDEX('ei names mapping'!$B$4:$BK$33,MATCH($B$180,'ei names mapping'!$A$4:$A$33,0),MATCH(G360,'ei names mapping'!$B$3:$BK$3,0))</f>
        <v>treatment of tyre wear emissions, passenger car</v>
      </c>
      <c r="B360" s="15">
        <f>INDEX('vehicles specifications'!$B$3:$CK$86,MATCH(B331,'vehicles specifications'!$A$3:$A$86,0),MATCH(G360,'vehicles specifications'!$B$2:$CK$2,0))*INDEX('ei names mapping'!$B$137:$BK$220,MATCH(B331,'ei names mapping'!$A$137:$A$220,0),MATCH(G360,'ei names mapping'!$B$136:$BK$136,0))</f>
        <v>-2.9189999999999999E-6</v>
      </c>
      <c r="C360" s="12" t="str">
        <f>INDEX('ei names mapping'!$B$38:$BK$67,MATCH($B$180,'ei names mapping'!$A$4:$A$33,0),MATCH(G360,'ei names mapping'!$B$3:$BK$3,0))</f>
        <v>RER</v>
      </c>
      <c r="D360" s="12" t="str">
        <f>INDEX('ei names mapping'!$B$104:$BK$133,MATCH($B$180,'ei names mapping'!$A$4:$A$33,0),MATCH(G360,'ei names mapping'!$B$3:$BK$3,0))</f>
        <v>kilogram</v>
      </c>
      <c r="E360" s="12"/>
      <c r="F360" s="12" t="s">
        <v>91</v>
      </c>
      <c r="G360" t="s">
        <v>30</v>
      </c>
      <c r="H360" s="12" t="str">
        <f>INDEX('ei names mapping'!$B$71:$BK$100,MATCH($B$180,'ei names mapping'!$A$4:$A$33,0),MATCH(G360,'ei names mapping'!$B$3:$BK$3,0))</f>
        <v>tyre wear emissions, passenger car</v>
      </c>
    </row>
    <row r="361" spans="1:8" x14ac:dyDescent="0.3">
      <c r="A361" s="12" t="str">
        <f>INDEX('ei names mapping'!$B$4:$BK$33,MATCH($B$180,'ei names mapping'!$A$4:$A$33,0),MATCH(G361,'ei names mapping'!$B$3:$BK$3,0))</f>
        <v>treatment of brake wear emissions, passenger car</v>
      </c>
      <c r="B361" s="15">
        <f>INDEX('vehicles specifications'!$B$3:$CK$86,MATCH(B331,'vehicles specifications'!$A$3:$A$86,0),MATCH(G361,'vehicles specifications'!$B$2:$CK$2,0))*INDEX('ei names mapping'!$B$137:$BK$220,MATCH(B331,'ei names mapping'!$A$137:$A$220,0),MATCH(G361,'ei names mapping'!$B$136:$BK$136,0))</f>
        <v>-1.8370000000000002E-6</v>
      </c>
      <c r="C361" s="12" t="str">
        <f>INDEX('ei names mapping'!$B$38:$BK$67,MATCH($B$180,'ei names mapping'!$A$4:$A$33,0),MATCH(G361,'ei names mapping'!$B$3:$BK$3,0))</f>
        <v>RER</v>
      </c>
      <c r="D361" s="12" t="str">
        <f>INDEX('ei names mapping'!$B$104:$BK$133,MATCH($B$180,'ei names mapping'!$A$4:$A$33,0),MATCH(G361,'ei names mapping'!$B$3:$BK$3,0))</f>
        <v>kilogram</v>
      </c>
      <c r="E361" s="12"/>
      <c r="F361" s="12" t="s">
        <v>91</v>
      </c>
      <c r="G361" t="s">
        <v>31</v>
      </c>
      <c r="H361" s="12" t="str">
        <f>INDEX('ei names mapping'!$B$71:$BK$100,MATCH($B$180,'ei names mapping'!$A$4:$A$33,0),MATCH(G361,'ei names mapping'!$B$3:$BK$3,0))</f>
        <v>brake wear emissions, passenger car</v>
      </c>
    </row>
    <row r="363" spans="1:8" ht="15.6" x14ac:dyDescent="0.3">
      <c r="A363" s="11" t="s">
        <v>72</v>
      </c>
      <c r="B363" s="9" t="str">
        <f>"transport, "&amp;B365&amp;", "&amp;B367&amp;", label-certified electricity"</f>
        <v>transport, Bicycle, electric (&lt;25 km/h), 2030, label-certified electricity</v>
      </c>
    </row>
    <row r="364" spans="1:8" x14ac:dyDescent="0.3">
      <c r="A364" t="s">
        <v>73</v>
      </c>
      <c r="B364" t="s">
        <v>37</v>
      </c>
    </row>
    <row r="365" spans="1:8" x14ac:dyDescent="0.3">
      <c r="A365" t="s">
        <v>87</v>
      </c>
      <c r="B365" s="21" t="s">
        <v>517</v>
      </c>
    </row>
    <row r="366" spans="1:8" x14ac:dyDescent="0.3">
      <c r="A366" t="s">
        <v>88</v>
      </c>
      <c r="B366" s="12"/>
    </row>
    <row r="367" spans="1:8" x14ac:dyDescent="0.3">
      <c r="A367" t="s">
        <v>89</v>
      </c>
      <c r="B367" s="12">
        <v>2030</v>
      </c>
    </row>
    <row r="368" spans="1:8" x14ac:dyDescent="0.3">
      <c r="A368" t="s">
        <v>131</v>
      </c>
      <c r="B368" s="12" t="str">
        <f>B365&amp;" - "&amp;B367&amp;" - "&amp;B364</f>
        <v>Bicycle, electric (&lt;25 km/h) - 2030 - CH</v>
      </c>
    </row>
    <row r="369" spans="1:2" x14ac:dyDescent="0.3">
      <c r="A369" t="s">
        <v>74</v>
      </c>
      <c r="B369" t="str">
        <f>"transport, "&amp;B365</f>
        <v>transport, Bicycle, electric (&lt;25 km/h)</v>
      </c>
    </row>
    <row r="370" spans="1:2" x14ac:dyDescent="0.3">
      <c r="A370" t="s">
        <v>75</v>
      </c>
      <c r="B370" t="s">
        <v>76</v>
      </c>
    </row>
    <row r="371" spans="1:2" x14ac:dyDescent="0.3">
      <c r="A371" t="s">
        <v>77</v>
      </c>
      <c r="B371" t="s">
        <v>172</v>
      </c>
    </row>
    <row r="372" spans="1:2" x14ac:dyDescent="0.3">
      <c r="A372" t="s">
        <v>79</v>
      </c>
      <c r="B372" t="s">
        <v>90</v>
      </c>
    </row>
    <row r="373" spans="1:2" x14ac:dyDescent="0.3">
      <c r="A373" t="s">
        <v>132</v>
      </c>
      <c r="B373">
        <f>INDEX('vehicles specifications'!$B$3:$CK$86,MATCH(B368,'vehicles specifications'!$A$3:$A$86,0),MATCH("Lifetime [km]",'vehicles specifications'!$B$2:$CK$2,0))</f>
        <v>20000</v>
      </c>
    </row>
    <row r="374" spans="1:2" x14ac:dyDescent="0.3">
      <c r="A374" t="s">
        <v>133</v>
      </c>
      <c r="B374">
        <f>INDEX('vehicles specifications'!$B$3:$CK$86,MATCH(B368,'vehicles specifications'!$A$3:$A$86,0),MATCH("Passengers [unit]",'vehicles specifications'!$B$2:$CK$2,0))</f>
        <v>1</v>
      </c>
    </row>
    <row r="375" spans="1:2" x14ac:dyDescent="0.3">
      <c r="A375" t="s">
        <v>134</v>
      </c>
      <c r="B375">
        <f>INDEX('vehicles specifications'!$B$3:$CK$86,MATCH(B368,'vehicles specifications'!$A$3:$A$86,0),MATCH("Servicing [unit]",'vehicles specifications'!$B$2:$CK$2,0))</f>
        <v>5</v>
      </c>
    </row>
    <row r="376" spans="1:2" x14ac:dyDescent="0.3">
      <c r="A376" t="s">
        <v>135</v>
      </c>
      <c r="B376">
        <f>INDEX('vehicles specifications'!$B$3:$CK$86,MATCH(B368,'vehicles specifications'!$A$3:$A$86,0),MATCH("Energy battery replacement [unit]",'vehicles specifications'!$B$2:$CK$2,0))</f>
        <v>0.5</v>
      </c>
    </row>
    <row r="377" spans="1:2" x14ac:dyDescent="0.3">
      <c r="A377" t="s">
        <v>136</v>
      </c>
      <c r="B377">
        <f>INDEX('vehicles specifications'!$B$3:$CK$86,MATCH(B368,'vehicles specifications'!$A$3:$A$86,0),MATCH("Annual kilometers [km]",'vehicles specifications'!$B$2:$CK$2,0))</f>
        <v>2060</v>
      </c>
    </row>
    <row r="378" spans="1:2" x14ac:dyDescent="0.3">
      <c r="A378" t="s">
        <v>137</v>
      </c>
      <c r="B378">
        <f>INDEX('vehicles specifications'!$B$3:$CK$86,MATCH(B368,'vehicles specifications'!$A$3:$A$86,0),MATCH("Curb mass [kg]",'vehicles specifications'!$B$2:$CK$2,0))</f>
        <v>22.886666666666663</v>
      </c>
    </row>
    <row r="379" spans="1:2" x14ac:dyDescent="0.3">
      <c r="A379" t="s">
        <v>138</v>
      </c>
      <c r="B379">
        <f>INDEX('vehicles specifications'!$B$3:$CK$86,MATCH(B368,'vehicles specifications'!$A$3:$A$86,0),MATCH("Power [kW]",'vehicles specifications'!$B$2:$CK$2,0))</f>
        <v>0.3</v>
      </c>
    </row>
    <row r="380" spans="1:2" x14ac:dyDescent="0.3">
      <c r="A380" t="s">
        <v>139</v>
      </c>
      <c r="B380">
        <f>INDEX('vehicles specifications'!$B$3:$CK$86,MATCH(B368,'vehicles specifications'!$A$3:$A$86,0),MATCH("Energy battery mass [kg]",'vehicles specifications'!$B$2:$CK$2,0))</f>
        <v>3.4666666666666668</v>
      </c>
    </row>
    <row r="381" spans="1:2" x14ac:dyDescent="0.3">
      <c r="A381" t="s">
        <v>140</v>
      </c>
      <c r="B381">
        <f>INDEX('vehicles specifications'!$B$3:$CK$86,MATCH(B368,'vehicles specifications'!$A$3:$A$86,0),MATCH("Electric energy stored [kWh]",'vehicles specifications'!$B$2:$CK$2,0))</f>
        <v>0.8</v>
      </c>
    </row>
    <row r="382" spans="1:2" s="21" customFormat="1" x14ac:dyDescent="0.3">
      <c r="A382" s="21" t="s">
        <v>654</v>
      </c>
      <c r="B382" s="21">
        <f>INDEX('vehicles specifications'!$B$3:$CK$86,MATCH(B368,'vehicles specifications'!$A$3:$A$86,0),MATCH("Electric energy available [kWh]",'vehicles specifications'!$B$2:$CK$2,0))</f>
        <v>0.64000000000000012</v>
      </c>
    </row>
    <row r="383" spans="1:2" x14ac:dyDescent="0.3">
      <c r="A383" t="s">
        <v>143</v>
      </c>
      <c r="B383">
        <f>INDEX('vehicles specifications'!$B$3:$CK$86,MATCH(B368,'vehicles specifications'!$A$3:$A$86,0),MATCH("Oxydation energy stored [kWh]",'vehicles specifications'!$B$2:$CK$2,0))</f>
        <v>0</v>
      </c>
    </row>
    <row r="384" spans="1:2" x14ac:dyDescent="0.3">
      <c r="A384" t="s">
        <v>145</v>
      </c>
      <c r="B384">
        <f>INDEX('vehicles specifications'!$B$3:$CK$86,MATCH(B368,'vehicles specifications'!$A$3:$A$86,0),MATCH("Fuel mass [kg]",'vehicles specifications'!$B$2:$CK$2,0))</f>
        <v>0</v>
      </c>
    </row>
    <row r="385" spans="1:8" x14ac:dyDescent="0.3">
      <c r="A385" t="s">
        <v>141</v>
      </c>
      <c r="B385" s="2">
        <f>INDEX('vehicles specifications'!$B$3:$CK$86,MATCH(B368,'vehicles specifications'!$A$3:$A$86,0),MATCH("Range [km]",'vehicles specifications'!$B$2:$CK$2,0))</f>
        <v>93.390365203118606</v>
      </c>
    </row>
    <row r="386" spans="1:8" x14ac:dyDescent="0.3">
      <c r="A386" t="s">
        <v>142</v>
      </c>
      <c r="B386" t="str">
        <f>INDEX('vehicles specifications'!$B$3:$CK$86,MATCH(B368,'vehicles specifications'!$A$3:$A$86,0),MATCH("Emission standard",'vehicles specifications'!$B$2:$CK$2,0))</f>
        <v>None</v>
      </c>
    </row>
    <row r="387" spans="1:8" x14ac:dyDescent="0.3">
      <c r="A387" t="s">
        <v>144</v>
      </c>
      <c r="B387" s="6">
        <f>INDEX('vehicles specifications'!$B$3:$CK$86,MATCH(B368,'vehicles specifications'!$A$3:$A$86,0),MATCH("Lightweighting rate [%]",'vehicles specifications'!$B$2:$CK$2,0))</f>
        <v>0.03</v>
      </c>
    </row>
    <row r="388" spans="1:8" x14ac:dyDescent="0.3">
      <c r="A388" t="s">
        <v>84</v>
      </c>
      <c r="B388" s="21" t="str">
        <f>"Power: "&amp;B379&amp;" kW. Lifetime: "&amp;B373&amp;" km. Annual kilometers: "&amp;B377&amp;" km. Number of passengers: "&amp;B374&amp;". Curb mass: "&amp;ROUND(B378,1)&amp;" kg. Lightweighting of glider: "&amp;ROUND(B387*100,0)&amp;"%. Emission standard: "&amp;B386&amp;". Service visits throughout lifetime: "&amp;ROUND(B375,1)&amp;". Range: "&amp;ROUND(B385,0)&amp;" km. Battery capacity: "&amp;ROUND(B381,1)&amp;" kWh. Available battery capacity: "&amp;B382&amp;" kWh. Battery mass: "&amp;ROUND(B380,1)&amp; " kg. Battery replacement throughout lifetime: "&amp;ROUND(B376,1)&amp;". Fuel tank capacity: "&amp;ROUND(B383,1)&amp;" kWh. Fuel mass: "&amp;ROUND(B384,1)&amp;" kg. Documentation: "&amp;Readmefirst!$B$2&amp;", "&amp;Readmefirst!$B$3&amp;". "&amp;B372</f>
        <v>Power: 0.3 kW. Lifetime: 20000 km. Annual kilometers: 2060 km. Number of passengers: 1. Curb mass: 22.9 kg. Lightweighting of glider: 3%. Emission standard: None. Service visits throughout lifetime: 5. Range: 93 km. Battery capacity: 0.8 kWh. Available battery capacity: 0.64 kWh. Battery mass: 3.5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89" spans="1:8" ht="15.6" x14ac:dyDescent="0.3">
      <c r="A389" s="11" t="s">
        <v>80</v>
      </c>
    </row>
    <row r="390" spans="1:8" x14ac:dyDescent="0.3">
      <c r="A390" t="s">
        <v>81</v>
      </c>
      <c r="B390" t="s">
        <v>82</v>
      </c>
      <c r="C390" t="s">
        <v>73</v>
      </c>
      <c r="D390" t="s">
        <v>77</v>
      </c>
      <c r="E390" t="s">
        <v>83</v>
      </c>
      <c r="F390" t="s">
        <v>75</v>
      </c>
      <c r="G390" t="s">
        <v>84</v>
      </c>
      <c r="H390" t="s">
        <v>74</v>
      </c>
    </row>
    <row r="391" spans="1:8" x14ac:dyDescent="0.3">
      <c r="A391" s="12" t="str">
        <f>B363</f>
        <v>transport, Bicycle, electric (&lt;25 km/h), 2030, label-certified electricity</v>
      </c>
      <c r="B391" s="12">
        <v>1</v>
      </c>
      <c r="C391" s="12" t="str">
        <f>B364</f>
        <v>CH</v>
      </c>
      <c r="D391" s="12" t="s">
        <v>172</v>
      </c>
      <c r="E391" s="12"/>
      <c r="F391" s="12" t="s">
        <v>85</v>
      </c>
      <c r="G391" s="12" t="s">
        <v>86</v>
      </c>
      <c r="H391" s="12" t="str">
        <f>B369</f>
        <v>transport, Bicycle, electric (&lt;25 km/h)</v>
      </c>
    </row>
    <row r="392" spans="1:8" x14ac:dyDescent="0.3">
      <c r="A392" s="12" t="str">
        <f>B365&amp;", "&amp;B367</f>
        <v>Bicycle, electric (&lt;25 km/h), 2030</v>
      </c>
      <c r="B392" s="12">
        <f>1/B373</f>
        <v>5.0000000000000002E-5</v>
      </c>
      <c r="C392" s="12" t="str">
        <f>B364</f>
        <v>CH</v>
      </c>
      <c r="D392" s="12" t="s">
        <v>77</v>
      </c>
      <c r="E392" s="12"/>
      <c r="F392" s="12" t="s">
        <v>91</v>
      </c>
      <c r="G392" s="12"/>
      <c r="H392" s="12" t="str">
        <f>RIGHT(H391,LEN(H391)-11)</f>
        <v>Bicycle, electric (&lt;25 km/h)</v>
      </c>
    </row>
    <row r="393" spans="1:8" s="21" customFormat="1" x14ac:dyDescent="0.3">
      <c r="A393" s="12" t="str">
        <f>INDEX('ei names mapping'!$B$4:$R$33,MATCH(B365,'ei names mapping'!$A$4:$A$33,0),MATCH(G393,'ei names mapping'!$B$3:$R$3,0))</f>
        <v>road construction</v>
      </c>
      <c r="B393" s="16">
        <f>INDEX('vehicles specifications'!$B$3:$CK$86,MATCH(B368,'vehicles specifications'!$A$3:$A$86,0),MATCH(G393,'vehicles specifications'!$B$2:$CK$2,0))*INDEX('ei names mapping'!$B$137:$BK$220,MATCH(B368,'ei names mapping'!$A$137:$A$220,0),MATCH(G393,'ei names mapping'!$B$136:$BK$136,0))</f>
        <v>5.0417139999999991E-5</v>
      </c>
      <c r="C393" s="12" t="str">
        <f>INDEX('ei names mapping'!$B$38:$R$67,MATCH(B365,'ei names mapping'!$A$4:$A$33,0),MATCH(G393,'ei names mapping'!$B$3:$R$3,0))</f>
        <v>CH</v>
      </c>
      <c r="D393" s="12" t="str">
        <f>INDEX('ei names mapping'!$B$104:$BK$133,MATCH(B365,'ei names mapping'!$A$4:$A$33,0),MATCH(G393,'ei names mapping'!$B$3:$BK$3,0))</f>
        <v>meter-year</v>
      </c>
      <c r="E393" s="12"/>
      <c r="F393" s="12" t="s">
        <v>91</v>
      </c>
      <c r="G393" s="21" t="s">
        <v>108</v>
      </c>
      <c r="H393" s="12" t="str">
        <f>INDEX('ei names mapping'!$B$71:$BK$100,MATCH(B365,'ei names mapping'!$A$4:$A$33,0),MATCH(G393,'ei names mapping'!$B$3:$BK$3,0))</f>
        <v>road</v>
      </c>
    </row>
    <row r="394" spans="1:8" x14ac:dyDescent="0.3">
      <c r="A394" s="12" t="s">
        <v>114</v>
      </c>
      <c r="B394" s="14">
        <f>INDEX('vehicles specifications'!$B$3:$CK$86,MATCH(B368,'vehicles specifications'!$A$3:$A$86,0),MATCH(G394,'vehicles specifications'!$B$2:$CK$2,0))*INDEX('ei names mapping'!$B$137:$BK$220,MATCH(B368,'ei names mapping'!$A$137:$A$220,0),MATCH(G394,'ei names mapping'!$B$136:$BK$136,0))</f>
        <v>7.5382508513468297E-3</v>
      </c>
      <c r="C394" s="12" t="str">
        <f>INDEX('ei names mapping'!$B$38:$R$67,MATCH($B$3,'ei names mapping'!$A$4:$A$33,0),MATCH(G394,'ei names mapping'!$B$3:$R$3,0))</f>
        <v>CH</v>
      </c>
      <c r="D394" s="12" t="str">
        <f>INDEX('ei names mapping'!$B$104:$R$133,MATCH($B$3,'ei names mapping'!$A$4:$A$33,0),MATCH(G394,'ei names mapping'!$B$3:$R$3,0))</f>
        <v>kilowatt hour</v>
      </c>
      <c r="E394" s="12"/>
      <c r="F394" s="12" t="s">
        <v>91</v>
      </c>
      <c r="G394" t="s">
        <v>28</v>
      </c>
      <c r="H394" s="12" t="s">
        <v>116</v>
      </c>
    </row>
    <row r="395" spans="1:8" x14ac:dyDescent="0.3">
      <c r="A395" s="12" t="str">
        <f>INDEX('ei names mapping'!$B$4:$R$33,MATCH($B$3,'ei names mapping'!$A$4:$A$33,0),MATCH(G395,'ei names mapping'!$B$3:$R$3,0))</f>
        <v>maintenance, electric bicycle, without battery</v>
      </c>
      <c r="B395" s="14">
        <f>INDEX('vehicles specifications'!$B$3:$CK$86,MATCH(B368,'vehicles specifications'!$A$3:$A$86,0),MATCH(G395,'vehicles specifications'!$B$2:$CK$2,0))*INDEX('ei names mapping'!$B$137:$BK$220,MATCH(B368,'ei names mapping'!$A$137:$A$220,0),MATCH(G395,'ei names mapping'!$B$136:$BK$136,0))</f>
        <v>2.5000000000000001E-4</v>
      </c>
      <c r="C395" s="12" t="str">
        <f>INDEX('ei names mapping'!$B$38:$R$67,MATCH($B$3,'ei names mapping'!$A$4:$A$33,0),MATCH(G395,'ei names mapping'!$B$3:$R$3,0))</f>
        <v>CH</v>
      </c>
      <c r="D395" s="12" t="str">
        <f>INDEX('ei names mapping'!$B$104:$R$133,MATCH($B$3,'ei names mapping'!$A$4:$A$33,0),MATCH(G395,'ei names mapping'!$B$3:$R$3,0))</f>
        <v>unit</v>
      </c>
      <c r="E395" s="12"/>
      <c r="F395" s="12" t="s">
        <v>91</v>
      </c>
      <c r="G395" t="s">
        <v>123</v>
      </c>
      <c r="H395" s="12" t="str">
        <f>INDEX('ei names mapping'!$B$71:$R$100,MATCH($B$3,'ei names mapping'!$A$4:$A$33,0),MATCH(G395,'ei names mapping'!$B$3:$R$3,0))</f>
        <v>maintenance, electric bicycle, without battery</v>
      </c>
    </row>
    <row r="396" spans="1:8" x14ac:dyDescent="0.3">
      <c r="A396" s="12" t="str">
        <f>INDEX('ei names mapping'!$B$4:$BK$33,MATCH($B$180,'ei names mapping'!$A$4:$A$33,0),MATCH(G396,'ei names mapping'!$B$3:$BK$3,0))</f>
        <v>treatment of road wear emissions, passenger car</v>
      </c>
      <c r="B396" s="15">
        <f>INDEX('vehicles specifications'!$B$3:$CK$86,MATCH(B368,'vehicles specifications'!$A$3:$A$86,0),MATCH(G396,'vehicles specifications'!$B$2:$CK$2,0))*INDEX('ei names mapping'!$B$137:$BK$220,MATCH(B368,'ei names mapping'!$A$137:$A$220,0),MATCH(G396,'ei names mapping'!$B$136:$BK$136,0))</f>
        <v>-3.0000000000000001E-6</v>
      </c>
      <c r="C396" s="12" t="str">
        <f>INDEX('ei names mapping'!$B$38:$BK$67,MATCH($B$180,'ei names mapping'!$A$4:$A$33,0),MATCH(G396,'ei names mapping'!$B$3:$BK$3,0))</f>
        <v>RER</v>
      </c>
      <c r="D396" s="12" t="str">
        <f>INDEX('ei names mapping'!$B$104:$BK$133,MATCH($B$180,'ei names mapping'!$A$4:$A$33,0),MATCH(G396,'ei names mapping'!$B$3:$BK$3,0))</f>
        <v>kilogram</v>
      </c>
      <c r="E396" s="12"/>
      <c r="F396" s="12" t="s">
        <v>91</v>
      </c>
      <c r="G396" t="s">
        <v>29</v>
      </c>
      <c r="H396" s="12" t="str">
        <f>INDEX('ei names mapping'!$B$71:$BK$100,MATCH(B365,'ei names mapping'!$A$4:$A$33,0),MATCH(G396,'ei names mapping'!$B$3:$BK$3,0))</f>
        <v>road wear emissions, passenger car</v>
      </c>
    </row>
    <row r="397" spans="1:8" x14ac:dyDescent="0.3">
      <c r="A397" s="12" t="str">
        <f>INDEX('ei names mapping'!$B$4:$BK$33,MATCH($B$180,'ei names mapping'!$A$4:$A$33,0),MATCH(G397,'ei names mapping'!$B$3:$BK$3,0))</f>
        <v>treatment of tyre wear emissions, passenger car</v>
      </c>
      <c r="B397" s="15">
        <f>INDEX('vehicles specifications'!$B$3:$CK$86,MATCH(B368,'vehicles specifications'!$A$3:$A$86,0),MATCH(G397,'vehicles specifications'!$B$2:$CK$2,0))*INDEX('ei names mapping'!$B$137:$BK$220,MATCH(B368,'ei names mapping'!$A$137:$A$220,0),MATCH(G397,'ei names mapping'!$B$136:$BK$136,0))</f>
        <v>-2.9189999999999999E-6</v>
      </c>
      <c r="C397" s="12" t="str">
        <f>INDEX('ei names mapping'!$B$38:$BK$67,MATCH($B$180,'ei names mapping'!$A$4:$A$33,0),MATCH(G397,'ei names mapping'!$B$3:$BK$3,0))</f>
        <v>RER</v>
      </c>
      <c r="D397" s="12" t="str">
        <f>INDEX('ei names mapping'!$B$104:$BK$133,MATCH($B$180,'ei names mapping'!$A$4:$A$33,0),MATCH(G397,'ei names mapping'!$B$3:$BK$3,0))</f>
        <v>kilogram</v>
      </c>
      <c r="E397" s="12"/>
      <c r="F397" s="12" t="s">
        <v>91</v>
      </c>
      <c r="G397" t="s">
        <v>30</v>
      </c>
      <c r="H397" s="12" t="str">
        <f>INDEX('ei names mapping'!$B$71:$BK$100,MATCH($B$180,'ei names mapping'!$A$4:$A$33,0),MATCH(G397,'ei names mapping'!$B$3:$BK$3,0))</f>
        <v>tyre wear emissions, passenger car</v>
      </c>
    </row>
    <row r="398" spans="1:8" x14ac:dyDescent="0.3">
      <c r="A398" s="12" t="str">
        <f>INDEX('ei names mapping'!$B$4:$BK$33,MATCH($B$180,'ei names mapping'!$A$4:$A$33,0),MATCH(G398,'ei names mapping'!$B$3:$BK$3,0))</f>
        <v>treatment of brake wear emissions, passenger car</v>
      </c>
      <c r="B398" s="15">
        <f>INDEX('vehicles specifications'!$B$3:$CK$86,MATCH(B368,'vehicles specifications'!$A$3:$A$86,0),MATCH(G398,'vehicles specifications'!$B$2:$CK$2,0))*INDEX('ei names mapping'!$B$137:$BK$220,MATCH(B368,'ei names mapping'!$A$137:$A$220,0),MATCH(G398,'ei names mapping'!$B$136:$BK$136,0))</f>
        <v>-1.8370000000000002E-6</v>
      </c>
      <c r="C398" s="12" t="str">
        <f>INDEX('ei names mapping'!$B$38:$BK$67,MATCH($B$180,'ei names mapping'!$A$4:$A$33,0),MATCH(G398,'ei names mapping'!$B$3:$BK$3,0))</f>
        <v>RER</v>
      </c>
      <c r="D398" s="12" t="str">
        <f>INDEX('ei names mapping'!$B$104:$BK$133,MATCH($B$180,'ei names mapping'!$A$4:$A$33,0),MATCH(G398,'ei names mapping'!$B$3:$BK$3,0))</f>
        <v>kilogram</v>
      </c>
      <c r="E398" s="12"/>
      <c r="F398" s="12" t="s">
        <v>91</v>
      </c>
      <c r="G398" t="s">
        <v>31</v>
      </c>
      <c r="H398" s="12" t="str">
        <f>INDEX('ei names mapping'!$B$71:$BK$100,MATCH($B$180,'ei names mapping'!$A$4:$A$33,0),MATCH(G398,'ei names mapping'!$B$3:$BK$3,0))</f>
        <v>brake wear emissions, passenger car</v>
      </c>
    </row>
    <row r="400" spans="1:8" ht="15.6" x14ac:dyDescent="0.3">
      <c r="A400" s="11" t="s">
        <v>72</v>
      </c>
      <c r="B400" s="9" t="str">
        <f>"transport, "&amp;B402&amp;", "&amp;B404&amp;", label-certified electricity"</f>
        <v>transport, Bicycle, electric (&lt;25 km/h), 2040, label-certified electricity</v>
      </c>
    </row>
    <row r="401" spans="1:2" x14ac:dyDescent="0.3">
      <c r="A401" t="s">
        <v>73</v>
      </c>
      <c r="B401" t="s">
        <v>37</v>
      </c>
    </row>
    <row r="402" spans="1:2" x14ac:dyDescent="0.3">
      <c r="A402" t="s">
        <v>87</v>
      </c>
      <c r="B402" s="21" t="s">
        <v>517</v>
      </c>
    </row>
    <row r="403" spans="1:2" x14ac:dyDescent="0.3">
      <c r="A403" t="s">
        <v>88</v>
      </c>
      <c r="B403" s="12"/>
    </row>
    <row r="404" spans="1:2" x14ac:dyDescent="0.3">
      <c r="A404" t="s">
        <v>89</v>
      </c>
      <c r="B404" s="12">
        <v>2040</v>
      </c>
    </row>
    <row r="405" spans="1:2" x14ac:dyDescent="0.3">
      <c r="A405" t="s">
        <v>131</v>
      </c>
      <c r="B405" s="12" t="str">
        <f>B402&amp;" - "&amp;B404&amp;" - "&amp;B401</f>
        <v>Bicycle, electric (&lt;25 km/h) - 2040 - CH</v>
      </c>
    </row>
    <row r="406" spans="1:2" x14ac:dyDescent="0.3">
      <c r="A406" t="s">
        <v>74</v>
      </c>
      <c r="B406" t="str">
        <f>"transport, "&amp;B402</f>
        <v>transport, Bicycle, electric (&lt;25 km/h)</v>
      </c>
    </row>
    <row r="407" spans="1:2" x14ac:dyDescent="0.3">
      <c r="A407" t="s">
        <v>75</v>
      </c>
      <c r="B407" t="s">
        <v>76</v>
      </c>
    </row>
    <row r="408" spans="1:2" x14ac:dyDescent="0.3">
      <c r="A408" t="s">
        <v>77</v>
      </c>
      <c r="B408" t="s">
        <v>172</v>
      </c>
    </row>
    <row r="409" spans="1:2" x14ac:dyDescent="0.3">
      <c r="A409" t="s">
        <v>79</v>
      </c>
      <c r="B409" t="s">
        <v>90</v>
      </c>
    </row>
    <row r="410" spans="1:2" x14ac:dyDescent="0.3">
      <c r="A410" t="s">
        <v>132</v>
      </c>
      <c r="B410">
        <f>INDEX('vehicles specifications'!$B$3:$CK$86,MATCH(B405,'vehicles specifications'!$A$3:$A$86,0),MATCH("Lifetime [km]",'vehicles specifications'!$B$2:$CK$2,0))</f>
        <v>20000</v>
      </c>
    </row>
    <row r="411" spans="1:2" x14ac:dyDescent="0.3">
      <c r="A411" t="s">
        <v>133</v>
      </c>
      <c r="B411">
        <f>INDEX('vehicles specifications'!$B$3:$CK$86,MATCH(B405,'vehicles specifications'!$A$3:$A$86,0),MATCH("Passengers [unit]",'vehicles specifications'!$B$2:$CK$2,0))</f>
        <v>1</v>
      </c>
    </row>
    <row r="412" spans="1:2" x14ac:dyDescent="0.3">
      <c r="A412" t="s">
        <v>134</v>
      </c>
      <c r="B412">
        <f>INDEX('vehicles specifications'!$B$3:$CK$86,MATCH(B405,'vehicles specifications'!$A$3:$A$86,0),MATCH("Servicing [unit]",'vehicles specifications'!$B$2:$CK$2,0))</f>
        <v>5</v>
      </c>
    </row>
    <row r="413" spans="1:2" x14ac:dyDescent="0.3">
      <c r="A413" t="s">
        <v>135</v>
      </c>
      <c r="B413">
        <f>INDEX('vehicles specifications'!$B$3:$CK$86,MATCH(B405,'vehicles specifications'!$A$3:$A$86,0),MATCH("Energy battery replacement [unit]",'vehicles specifications'!$B$2:$CK$2,0))</f>
        <v>0.25</v>
      </c>
    </row>
    <row r="414" spans="1:2" x14ac:dyDescent="0.3">
      <c r="A414" t="s">
        <v>136</v>
      </c>
      <c r="B414">
        <f>INDEX('vehicles specifications'!$B$3:$CK$86,MATCH(B405,'vehicles specifications'!$A$3:$A$86,0),MATCH("Annual kilometers [km]",'vehicles specifications'!$B$2:$CK$2,0))</f>
        <v>2060</v>
      </c>
    </row>
    <row r="415" spans="1:2" x14ac:dyDescent="0.3">
      <c r="A415" t="s">
        <v>137</v>
      </c>
      <c r="B415">
        <f>INDEX('vehicles specifications'!$B$3:$CK$86,MATCH(B405,'vehicles specifications'!$A$3:$A$86,0),MATCH("Curb mass [kg]",'vehicles specifications'!$B$2:$CK$2,0))</f>
        <v>22.9</v>
      </c>
    </row>
    <row r="416" spans="1:2" x14ac:dyDescent="0.3">
      <c r="A416" t="s">
        <v>138</v>
      </c>
      <c r="B416">
        <f>INDEX('vehicles specifications'!$B$3:$CK$86,MATCH(B405,'vehicles specifications'!$A$3:$A$86,0),MATCH("Power [kW]",'vehicles specifications'!$B$2:$CK$2,0))</f>
        <v>0.3</v>
      </c>
    </row>
    <row r="417" spans="1:8" x14ac:dyDescent="0.3">
      <c r="A417" t="s">
        <v>139</v>
      </c>
      <c r="B417">
        <f>INDEX('vehicles specifications'!$B$3:$CK$86,MATCH(B405,'vehicles specifications'!$A$3:$A$86,0),MATCH("Energy battery mass [kg]",'vehicles specifications'!$B$2:$CK$2,0))</f>
        <v>3.8999999999999995</v>
      </c>
    </row>
    <row r="418" spans="1:8" x14ac:dyDescent="0.3">
      <c r="A418" t="s">
        <v>140</v>
      </c>
      <c r="B418">
        <f>INDEX('vehicles specifications'!$B$3:$CK$86,MATCH(B405,'vehicles specifications'!$A$3:$A$86,0),MATCH("Electric energy stored [kWh]",'vehicles specifications'!$B$2:$CK$2,0))</f>
        <v>1.2</v>
      </c>
    </row>
    <row r="419" spans="1:8" s="21" customFormat="1" x14ac:dyDescent="0.3">
      <c r="A419" s="21" t="s">
        <v>654</v>
      </c>
      <c r="B419" s="21">
        <f>INDEX('vehicles specifications'!$B$3:$CK$86,MATCH(B405,'vehicles specifications'!$A$3:$A$86,0),MATCH("Electric energy available [kWh]",'vehicles specifications'!$B$2:$CK$2,0))</f>
        <v>0.96</v>
      </c>
    </row>
    <row r="420" spans="1:8" x14ac:dyDescent="0.3">
      <c r="A420" t="s">
        <v>143</v>
      </c>
      <c r="B420">
        <f>INDEX('vehicles specifications'!$B$3:$CK$86,MATCH(B405,'vehicles specifications'!$A$3:$A$86,0),MATCH("Oxydation energy stored [kWh]",'vehicles specifications'!$B$2:$CK$2,0))</f>
        <v>0</v>
      </c>
    </row>
    <row r="421" spans="1:8" x14ac:dyDescent="0.3">
      <c r="A421" t="s">
        <v>145</v>
      </c>
      <c r="B421">
        <f>INDEX('vehicles specifications'!$B$3:$CK$86,MATCH(B405,'vehicles specifications'!$A$3:$A$86,0),MATCH("Fuel mass [kg]",'vehicles specifications'!$B$2:$CK$2,0))</f>
        <v>0</v>
      </c>
    </row>
    <row r="422" spans="1:8" x14ac:dyDescent="0.3">
      <c r="A422" t="s">
        <v>141</v>
      </c>
      <c r="B422" s="2">
        <f>INDEX('vehicles specifications'!$B$3:$CK$86,MATCH(B405,'vehicles specifications'!$A$3:$A$86,0),MATCH("Range [km]",'vehicles specifications'!$B$2:$CK$2,0))</f>
        <v>140.08554780467787</v>
      </c>
    </row>
    <row r="423" spans="1:8" x14ac:dyDescent="0.3">
      <c r="A423" t="s">
        <v>142</v>
      </c>
      <c r="B423" t="str">
        <f>INDEX('vehicles specifications'!$B$3:$CK$86,MATCH(B405,'vehicles specifications'!$A$3:$A$86,0),MATCH("Emission standard",'vehicles specifications'!$B$2:$CK$2,0))</f>
        <v>None</v>
      </c>
    </row>
    <row r="424" spans="1:8" x14ac:dyDescent="0.3">
      <c r="A424" t="s">
        <v>144</v>
      </c>
      <c r="B424" s="6">
        <f>INDEX('vehicles specifications'!$B$3:$CK$86,MATCH(B405,'vehicles specifications'!$A$3:$A$86,0),MATCH("Lightweighting rate [%]",'vehicles specifications'!$B$2:$CK$2,0))</f>
        <v>0.05</v>
      </c>
    </row>
    <row r="425" spans="1:8" x14ac:dyDescent="0.3">
      <c r="A425" t="s">
        <v>84</v>
      </c>
      <c r="B425" s="21" t="str">
        <f>"Power: "&amp;B416&amp;" kW. Lifetime: "&amp;B410&amp;" km. Annual kilometers: "&amp;B414&amp;" km. Number of passengers: "&amp;B411&amp;". Curb mass: "&amp;ROUND(B415,1)&amp;" kg. Lightweighting of glider: "&amp;ROUND(B424*100,0)&amp;"%. Emission standard: "&amp;B423&amp;". Service visits throughout lifetime: "&amp;ROUND(B412,1)&amp;". Range: "&amp;ROUND(B422,0)&amp;" km. Battery capacity: "&amp;ROUND(B418,1)&amp;" kWh. Available battery capacity: "&amp;B419&amp;" kWh. Battery mass: "&amp;ROUND(B417,1)&amp; " kg. Battery replacement throughout lifetime: "&amp;ROUND(B413,1)&amp;". Fuel tank capacity: "&amp;ROUND(B420,1)&amp;" kWh. Fuel mass: "&amp;ROUND(B421,1)&amp;" kg. Documentation: "&amp;Readmefirst!$B$2&amp;", "&amp;Readmefirst!$B$3&amp;". "&amp;B409</f>
        <v>Power: 0.3 kW. Lifetime: 20000 km. Annual kilometers: 2060 km. Number of passengers: 1. Curb mass: 22.9 kg. Lightweighting of glider: 5%. Emission standard: None. Service visits throughout lifetime: 5. Range: 140 km. Battery capacity: 1.2 kWh. Available battery capacity: 0.96 kWh. Battery mass: 3.9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26" spans="1:8" ht="15.6" x14ac:dyDescent="0.3">
      <c r="A426" s="11" t="s">
        <v>80</v>
      </c>
    </row>
    <row r="427" spans="1:8" x14ac:dyDescent="0.3">
      <c r="A427" t="s">
        <v>81</v>
      </c>
      <c r="B427" t="s">
        <v>82</v>
      </c>
      <c r="C427" t="s">
        <v>73</v>
      </c>
      <c r="D427" t="s">
        <v>77</v>
      </c>
      <c r="E427" t="s">
        <v>83</v>
      </c>
      <c r="F427" t="s">
        <v>75</v>
      </c>
      <c r="G427" t="s">
        <v>84</v>
      </c>
      <c r="H427" t="s">
        <v>74</v>
      </c>
    </row>
    <row r="428" spans="1:8" x14ac:dyDescent="0.3">
      <c r="A428" s="12" t="str">
        <f>B400</f>
        <v>transport, Bicycle, electric (&lt;25 km/h), 2040, label-certified electricity</v>
      </c>
      <c r="B428" s="12">
        <v>1</v>
      </c>
      <c r="C428" s="12" t="str">
        <f>B401</f>
        <v>CH</v>
      </c>
      <c r="D428" s="12" t="s">
        <v>172</v>
      </c>
      <c r="E428" s="12"/>
      <c r="F428" s="12" t="s">
        <v>85</v>
      </c>
      <c r="G428" s="12" t="s">
        <v>86</v>
      </c>
      <c r="H428" s="12" t="str">
        <f>B406</f>
        <v>transport, Bicycle, electric (&lt;25 km/h)</v>
      </c>
    </row>
    <row r="429" spans="1:8" x14ac:dyDescent="0.3">
      <c r="A429" s="12" t="str">
        <f>B402&amp;", "&amp;B404</f>
        <v>Bicycle, electric (&lt;25 km/h), 2040</v>
      </c>
      <c r="B429" s="12">
        <f>1/B410</f>
        <v>5.0000000000000002E-5</v>
      </c>
      <c r="C429" s="12" t="str">
        <f>B401</f>
        <v>CH</v>
      </c>
      <c r="D429" s="12" t="s">
        <v>77</v>
      </c>
      <c r="E429" s="12"/>
      <c r="F429" s="12" t="s">
        <v>91</v>
      </c>
      <c r="G429" s="12"/>
      <c r="H429" s="12" t="str">
        <f>RIGHT(H428,LEN(H428)-11)</f>
        <v>Bicycle, electric (&lt;25 km/h)</v>
      </c>
    </row>
    <row r="430" spans="1:8" s="21" customFormat="1" x14ac:dyDescent="0.3">
      <c r="A430" s="12" t="str">
        <f>INDEX('ei names mapping'!$B$4:$R$33,MATCH(B402,'ei names mapping'!$A$4:$A$33,0),MATCH(G430,'ei names mapping'!$B$3:$R$3,0))</f>
        <v>road construction</v>
      </c>
      <c r="B430" s="16">
        <f>INDEX('vehicles specifications'!$B$3:$CK$86,MATCH(B405,'vehicles specifications'!$A$3:$A$86,0),MATCH(G430,'vehicles specifications'!$B$2:$CK$2,0))*INDEX('ei names mapping'!$B$137:$BK$220,MATCH(B405,'ei names mapping'!$A$137:$A$220,0),MATCH(G430,'ei names mapping'!$B$136:$BK$136,0))</f>
        <v>5.0424300000000004E-5</v>
      </c>
      <c r="C430" s="12" t="str">
        <f>INDEX('ei names mapping'!$B$38:$R$67,MATCH(B402,'ei names mapping'!$A$4:$A$33,0),MATCH(G430,'ei names mapping'!$B$3:$R$3,0))</f>
        <v>CH</v>
      </c>
      <c r="D430" s="12" t="str">
        <f>INDEX('ei names mapping'!$B$104:$BK$133,MATCH(B402,'ei names mapping'!$A$4:$A$33,0),MATCH(G430,'ei names mapping'!$B$3:$BK$3,0))</f>
        <v>meter-year</v>
      </c>
      <c r="E430" s="12"/>
      <c r="F430" s="12" t="s">
        <v>91</v>
      </c>
      <c r="G430" s="21" t="s">
        <v>108</v>
      </c>
      <c r="H430" s="12" t="str">
        <f>INDEX('ei names mapping'!$B$71:$BK$100,MATCH(B402,'ei names mapping'!$A$4:$A$33,0),MATCH(G430,'ei names mapping'!$B$3:$BK$3,0))</f>
        <v>road</v>
      </c>
    </row>
    <row r="431" spans="1:8" x14ac:dyDescent="0.3">
      <c r="A431" s="12" t="s">
        <v>114</v>
      </c>
      <c r="B431" s="14">
        <f>INDEX('vehicles specifications'!$B$3:$CK$86,MATCH(B405,'vehicles specifications'!$A$3:$A$86,0),MATCH(G431,'vehicles specifications'!$B$2:$CK$2,0))*INDEX('ei names mapping'!$B$137:$BK$220,MATCH(B405,'ei names mapping'!$A$137:$A$220,0),MATCH(G431,'ei names mapping'!$B$136:$BK$136,0))</f>
        <v>7.5382508513468297E-3</v>
      </c>
      <c r="C431" s="12" t="str">
        <f>INDEX('ei names mapping'!$B$38:$R$67,MATCH($B$3,'ei names mapping'!$A$4:$A$33,0),MATCH(G431,'ei names mapping'!$B$3:$R$3,0))</f>
        <v>CH</v>
      </c>
      <c r="D431" s="12" t="str">
        <f>INDEX('ei names mapping'!$B$104:$R$133,MATCH($B$3,'ei names mapping'!$A$4:$A$33,0),MATCH(G431,'ei names mapping'!$B$3:$R$3,0))</f>
        <v>kilowatt hour</v>
      </c>
      <c r="E431" s="12"/>
      <c r="F431" s="12" t="s">
        <v>91</v>
      </c>
      <c r="G431" t="s">
        <v>28</v>
      </c>
      <c r="H431" s="12" t="s">
        <v>116</v>
      </c>
    </row>
    <row r="432" spans="1:8" x14ac:dyDescent="0.3">
      <c r="A432" s="12" t="str">
        <f>INDEX('ei names mapping'!$B$4:$R$33,MATCH($B$3,'ei names mapping'!$A$4:$A$33,0),MATCH(G432,'ei names mapping'!$B$3:$R$3,0))</f>
        <v>maintenance, electric bicycle, without battery</v>
      </c>
      <c r="B432" s="14">
        <f>INDEX('vehicles specifications'!$B$3:$CK$86,MATCH(B405,'vehicles specifications'!$A$3:$A$86,0),MATCH(G432,'vehicles specifications'!$B$2:$CK$2,0))*INDEX('ei names mapping'!$B$137:$BK$220,MATCH(B405,'ei names mapping'!$A$137:$A$220,0),MATCH(G432,'ei names mapping'!$B$136:$BK$136,0))</f>
        <v>2.5000000000000001E-4</v>
      </c>
      <c r="C432" s="12" t="str">
        <f>INDEX('ei names mapping'!$B$38:$R$67,MATCH($B$3,'ei names mapping'!$A$4:$A$33,0),MATCH(G432,'ei names mapping'!$B$3:$R$3,0))</f>
        <v>CH</v>
      </c>
      <c r="D432" s="12" t="str">
        <f>INDEX('ei names mapping'!$B$104:$R$133,MATCH($B$3,'ei names mapping'!$A$4:$A$33,0),MATCH(G432,'ei names mapping'!$B$3:$R$3,0))</f>
        <v>unit</v>
      </c>
      <c r="E432" s="12"/>
      <c r="F432" s="12" t="s">
        <v>91</v>
      </c>
      <c r="G432" t="s">
        <v>123</v>
      </c>
      <c r="H432" s="12" t="str">
        <f>INDEX('ei names mapping'!$B$71:$R$100,MATCH($B$3,'ei names mapping'!$A$4:$A$33,0),MATCH(G432,'ei names mapping'!$B$3:$R$3,0))</f>
        <v>maintenance, electric bicycle, without battery</v>
      </c>
    </row>
    <row r="433" spans="1:8" x14ac:dyDescent="0.3">
      <c r="A433" s="12" t="str">
        <f>INDEX('ei names mapping'!$B$4:$BK$33,MATCH($B$180,'ei names mapping'!$A$4:$A$33,0),MATCH(G433,'ei names mapping'!$B$3:$BK$3,0))</f>
        <v>treatment of road wear emissions, passenger car</v>
      </c>
      <c r="B433" s="15">
        <f>INDEX('vehicles specifications'!$B$3:$CK$86,MATCH(B405,'vehicles specifications'!$A$3:$A$86,0),MATCH(G433,'vehicles specifications'!$B$2:$CK$2,0))*INDEX('ei names mapping'!$B$137:$BK$220,MATCH(B405,'ei names mapping'!$A$137:$A$220,0),MATCH(G433,'ei names mapping'!$B$136:$BK$136,0))</f>
        <v>-3.0000000000000001E-6</v>
      </c>
      <c r="C433" s="12" t="str">
        <f>INDEX('ei names mapping'!$B$38:$BK$67,MATCH($B$180,'ei names mapping'!$A$4:$A$33,0),MATCH(G433,'ei names mapping'!$B$3:$BK$3,0))</f>
        <v>RER</v>
      </c>
      <c r="D433" s="12" t="str">
        <f>INDEX('ei names mapping'!$B$104:$BK$133,MATCH($B$180,'ei names mapping'!$A$4:$A$33,0),MATCH(G433,'ei names mapping'!$B$3:$BK$3,0))</f>
        <v>kilogram</v>
      </c>
      <c r="E433" s="12"/>
      <c r="F433" s="12" t="s">
        <v>91</v>
      </c>
      <c r="G433" t="s">
        <v>29</v>
      </c>
      <c r="H433" s="12" t="str">
        <f>INDEX('ei names mapping'!$B$71:$BK$100,MATCH(B402,'ei names mapping'!$A$4:$A$33,0),MATCH(G433,'ei names mapping'!$B$3:$BK$3,0))</f>
        <v>road wear emissions, passenger car</v>
      </c>
    </row>
    <row r="434" spans="1:8" x14ac:dyDescent="0.3">
      <c r="A434" s="12" t="str">
        <f>INDEX('ei names mapping'!$B$4:$BK$33,MATCH($B$180,'ei names mapping'!$A$4:$A$33,0),MATCH(G434,'ei names mapping'!$B$3:$BK$3,0))</f>
        <v>treatment of tyre wear emissions, passenger car</v>
      </c>
      <c r="B434" s="15">
        <f>INDEX('vehicles specifications'!$B$3:$CK$86,MATCH(B405,'vehicles specifications'!$A$3:$A$86,0),MATCH(G434,'vehicles specifications'!$B$2:$CK$2,0))*INDEX('ei names mapping'!$B$137:$BK$220,MATCH(B405,'ei names mapping'!$A$137:$A$220,0),MATCH(G434,'ei names mapping'!$B$136:$BK$136,0))</f>
        <v>-2.9189999999999999E-6</v>
      </c>
      <c r="C434" s="12" t="str">
        <f>INDEX('ei names mapping'!$B$38:$BK$67,MATCH($B$180,'ei names mapping'!$A$4:$A$33,0),MATCH(G434,'ei names mapping'!$B$3:$BK$3,0))</f>
        <v>RER</v>
      </c>
      <c r="D434" s="12" t="str">
        <f>INDEX('ei names mapping'!$B$104:$BK$133,MATCH($B$180,'ei names mapping'!$A$4:$A$33,0),MATCH(G434,'ei names mapping'!$B$3:$BK$3,0))</f>
        <v>kilogram</v>
      </c>
      <c r="E434" s="12"/>
      <c r="F434" s="12" t="s">
        <v>91</v>
      </c>
      <c r="G434" t="s">
        <v>30</v>
      </c>
      <c r="H434" s="12" t="str">
        <f>INDEX('ei names mapping'!$B$71:$BK$100,MATCH($B$180,'ei names mapping'!$A$4:$A$33,0),MATCH(G434,'ei names mapping'!$B$3:$BK$3,0))</f>
        <v>tyre wear emissions, passenger car</v>
      </c>
    </row>
    <row r="435" spans="1:8" x14ac:dyDescent="0.3">
      <c r="A435" s="12" t="str">
        <f>INDEX('ei names mapping'!$B$4:$BK$33,MATCH($B$180,'ei names mapping'!$A$4:$A$33,0),MATCH(G435,'ei names mapping'!$B$3:$BK$3,0))</f>
        <v>treatment of brake wear emissions, passenger car</v>
      </c>
      <c r="B435" s="15">
        <f>INDEX('vehicles specifications'!$B$3:$CK$86,MATCH(B405,'vehicles specifications'!$A$3:$A$86,0),MATCH(G435,'vehicles specifications'!$B$2:$CK$2,0))*INDEX('ei names mapping'!$B$137:$BK$220,MATCH(B405,'ei names mapping'!$A$137:$A$220,0),MATCH(G435,'ei names mapping'!$B$136:$BK$136,0))</f>
        <v>-1.8370000000000002E-6</v>
      </c>
      <c r="C435" s="12" t="str">
        <f>INDEX('ei names mapping'!$B$38:$BK$67,MATCH($B$180,'ei names mapping'!$A$4:$A$33,0),MATCH(G435,'ei names mapping'!$B$3:$BK$3,0))</f>
        <v>RER</v>
      </c>
      <c r="D435" s="12" t="str">
        <f>INDEX('ei names mapping'!$B$104:$BK$133,MATCH($B$180,'ei names mapping'!$A$4:$A$33,0),MATCH(G435,'ei names mapping'!$B$3:$BK$3,0))</f>
        <v>kilogram</v>
      </c>
      <c r="E435" s="12"/>
      <c r="F435" s="12" t="s">
        <v>91</v>
      </c>
      <c r="G435" t="s">
        <v>31</v>
      </c>
      <c r="H435" s="12" t="str">
        <f>INDEX('ei names mapping'!$B$71:$BK$100,MATCH($B$180,'ei names mapping'!$A$4:$A$33,0),MATCH(G435,'ei names mapping'!$B$3:$BK$3,0))</f>
        <v>brake wear emissions, passenger car</v>
      </c>
    </row>
    <row r="437" spans="1:8" ht="15.6" x14ac:dyDescent="0.3">
      <c r="A437" s="11" t="s">
        <v>72</v>
      </c>
      <c r="B437" s="9" t="str">
        <f>"transport, "&amp;B439&amp;", "&amp;B441&amp;", label-certified electricity"</f>
        <v>transport, Bicycle, electric (&lt;25 km/h), 2050, label-certified electricity</v>
      </c>
    </row>
    <row r="438" spans="1:8" x14ac:dyDescent="0.3">
      <c r="A438" t="s">
        <v>73</v>
      </c>
      <c r="B438" t="s">
        <v>37</v>
      </c>
    </row>
    <row r="439" spans="1:8" x14ac:dyDescent="0.3">
      <c r="A439" t="s">
        <v>87</v>
      </c>
      <c r="B439" s="21" t="s">
        <v>517</v>
      </c>
    </row>
    <row r="440" spans="1:8" x14ac:dyDescent="0.3">
      <c r="A440" t="s">
        <v>88</v>
      </c>
      <c r="B440" s="12"/>
    </row>
    <row r="441" spans="1:8" x14ac:dyDescent="0.3">
      <c r="A441" t="s">
        <v>89</v>
      </c>
      <c r="B441" s="12">
        <v>2050</v>
      </c>
    </row>
    <row r="442" spans="1:8" x14ac:dyDescent="0.3">
      <c r="A442" t="s">
        <v>131</v>
      </c>
      <c r="B442" s="12" t="str">
        <f>B439&amp;" - "&amp;B441&amp;" - "&amp;B438</f>
        <v>Bicycle, electric (&lt;25 km/h) - 2050 - CH</v>
      </c>
    </row>
    <row r="443" spans="1:8" x14ac:dyDescent="0.3">
      <c r="A443" t="s">
        <v>74</v>
      </c>
      <c r="B443" t="str">
        <f>"transport, "&amp;B439</f>
        <v>transport, Bicycle, electric (&lt;25 km/h)</v>
      </c>
    </row>
    <row r="444" spans="1:8" x14ac:dyDescent="0.3">
      <c r="A444" t="s">
        <v>75</v>
      </c>
      <c r="B444" t="s">
        <v>76</v>
      </c>
    </row>
    <row r="445" spans="1:8" x14ac:dyDescent="0.3">
      <c r="A445" t="s">
        <v>77</v>
      </c>
      <c r="B445" t="s">
        <v>172</v>
      </c>
    </row>
    <row r="446" spans="1:8" x14ac:dyDescent="0.3">
      <c r="A446" t="s">
        <v>79</v>
      </c>
      <c r="B446" t="s">
        <v>90</v>
      </c>
    </row>
    <row r="447" spans="1:8" x14ac:dyDescent="0.3">
      <c r="A447" t="s">
        <v>132</v>
      </c>
      <c r="B447">
        <f>INDEX('vehicles specifications'!$B$3:$CK$86,MATCH(B442,'vehicles specifications'!$A$3:$A$86,0),MATCH("Lifetime [km]",'vehicles specifications'!$B$2:$CK$2,0))</f>
        <v>20000</v>
      </c>
    </row>
    <row r="448" spans="1:8" x14ac:dyDescent="0.3">
      <c r="A448" t="s">
        <v>133</v>
      </c>
      <c r="B448">
        <f>INDEX('vehicles specifications'!$B$3:$CK$86,MATCH(B442,'vehicles specifications'!$A$3:$A$86,0),MATCH("Passengers [unit]",'vehicles specifications'!$B$2:$CK$2,0))</f>
        <v>1</v>
      </c>
    </row>
    <row r="449" spans="1:8" x14ac:dyDescent="0.3">
      <c r="A449" t="s">
        <v>134</v>
      </c>
      <c r="B449">
        <f>INDEX('vehicles specifications'!$B$3:$CK$86,MATCH(B442,'vehicles specifications'!$A$3:$A$86,0),MATCH("Servicing [unit]",'vehicles specifications'!$B$2:$CK$2,0))</f>
        <v>5</v>
      </c>
    </row>
    <row r="450" spans="1:8" x14ac:dyDescent="0.3">
      <c r="A450" t="s">
        <v>135</v>
      </c>
      <c r="B450">
        <f>INDEX('vehicles specifications'!$B$3:$CK$86,MATCH(B442,'vehicles specifications'!$A$3:$A$86,0),MATCH("Energy battery replacement [unit]",'vehicles specifications'!$B$2:$CK$2,0))</f>
        <v>0</v>
      </c>
    </row>
    <row r="451" spans="1:8" x14ac:dyDescent="0.3">
      <c r="A451" t="s">
        <v>136</v>
      </c>
      <c r="B451">
        <f>INDEX('vehicles specifications'!$B$3:$CK$86,MATCH(B442,'vehicles specifications'!$A$3:$A$86,0),MATCH("Annual kilometers [km]",'vehicles specifications'!$B$2:$CK$2,0))</f>
        <v>2060</v>
      </c>
    </row>
    <row r="452" spans="1:8" x14ac:dyDescent="0.3">
      <c r="A452" t="s">
        <v>137</v>
      </c>
      <c r="B452">
        <f>INDEX('vehicles specifications'!$B$3:$CK$86,MATCH(B442,'vehicles specifications'!$A$3:$A$86,0),MATCH("Curb mass [kg]",'vehicles specifications'!$B$2:$CK$2,0))</f>
        <v>22.74</v>
      </c>
    </row>
    <row r="453" spans="1:8" x14ac:dyDescent="0.3">
      <c r="A453" t="s">
        <v>138</v>
      </c>
      <c r="B453">
        <f>INDEX('vehicles specifications'!$B$3:$CK$86,MATCH(B442,'vehicles specifications'!$A$3:$A$86,0),MATCH("Power [kW]",'vehicles specifications'!$B$2:$CK$2,0))</f>
        <v>0.3</v>
      </c>
    </row>
    <row r="454" spans="1:8" x14ac:dyDescent="0.3">
      <c r="A454" t="s">
        <v>139</v>
      </c>
      <c r="B454">
        <f>INDEX('vehicles specifications'!$B$3:$CK$86,MATCH(B442,'vehicles specifications'!$A$3:$A$86,0),MATCH("Energy battery mass [kg]",'vehicles specifications'!$B$2:$CK$2,0))</f>
        <v>4.16</v>
      </c>
    </row>
    <row r="455" spans="1:8" x14ac:dyDescent="0.3">
      <c r="A455" t="s">
        <v>140</v>
      </c>
      <c r="B455">
        <f>INDEX('vehicles specifications'!$B$3:$CK$86,MATCH(B442,'vehicles specifications'!$A$3:$A$86,0),MATCH("Electric energy stored [kWh]",'vehicles specifications'!$B$2:$CK$2,0))</f>
        <v>1.6</v>
      </c>
    </row>
    <row r="456" spans="1:8" s="21" customFormat="1" x14ac:dyDescent="0.3">
      <c r="A456" s="21" t="s">
        <v>654</v>
      </c>
      <c r="B456" s="21">
        <f>INDEX('vehicles specifications'!$B$3:$CK$86,MATCH(B442,'vehicles specifications'!$A$3:$A$86,0),MATCH("Electric energy available [kWh]",'vehicles specifications'!$B$2:$CK$2,0))</f>
        <v>1.2800000000000002</v>
      </c>
    </row>
    <row r="457" spans="1:8" x14ac:dyDescent="0.3">
      <c r="A457" t="s">
        <v>143</v>
      </c>
      <c r="B457">
        <f>INDEX('vehicles specifications'!$B$3:$CK$86,MATCH(B442,'vehicles specifications'!$A$3:$A$86,0),MATCH("Oxydation energy stored [kWh]",'vehicles specifications'!$B$2:$CK$2,0))</f>
        <v>0</v>
      </c>
    </row>
    <row r="458" spans="1:8" x14ac:dyDescent="0.3">
      <c r="A458" t="s">
        <v>145</v>
      </c>
      <c r="B458">
        <f>INDEX('vehicles specifications'!$B$3:$CK$86,MATCH(B442,'vehicles specifications'!$A$3:$A$86,0),MATCH("Fuel mass [kg]",'vehicles specifications'!$B$2:$CK$2,0))</f>
        <v>0</v>
      </c>
    </row>
    <row r="459" spans="1:8" x14ac:dyDescent="0.3">
      <c r="A459" t="s">
        <v>141</v>
      </c>
      <c r="B459" s="2">
        <f>INDEX('vehicles specifications'!$B$3:$CK$86,MATCH(B442,'vehicles specifications'!$A$3:$A$86,0),MATCH("Range [km]",'vehicles specifications'!$B$2:$CK$2,0))</f>
        <v>186.78073040623721</v>
      </c>
    </row>
    <row r="460" spans="1:8" x14ac:dyDescent="0.3">
      <c r="A460" t="s">
        <v>142</v>
      </c>
      <c r="B460" t="str">
        <f>INDEX('vehicles specifications'!$B$3:$CK$86,MATCH(B442,'vehicles specifications'!$A$3:$A$86,0),MATCH("Emission standard",'vehicles specifications'!$B$2:$CK$2,0))</f>
        <v>None</v>
      </c>
    </row>
    <row r="461" spans="1:8" x14ac:dyDescent="0.3">
      <c r="A461" t="s">
        <v>144</v>
      </c>
      <c r="B461" s="6">
        <f>INDEX('vehicles specifications'!$B$3:$CK$86,MATCH(B442,'vehicles specifications'!$A$3:$A$86,0),MATCH("Lightweighting rate [%]",'vehicles specifications'!$B$2:$CK$2,0))</f>
        <v>7.0000000000000007E-2</v>
      </c>
    </row>
    <row r="462" spans="1:8" x14ac:dyDescent="0.3">
      <c r="A462" t="s">
        <v>84</v>
      </c>
      <c r="B462" s="21" t="str">
        <f>"Power: "&amp;B453&amp;" kW. Lifetime: "&amp;B447&amp;" km. Annual kilometers: "&amp;B451&amp;" km. Number of passengers: "&amp;B448&amp;". Curb mass: "&amp;ROUND(B452,1)&amp;" kg. Lightweighting of glider: "&amp;ROUND(B461*100,0)&amp;"%. Emission standard: "&amp;B460&amp;". Service visits throughout lifetime: "&amp;ROUND(B449,1)&amp;". Range: "&amp;ROUND(B459,0)&amp;" km. Battery capacity: "&amp;ROUND(B455,1)&amp;" kWh. Available battery capacity: "&amp;B456&amp;" kWh. Battery mass: "&amp;ROUND(B454,1)&amp; " kg. Battery replacement throughout lifetime: "&amp;ROUND(B450,1)&amp;". Fuel tank capacity: "&amp;ROUND(B457,1)&amp;" kWh. Fuel mass: "&amp;ROUND(B458,1)&amp;" kg. Documentation: "&amp;Readmefirst!$B$2&amp;", "&amp;Readmefirst!$B$3&amp;". "&amp;B446</f>
        <v>Power: 0.3 kW. Lifetime: 20000 km. Annual kilometers: 2060 km. Number of passengers: 1. Curb mass: 22.7 kg. Lightweighting of glider: 7%. Emission standard: None. Service visits throughout lifetime: 5. Range: 187 km. Battery capacity: 1.6 kWh. Available battery capacity: 1.28 kWh. Battery mass: 4.2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63" spans="1:8" ht="15.6" x14ac:dyDescent="0.3">
      <c r="A463" s="11" t="s">
        <v>80</v>
      </c>
    </row>
    <row r="464" spans="1:8" x14ac:dyDescent="0.3">
      <c r="A464" t="s">
        <v>81</v>
      </c>
      <c r="B464" t="s">
        <v>82</v>
      </c>
      <c r="C464" t="s">
        <v>73</v>
      </c>
      <c r="D464" t="s">
        <v>77</v>
      </c>
      <c r="E464" t="s">
        <v>83</v>
      </c>
      <c r="F464" t="s">
        <v>75</v>
      </c>
      <c r="G464" t="s">
        <v>84</v>
      </c>
      <c r="H464" t="s">
        <v>74</v>
      </c>
    </row>
    <row r="465" spans="1:8" x14ac:dyDescent="0.3">
      <c r="A465" s="12" t="str">
        <f>B437</f>
        <v>transport, Bicycle, electric (&lt;25 km/h), 2050, label-certified electricity</v>
      </c>
      <c r="B465" s="12">
        <v>1</v>
      </c>
      <c r="C465" s="12" t="str">
        <f>B438</f>
        <v>CH</v>
      </c>
      <c r="D465" s="12" t="s">
        <v>172</v>
      </c>
      <c r="E465" s="12"/>
      <c r="F465" s="12" t="s">
        <v>85</v>
      </c>
      <c r="G465" s="12" t="s">
        <v>86</v>
      </c>
      <c r="H465" s="12" t="str">
        <f>B443</f>
        <v>transport, Bicycle, electric (&lt;25 km/h)</v>
      </c>
    </row>
    <row r="466" spans="1:8" x14ac:dyDescent="0.3">
      <c r="A466" s="12" t="str">
        <f>B439&amp;", "&amp;B441</f>
        <v>Bicycle, electric (&lt;25 km/h), 2050</v>
      </c>
      <c r="B466" s="12">
        <f>1/B447</f>
        <v>5.0000000000000002E-5</v>
      </c>
      <c r="C466" s="12" t="str">
        <f>B438</f>
        <v>CH</v>
      </c>
      <c r="D466" s="12" t="s">
        <v>77</v>
      </c>
      <c r="E466" s="12"/>
      <c r="F466" s="12" t="s">
        <v>91</v>
      </c>
      <c r="G466" s="12"/>
      <c r="H466" s="12" t="str">
        <f>RIGHT(H465,LEN(H465)-11)</f>
        <v>Bicycle, electric (&lt;25 km/h)</v>
      </c>
    </row>
    <row r="467" spans="1:8" s="21" customFormat="1" x14ac:dyDescent="0.3">
      <c r="A467" s="12" t="str">
        <f>INDEX('ei names mapping'!$B$4:$R$33,MATCH(B439,'ei names mapping'!$A$4:$A$33,0),MATCH(G467,'ei names mapping'!$B$3:$R$3,0))</f>
        <v>road construction</v>
      </c>
      <c r="B467" s="16">
        <f>INDEX('vehicles specifications'!$B$3:$CK$86,MATCH(B442,'vehicles specifications'!$A$3:$A$86,0),MATCH(G467,'vehicles specifications'!$B$2:$CK$2,0))*INDEX('ei names mapping'!$B$137:$BK$220,MATCH(B442,'ei names mapping'!$A$137:$A$220,0),MATCH(G467,'ei names mapping'!$B$136:$BK$136,0))</f>
        <v>5.0338379999999998E-5</v>
      </c>
      <c r="C467" s="12" t="str">
        <f>INDEX('ei names mapping'!$B$38:$R$67,MATCH(B439,'ei names mapping'!$A$4:$A$33,0),MATCH(G467,'ei names mapping'!$B$3:$R$3,0))</f>
        <v>CH</v>
      </c>
      <c r="D467" s="12" t="str">
        <f>INDEX('ei names mapping'!$B$104:$BK$133,MATCH(B439,'ei names mapping'!$A$4:$A$33,0),MATCH(G467,'ei names mapping'!$B$3:$BK$3,0))</f>
        <v>meter-year</v>
      </c>
      <c r="E467" s="12"/>
      <c r="F467" s="12" t="s">
        <v>91</v>
      </c>
      <c r="G467" s="21" t="s">
        <v>108</v>
      </c>
      <c r="H467" s="12" t="str">
        <f>INDEX('ei names mapping'!$B$71:$BK$100,MATCH(B439,'ei names mapping'!$A$4:$A$33,0),MATCH(G467,'ei names mapping'!$B$3:$BK$3,0))</f>
        <v>road</v>
      </c>
    </row>
    <row r="468" spans="1:8" x14ac:dyDescent="0.3">
      <c r="A468" s="12" t="s">
        <v>114</v>
      </c>
      <c r="B468" s="14">
        <f>INDEX('vehicles specifications'!$B$3:$CK$86,MATCH(B442,'vehicles specifications'!$A$3:$A$86,0),MATCH(G468,'vehicles specifications'!$B$2:$CK$2,0))*INDEX('ei names mapping'!$B$137:$BK$220,MATCH(B442,'ei names mapping'!$A$137:$A$220,0),MATCH(G468,'ei names mapping'!$B$136:$BK$136,0))</f>
        <v>7.5382508513468297E-3</v>
      </c>
      <c r="C468" s="12" t="str">
        <f>INDEX('ei names mapping'!$B$38:$R$67,MATCH($B$3,'ei names mapping'!$A$4:$A$33,0),MATCH(G468,'ei names mapping'!$B$3:$R$3,0))</f>
        <v>CH</v>
      </c>
      <c r="D468" s="12" t="str">
        <f>INDEX('ei names mapping'!$B$104:$R$133,MATCH($B$3,'ei names mapping'!$A$4:$A$33,0),MATCH(G468,'ei names mapping'!$B$3:$R$3,0))</f>
        <v>kilowatt hour</v>
      </c>
      <c r="E468" s="12"/>
      <c r="F468" s="12" t="s">
        <v>91</v>
      </c>
      <c r="G468" t="s">
        <v>28</v>
      </c>
      <c r="H468" s="12" t="s">
        <v>116</v>
      </c>
    </row>
    <row r="469" spans="1:8" x14ac:dyDescent="0.3">
      <c r="A469" s="12" t="str">
        <f>INDEX('ei names mapping'!$B$4:$R$33,MATCH($B$3,'ei names mapping'!$A$4:$A$33,0),MATCH(G469,'ei names mapping'!$B$3:$R$3,0))</f>
        <v>maintenance, electric bicycle, without battery</v>
      </c>
      <c r="B469" s="14">
        <f>INDEX('vehicles specifications'!$B$3:$CK$86,MATCH(B442,'vehicles specifications'!$A$3:$A$86,0),MATCH(G469,'vehicles specifications'!$B$2:$CK$2,0))*INDEX('ei names mapping'!$B$137:$BK$220,MATCH(B442,'ei names mapping'!$A$137:$A$220,0),MATCH(G469,'ei names mapping'!$B$136:$BK$136,0))</f>
        <v>2.5000000000000001E-4</v>
      </c>
      <c r="C469" s="12" t="str">
        <f>INDEX('ei names mapping'!$B$38:$R$67,MATCH($B$3,'ei names mapping'!$A$4:$A$33,0),MATCH(G469,'ei names mapping'!$B$3:$R$3,0))</f>
        <v>CH</v>
      </c>
      <c r="D469" s="12" t="str">
        <f>INDEX('ei names mapping'!$B$104:$R$133,MATCH($B$3,'ei names mapping'!$A$4:$A$33,0),MATCH(G469,'ei names mapping'!$B$3:$R$3,0))</f>
        <v>unit</v>
      </c>
      <c r="E469" s="12"/>
      <c r="F469" s="12" t="s">
        <v>91</v>
      </c>
      <c r="G469" t="s">
        <v>123</v>
      </c>
      <c r="H469" s="12" t="str">
        <f>INDEX('ei names mapping'!$B$71:$R$100,MATCH($B$3,'ei names mapping'!$A$4:$A$33,0),MATCH(G469,'ei names mapping'!$B$3:$R$3,0))</f>
        <v>maintenance, electric bicycle, without battery</v>
      </c>
    </row>
    <row r="470" spans="1:8" x14ac:dyDescent="0.3">
      <c r="A470" s="12" t="str">
        <f>INDEX('ei names mapping'!$B$4:$BK$33,MATCH($B$180,'ei names mapping'!$A$4:$A$33,0),MATCH(G470,'ei names mapping'!$B$3:$BK$3,0))</f>
        <v>treatment of road wear emissions, passenger car</v>
      </c>
      <c r="B470" s="15">
        <f>INDEX('vehicles specifications'!$B$3:$CK$86,MATCH(B442,'vehicles specifications'!$A$3:$A$86,0),MATCH(G470,'vehicles specifications'!$B$2:$CK$2,0))*INDEX('ei names mapping'!$B$137:$BK$220,MATCH(B442,'ei names mapping'!$A$137:$A$220,0),MATCH(G470,'ei names mapping'!$B$136:$BK$136,0))</f>
        <v>-3.0000000000000001E-6</v>
      </c>
      <c r="C470" s="12" t="str">
        <f>INDEX('ei names mapping'!$B$38:$BK$67,MATCH($B$180,'ei names mapping'!$A$4:$A$33,0),MATCH(G470,'ei names mapping'!$B$3:$BK$3,0))</f>
        <v>RER</v>
      </c>
      <c r="D470" s="12" t="str">
        <f>INDEX('ei names mapping'!$B$104:$BK$133,MATCH($B$180,'ei names mapping'!$A$4:$A$33,0),MATCH(G470,'ei names mapping'!$B$3:$BK$3,0))</f>
        <v>kilogram</v>
      </c>
      <c r="E470" s="12"/>
      <c r="F470" s="12" t="s">
        <v>91</v>
      </c>
      <c r="G470" t="s">
        <v>29</v>
      </c>
      <c r="H470" s="12" t="str">
        <f>INDEX('ei names mapping'!$B$71:$BK$100,MATCH(B439,'ei names mapping'!$A$4:$A$33,0),MATCH(G470,'ei names mapping'!$B$3:$BK$3,0))</f>
        <v>road wear emissions, passenger car</v>
      </c>
    </row>
    <row r="471" spans="1:8" x14ac:dyDescent="0.3">
      <c r="A471" s="12" t="str">
        <f>INDEX('ei names mapping'!$B$4:$BK$33,MATCH($B$180,'ei names mapping'!$A$4:$A$33,0),MATCH(G471,'ei names mapping'!$B$3:$BK$3,0))</f>
        <v>treatment of tyre wear emissions, passenger car</v>
      </c>
      <c r="B471" s="15">
        <f>INDEX('vehicles specifications'!$B$3:$CK$86,MATCH(B442,'vehicles specifications'!$A$3:$A$86,0),MATCH(G471,'vehicles specifications'!$B$2:$CK$2,0))*INDEX('ei names mapping'!$B$137:$BK$220,MATCH(B442,'ei names mapping'!$A$137:$A$220,0),MATCH(G471,'ei names mapping'!$B$136:$BK$136,0))</f>
        <v>-2.9189999999999999E-6</v>
      </c>
      <c r="C471" s="12" t="str">
        <f>INDEX('ei names mapping'!$B$38:$BK$67,MATCH($B$180,'ei names mapping'!$A$4:$A$33,0),MATCH(G471,'ei names mapping'!$B$3:$BK$3,0))</f>
        <v>RER</v>
      </c>
      <c r="D471" s="12" t="str">
        <f>INDEX('ei names mapping'!$B$104:$BK$133,MATCH($B$180,'ei names mapping'!$A$4:$A$33,0),MATCH(G471,'ei names mapping'!$B$3:$BK$3,0))</f>
        <v>kilogram</v>
      </c>
      <c r="E471" s="12"/>
      <c r="F471" s="12" t="s">
        <v>91</v>
      </c>
      <c r="G471" t="s">
        <v>30</v>
      </c>
      <c r="H471" s="12" t="str">
        <f>INDEX('ei names mapping'!$B$71:$BK$100,MATCH($B$180,'ei names mapping'!$A$4:$A$33,0),MATCH(G471,'ei names mapping'!$B$3:$BK$3,0))</f>
        <v>tyre wear emissions, passenger car</v>
      </c>
    </row>
    <row r="472" spans="1:8" x14ac:dyDescent="0.3">
      <c r="A472" s="12" t="str">
        <f>INDEX('ei names mapping'!$B$4:$BK$33,MATCH($B$180,'ei names mapping'!$A$4:$A$33,0),MATCH(G472,'ei names mapping'!$B$3:$BK$3,0))</f>
        <v>treatment of brake wear emissions, passenger car</v>
      </c>
      <c r="B472" s="15">
        <f>INDEX('vehicles specifications'!$B$3:$CK$86,MATCH(B442,'vehicles specifications'!$A$3:$A$86,0),MATCH(G472,'vehicles specifications'!$B$2:$CK$2,0))*INDEX('ei names mapping'!$B$137:$BK$220,MATCH(B442,'ei names mapping'!$A$137:$A$220,0),MATCH(G472,'ei names mapping'!$B$136:$BK$136,0))</f>
        <v>-1.8370000000000002E-6</v>
      </c>
      <c r="C472" s="12" t="str">
        <f>INDEX('ei names mapping'!$B$38:$BK$67,MATCH($B$180,'ei names mapping'!$A$4:$A$33,0),MATCH(G472,'ei names mapping'!$B$3:$BK$3,0))</f>
        <v>RER</v>
      </c>
      <c r="D472" s="12" t="str">
        <f>INDEX('ei names mapping'!$B$104:$BK$133,MATCH($B$180,'ei names mapping'!$A$4:$A$33,0),MATCH(G472,'ei names mapping'!$B$3:$BK$3,0))</f>
        <v>kilogram</v>
      </c>
      <c r="E472" s="12"/>
      <c r="F472" s="12" t="s">
        <v>91</v>
      </c>
      <c r="G472" t="s">
        <v>31</v>
      </c>
      <c r="H472" s="12" t="str">
        <f>INDEX('ei names mapping'!$B$71:$BK$100,MATCH($B$180,'ei names mapping'!$A$4:$A$33,0),MATCH(G472,'ei names mapping'!$B$3:$BK$3,0))</f>
        <v>brake wear emissions, passenger car</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1"/>
  <sheetViews>
    <sheetView topLeftCell="A457" workbookViewId="0">
      <selection activeCell="B490" sqref="B490"/>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Bicycle, electric (&lt;45 km/h), 2020</v>
      </c>
    </row>
    <row r="2" spans="1:2" x14ac:dyDescent="0.3">
      <c r="A2" t="s">
        <v>73</v>
      </c>
      <c r="B2" t="s">
        <v>37</v>
      </c>
    </row>
    <row r="3" spans="1:2" x14ac:dyDescent="0.3">
      <c r="A3" t="s">
        <v>87</v>
      </c>
      <c r="B3" t="s">
        <v>518</v>
      </c>
    </row>
    <row r="4" spans="1:2" x14ac:dyDescent="0.3">
      <c r="A4" t="s">
        <v>88</v>
      </c>
      <c r="B4" s="12"/>
    </row>
    <row r="5" spans="1:2" x14ac:dyDescent="0.3">
      <c r="A5" t="s">
        <v>89</v>
      </c>
      <c r="B5" s="12">
        <v>2020</v>
      </c>
    </row>
    <row r="6" spans="1:2" x14ac:dyDescent="0.3">
      <c r="A6" t="s">
        <v>131</v>
      </c>
      <c r="B6" s="12" t="str">
        <f>B3&amp;" - "&amp;B5&amp;" - "&amp;B2</f>
        <v>Bicycle, electric (&lt;45 km/h) - 2020 - CH</v>
      </c>
    </row>
    <row r="7" spans="1:2" x14ac:dyDescent="0.3">
      <c r="A7" t="s">
        <v>74</v>
      </c>
      <c r="B7" t="str">
        <f>B3</f>
        <v>Bicycle, electric (&lt;45 km/h)</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30000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7.5</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3000</v>
      </c>
    </row>
    <row r="16" spans="1:2" x14ac:dyDescent="0.3">
      <c r="A16" t="s">
        <v>137</v>
      </c>
      <c r="B16">
        <f>INDEX('vehicles specifications'!$B$3:$CK$86,MATCH(B6,'vehicles specifications'!$A$3:$A$86,0),MATCH("Curb mass [kg]",'vehicles specifications'!$B$2:$CK$2,0))</f>
        <v>27.9</v>
      </c>
    </row>
    <row r="17" spans="1:8" x14ac:dyDescent="0.3">
      <c r="A17" t="s">
        <v>138</v>
      </c>
      <c r="B17">
        <f>INDEX('vehicles specifications'!$B$3:$CK$86,MATCH(B6,'vehicles specifications'!$A$3:$A$86,0),MATCH("Power [kW]",'vehicles specifications'!$B$2:$CK$2,0))</f>
        <v>0.5</v>
      </c>
    </row>
    <row r="18" spans="1:8" x14ac:dyDescent="0.3">
      <c r="A18" t="s">
        <v>139</v>
      </c>
      <c r="B18">
        <f>INDEX('vehicles specifications'!$B$3:$CK$86,MATCH(B6,'vehicles specifications'!$A$3:$A$86,0),MATCH("Energy battery mass [kg]",'vehicles specifications'!$B$2:$CK$2,0))</f>
        <v>3.8999999999999995</v>
      </c>
    </row>
    <row r="19" spans="1:8" x14ac:dyDescent="0.3">
      <c r="A19" t="s">
        <v>140</v>
      </c>
      <c r="B19">
        <f>INDEX('vehicles specifications'!$B$3:$CK$86,MATCH(B6,'vehicles specifications'!$A$3:$A$86,0),MATCH("Electric energy stored [kWh]",'vehicles specifications'!$B$2:$CK$2,0))</f>
        <v>0.6</v>
      </c>
    </row>
    <row r="20" spans="1:8" s="21" customFormat="1" x14ac:dyDescent="0.3">
      <c r="A20" s="21" t="s">
        <v>654</v>
      </c>
      <c r="B20" s="21">
        <f>INDEX('vehicles specifications'!$B$3:$CK$86,MATCH(B6,'vehicles specifications'!$A$3:$A$86,0),MATCH("Electric energy available [kWh]",'vehicles specifications'!$B$2:$CK$2,0))</f>
        <v>0.48</v>
      </c>
    </row>
    <row r="21" spans="1:8" x14ac:dyDescent="0.3">
      <c r="A21" t="s">
        <v>143</v>
      </c>
      <c r="B21">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f>INDEX('vehicles specifications'!$B$3:$CK$86,MATCH(B6,'vehicles specifications'!$A$3:$A$86,0),MATCH("Range [km]",'vehicles specifications'!$B$2:$CK$2,0))</f>
        <v>38.13816803537587</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0.5 kW. Lifetime: 30000 km. Annual kilometers: 3000 km. Number of passengers: 1. Curb mass: 27.9 kg. Lightweighting of glider: 0%. Emission standard: None. Service visits throughout lifetime: 7.5. Range: 38 km. Battery capacity: 0.6 kWh. Available battery capacity: 0.48 kWh. Battery mass: 3.9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Bicycle, electric (&lt;45 km/h), 2020</v>
      </c>
      <c r="B32" s="12">
        <v>1</v>
      </c>
      <c r="C32" s="12" t="str">
        <f>B2</f>
        <v>CH</v>
      </c>
      <c r="D32" s="12" t="str">
        <f>B9</f>
        <v>unit</v>
      </c>
      <c r="E32" s="12"/>
      <c r="F32" s="12" t="s">
        <v>85</v>
      </c>
      <c r="G32" s="12" t="s">
        <v>86</v>
      </c>
      <c r="H32" s="12" t="str">
        <f>B3</f>
        <v>Bicycle, electric (&lt;45 km/h)</v>
      </c>
    </row>
    <row r="33" spans="1:8" x14ac:dyDescent="0.3">
      <c r="A33" s="12" t="str">
        <f>INDEX('ei names mapping'!$B$4:$R$33,MATCH($B$3,'ei names mapping'!$A$4:$A$33,0),MATCH(G33,'ei names mapping'!$B$3:$R$3,0))</f>
        <v>electric bicycle production, without battery and motor</v>
      </c>
      <c r="B33" s="14">
        <f>INDEX('vehicles specifications'!$B$3:$CK$86,MATCH(B6,'vehicles specifications'!$A$3:$A$86,0),MATCH(G33,'vehicles specifications'!$B$2:$CK$2,0))*INDEX('ei names mapping'!$B$137:$BK$220,MATCH(B6,'ei names mapping'!$A$137:$A$220,0),MATCH(G33,'ei names mapping'!$B$136:$BK$136,0))</f>
        <v>1.1176470588235294</v>
      </c>
      <c r="C33" s="12" t="str">
        <f>INDEX('ei names mapping'!$B$38:$R$67,MATCH($B$3,'ei names mapping'!$A$4:$A$33,0),MATCH(G33,'ei names mapping'!$B$3:$R$3,0))</f>
        <v>RER</v>
      </c>
      <c r="D33" s="12" t="str">
        <f>INDEX('ei names mapping'!$B$104:$R$133,MATCH(B3,'ei names mapping'!$A$104:$A$133,0),MATCH(G33,'ei names mapping'!$B$3:$R$3,0))</f>
        <v>unit</v>
      </c>
      <c r="E33" s="12"/>
      <c r="F33" s="12" t="s">
        <v>91</v>
      </c>
      <c r="G33" s="21" t="s">
        <v>15</v>
      </c>
      <c r="H33" s="12" t="str">
        <f>INDEX('ei names mapping'!$B$71:$R$100,MATCH($B$3,'ei names mapping'!$A$4:$A$33,0),MATCH(G33,'ei names mapping'!$B$3:$R$3,0))</f>
        <v>electric bicycle, without battery and motor</v>
      </c>
    </row>
    <row r="34" spans="1:8" x14ac:dyDescent="0.3">
      <c r="A34" s="12" t="str">
        <f>INDEX('ei names mapping'!$B$4:$R$33,MATCH($B$3,'ei names mapping'!$A$4:$A$33,0),MATCH(G34,'ei names mapping'!$B$3:$R$3,0))</f>
        <v>market for electric motor, vehicle</v>
      </c>
      <c r="B34" s="14">
        <f>INDEX('vehicles specifications'!$B$3:$CK$86,MATCH(B6,'vehicles specifications'!$A$3:$A$86,0),MATCH(G34,'vehicles specifications'!$B$2:$CK$2,0))*INDEX('ei names mapping'!$B$137:$BK$220,MATCH(B6,'ei names mapping'!$A$137:$A$220,0),MATCH(G34,'ei names mapping'!$B$136:$BK$136,0))</f>
        <v>5</v>
      </c>
      <c r="C34" s="12" t="str">
        <f>INDEX('ei names mapping'!$B$38:$R$67,MATCH($B$3,'ei names mapping'!$A$4:$A$33,0),MATCH(G34,'ei names mapping'!$B$3:$R$3,0))</f>
        <v>GLO</v>
      </c>
      <c r="D34" s="12" t="str">
        <f>INDEX('ei names mapping'!$B$104:$R$133,MATCH(B3,'ei names mapping'!$A$104:$A$133,0),MATCH(G34,'ei names mapping'!$B$3:$R$3,0))</f>
        <v>kilogram</v>
      </c>
      <c r="E34" s="12"/>
      <c r="F34" s="12" t="s">
        <v>91</v>
      </c>
      <c r="G34" t="s">
        <v>557</v>
      </c>
      <c r="H34" s="12" t="str">
        <f>INDEX('ei names mapping'!$B$71:$R$100,MATCH($B$3,'ei names mapping'!$A$4:$A$33,0),MATCH(G34,'ei names mapping'!$B$3:$R$3,0))</f>
        <v>electric motor, vehicle</v>
      </c>
    </row>
    <row r="35" spans="1:8" s="21" customFormat="1" x14ac:dyDescent="0.3">
      <c r="A35" s="12" t="str">
        <f>INDEX('ei names mapping'!$B$4:$R$33,MATCH(B3,'ei names mapping'!$A$4:$A$33,0),MATCH(G35,'ei names mapping'!$B$3:$R$3,0))</f>
        <v>glider lightweighting</v>
      </c>
      <c r="B35" s="16">
        <f>INDEX('vehicles specifications'!$B$3:$CK$86,MATCH(B6,'vehicles specifications'!$A$3:$A$86,0),MATCH(G35,'vehicles specifications'!$B$2:$CK$2,0))*INDEX('ei names mapping'!$B$137:$BK$220,MATCH(B6,'ei names mapping'!$A$137:$A$220,0),MATCH(G35,'ei names mapping'!$B$136:$BK$136,0))</f>
        <v>0</v>
      </c>
      <c r="C35" s="12" t="str">
        <f>INDEX('ei names mapping'!$B$38:$R$67,MATCH(B3,'ei names mapping'!$A$4:$A$33,0),MATCH(G35,'ei names mapping'!$B$3:$R$3,0))</f>
        <v>GLO</v>
      </c>
      <c r="D35" s="12" t="str">
        <f>INDEX('ei names mapping'!$B$104:$R$133,MATCH(B3,'ei names mapping'!$A$104:$A$133,0),MATCH(G35,'ei names mapping'!$B$3:$R$3,0))</f>
        <v>kilogram</v>
      </c>
      <c r="E35" s="12"/>
      <c r="F35" s="12" t="s">
        <v>91</v>
      </c>
      <c r="G35" s="21" t="s">
        <v>14</v>
      </c>
      <c r="H35" s="12" t="str">
        <f>INDEX('ei names mapping'!$B$71:$R$100,MATCH(B3,'ei names mapping'!$A$4:$A$33,0),MATCH(G35,'ei names mapping'!$B$3:$R$3,0))</f>
        <v>glider lightweighting</v>
      </c>
    </row>
    <row r="36" spans="1:8" x14ac:dyDescent="0.3">
      <c r="A36" s="12" t="str">
        <f>INDEX('ei names mapping'!$B$4:$R$33,MATCH($B$3,'ei names mapping'!$A$4:$A$33,0),MATCH(G36,'ei names mapping'!$B$3:$R$3,0))</f>
        <v>Battery cell, NMC</v>
      </c>
      <c r="B36" s="14">
        <f>INDEX('vehicles specifications'!$B$3:$CK$86,MATCH(B6,'vehicles specifications'!$A$3:$A$86,0),MATCH(G36,'vehicles specifications'!$B$2:$CK$2,0))*INDEX('ei names mapping'!$B$137:$BK$220,MATCH(B6,'ei names mapping'!$A$137:$A$220,0),MATCH(G36,'ei names mapping'!$B$136:$BK$136,0))</f>
        <v>5.9999999999999991</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19</v>
      </c>
      <c r="H36" s="12" t="str">
        <f>INDEX('ei names mapping'!$B$71:$R$100,MATCH($B$3,'ei names mapping'!$A$4:$A$33,0),MATCH(G36,'ei names mapping'!$B$3:$R$3,0))</f>
        <v>Battery cell</v>
      </c>
    </row>
    <row r="37" spans="1:8" x14ac:dyDescent="0.3">
      <c r="A37" s="12" t="str">
        <f>INDEX('ei names mapping'!$B$4:$R$33,MATCH($B$3,'ei names mapping'!$A$4:$A$33,0),MATCH(G37,'ei names mapping'!$B$3:$R$3,0))</f>
        <v>Battery BoP</v>
      </c>
      <c r="B37" s="14">
        <f>INDEX('vehicles specifications'!$B$3:$CK$86,MATCH(B6,'vehicles specifications'!$A$3:$A$86,0),MATCH(G37,'vehicles specifications'!$B$2:$CK$2,0))*INDEX('ei names mapping'!$B$137:$BK$220,MATCH(B6,'ei names mapping'!$A$137:$A$220,0),MATCH(G37,'ei names mapping'!$B$136:$BK$136,0))</f>
        <v>1.7999999999999996</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20</v>
      </c>
      <c r="H37" s="12" t="str">
        <f>INDEX('ei names mapping'!$B$71:$R$100,MATCH($B$3,'ei names mapping'!$A$4:$A$33,0),MATCH(G37,'ei names mapping'!$B$3:$R$3,0))</f>
        <v>Battery BoP</v>
      </c>
    </row>
    <row r="38" spans="1:8" x14ac:dyDescent="0.3">
      <c r="A38" s="12" t="str">
        <f>INDEX('ei names mapping'!$B$4:$R$33,MATCH($B$3,'ei names mapping'!$A$4:$A$33,0),MATCH(G38,'ei names mapping'!$B$3:$R$3,0))</f>
        <v>charging station, 500W</v>
      </c>
      <c r="B38" s="14">
        <f>INDEX('vehicles specifications'!$B$3:$CK$86,MATCH(B6,'vehicles specifications'!$A$3:$A$86,0),MATCH(G38,'vehicles specifications'!$B$2:$CK$2,0))*INDEX('ei names mapping'!$B$137:$BK$220,MATCH(B6,'ei names mapping'!$A$137:$A$220,0),MATCH(G38,'ei names mapping'!$B$136:$BK$136,0))</f>
        <v>1</v>
      </c>
      <c r="C38" s="12" t="str">
        <f>INDEX('ei names mapping'!$B$38:$R$67,MATCH($B$3,'ei names mapping'!$A$4:$A$33,0),MATCH(G38,'ei names mapping'!$B$3:$R$3,0))</f>
        <v>GLO</v>
      </c>
      <c r="D38" s="12" t="str">
        <f>INDEX('ei names mapping'!$B$104:$R$133,MATCH(B3,'ei names mapping'!$A$104:$A$133,0),MATCH(G38,'ei names mapping'!$B$3:$R$3,0))</f>
        <v>unit</v>
      </c>
      <c r="E38" s="12"/>
      <c r="F38" s="12" t="s">
        <v>91</v>
      </c>
      <c r="G38" t="s">
        <v>53</v>
      </c>
      <c r="H38" s="12" t="str">
        <f>INDEX('ei names mapping'!$B$71:$R$100,MATCH($B$3,'ei names mapping'!$A$4:$A$33,0),MATCH(G38,'ei names mapping'!$B$3:$R$3,0))</f>
        <v>charging station, 500W</v>
      </c>
    </row>
    <row r="39" spans="1:8" x14ac:dyDescent="0.3">
      <c r="A39" s="12" t="str">
        <f>INDEX('ei names mapping'!$B$4:$R$33,MATCH($B$3,'ei names mapping'!$A$4:$A$33,0),MATCH(G39,'ei names mapping'!$B$3:$R$3,0))</f>
        <v>treatment of used electric bicycle</v>
      </c>
      <c r="B39" s="14">
        <f>INDEX('vehicles specifications'!$B$3:$CK$86,MATCH(B6,'vehicles specifications'!$A$3:$A$86,0),MATCH(G39,'vehicles specifications'!$B$2:$CK$2,0))*INDEX('ei names mapping'!$B$137:$BK$220,MATCH(B6,'ei names mapping'!$A$137:$A$220,0),MATCH(G39,'ei names mapping'!$B$136:$BK$136,0))</f>
        <v>-0.79166666666666663</v>
      </c>
      <c r="C39" s="12" t="str">
        <f>INDEX('ei names mapping'!$B$38:$R$67,MATCH($B$3,'ei names mapping'!$A$4:$A$33,0),MATCH(G39,'ei names mapping'!$B$3:$R$3,0))</f>
        <v>CH</v>
      </c>
      <c r="D39" s="12" t="str">
        <f>INDEX('ei names mapping'!$B$104:$R$133,MATCH(B3,'ei names mapping'!$A$104:$A$133,0),MATCH(G39,'ei names mapping'!$B$3:$R$3,0))</f>
        <v>unit</v>
      </c>
      <c r="E39" s="12"/>
      <c r="F39" s="12" t="s">
        <v>91</v>
      </c>
      <c r="G39" t="s">
        <v>150</v>
      </c>
      <c r="H39" s="12" t="str">
        <f>INDEX('ei names mapping'!$B$71:$R$100,MATCH($B$3,'ei names mapping'!$A$4:$A$33,0),MATCH(G39,'ei names mapping'!$B$3:$R$3,0))</f>
        <v>used electric bicycle</v>
      </c>
    </row>
    <row r="40" spans="1:8" x14ac:dyDescent="0.3">
      <c r="A40" s="12" t="str">
        <f>INDEX('ei names mapping'!$B$4:$R$33,MATCH($B$3,'ei names mapping'!$A$4:$A$33,0),MATCH(G40,'ei names mapping'!$B$3:$R$3,0))</f>
        <v>treatment of used electric bicycle</v>
      </c>
      <c r="B40" s="14">
        <f>INDEX('vehicles specifications'!$B$3:$CK$86,MATCH(B6,'vehicles specifications'!$A$3:$A$86,0),MATCH(G40,'vehicles specifications'!$B$2:$CK$2,0))*INDEX('ei names mapping'!$B$137:$BK$220,MATCH(B6,'ei names mapping'!$A$137:$A$220,0),MATCH(G40,'ei names mapping'!$B$136:$BK$136,0))</f>
        <v>-0.20833333333333331</v>
      </c>
      <c r="C40" s="12" t="str">
        <f>INDEX('ei names mapping'!$B$38:$R$67,MATCH($B$3,'ei names mapping'!$A$4:$A$33,0),MATCH(G40,'ei names mapping'!$B$3:$R$3,0))</f>
        <v>CH</v>
      </c>
      <c r="D40" s="12" t="str">
        <f>INDEX('ei names mapping'!$B$104:$R$133,MATCH(B3,'ei names mapping'!$A$104:$A$133,0),MATCH(G40,'ei names mapping'!$B$3:$R$3,0))</f>
        <v>unit</v>
      </c>
      <c r="E40" s="12"/>
      <c r="F40" s="12" t="s">
        <v>91</v>
      </c>
      <c r="G40" t="s">
        <v>151</v>
      </c>
      <c r="H40" s="12" t="str">
        <f>INDEX('ei names mapping'!$B$71:$R$100,MATCH($B$3,'ei names mapping'!$A$4:$A$33,0),MATCH(G40,'ei names mapping'!$B$3:$R$3,0))</f>
        <v>used electric bicycle</v>
      </c>
    </row>
    <row r="41" spans="1:8" x14ac:dyDescent="0.3">
      <c r="A41" s="12" t="str">
        <f>INDEX('ei names mapping'!$B$4:$R$33,MATCH($B$3,'ei names mapping'!$A$4:$A$33,0),MATCH(G41,'ei names mapping'!$B$3:$R$3,0))</f>
        <v>market for used Li-ion battery</v>
      </c>
      <c r="B41" s="14">
        <f>INDEX('vehicles specifications'!$B$3:$CK$86,MATCH(B6,'vehicles specifications'!$A$3:$A$86,0),MATCH(G41,'vehicles specifications'!$B$2:$CK$2,0))*INDEX('ei names mapping'!$B$137:$BK$220,MATCH(B6,'ei names mapping'!$A$137:$A$220,0),MATCH(G41,'ei names mapping'!$B$136:$BK$136,0))</f>
        <v>-7.7999999999999989</v>
      </c>
      <c r="C41" s="12" t="str">
        <f>INDEX('ei names mapping'!$B$38:$R$67,MATCH($B$3,'ei names mapping'!$A$4:$A$33,0),MATCH(G41,'ei names mapping'!$B$3:$R$3,0))</f>
        <v>GLO</v>
      </c>
      <c r="D41" s="12" t="str">
        <f>INDEX('ei names mapping'!$B$104:$R$133,MATCH(B3,'ei names mapping'!$A$104:$A$133,0),MATCH(G41,'ei names mapping'!$B$3:$R$3,0))</f>
        <v>kilogram</v>
      </c>
      <c r="E41" s="12"/>
      <c r="F41" s="12" t="s">
        <v>91</v>
      </c>
      <c r="G41" t="s">
        <v>152</v>
      </c>
      <c r="H41" s="12" t="str">
        <f>INDEX('ei names mapping'!$B$71:$R$100,MATCH($B$3,'ei names mapping'!$A$4:$A$33,0),MATCH(G41,'ei names mapping'!$B$3:$R$3,0))</f>
        <v>used Li-ion battery</v>
      </c>
    </row>
    <row r="42" spans="1:8" s="21" customFormat="1" x14ac:dyDescent="0.3">
      <c r="A42" s="22" t="s">
        <v>468</v>
      </c>
      <c r="B42" s="21">
        <f>(B16/1000)*B28</f>
        <v>27.9</v>
      </c>
      <c r="C42" s="21" t="s">
        <v>94</v>
      </c>
      <c r="D42" s="21" t="s">
        <v>243</v>
      </c>
      <c r="F42" s="21" t="s">
        <v>91</v>
      </c>
      <c r="H42" s="22" t="s">
        <v>469</v>
      </c>
    </row>
    <row r="43" spans="1:8" s="21" customFormat="1" x14ac:dyDescent="0.3">
      <c r="A43" s="22" t="s">
        <v>467</v>
      </c>
      <c r="B43" s="2">
        <f>(B16/1000)*B27</f>
        <v>443.60999999999996</v>
      </c>
      <c r="C43" s="21" t="s">
        <v>98</v>
      </c>
      <c r="D43" s="21" t="s">
        <v>243</v>
      </c>
      <c r="F43" s="21" t="s">
        <v>91</v>
      </c>
      <c r="H43" s="22" t="s">
        <v>467</v>
      </c>
    </row>
    <row r="44" spans="1:8" x14ac:dyDescent="0.3">
      <c r="A44" s="12"/>
      <c r="B44" s="16"/>
      <c r="C44" s="12"/>
      <c r="D44" s="12"/>
      <c r="E44" s="12"/>
      <c r="F44" s="12"/>
      <c r="H44" s="12"/>
    </row>
    <row r="45" spans="1:8" ht="15.6" x14ac:dyDescent="0.3">
      <c r="A45" s="11" t="s">
        <v>72</v>
      </c>
      <c r="B45" s="9" t="str">
        <f>B47&amp;", "&amp;B49</f>
        <v>Bicycle, electric (&lt;45 km/h), 2030</v>
      </c>
    </row>
    <row r="46" spans="1:8" x14ac:dyDescent="0.3">
      <c r="A46" t="s">
        <v>73</v>
      </c>
      <c r="B46" t="s">
        <v>37</v>
      </c>
    </row>
    <row r="47" spans="1:8" x14ac:dyDescent="0.3">
      <c r="A47" t="s">
        <v>87</v>
      </c>
      <c r="B47" s="21" t="s">
        <v>518</v>
      </c>
    </row>
    <row r="48" spans="1:8" x14ac:dyDescent="0.3">
      <c r="A48" t="s">
        <v>88</v>
      </c>
      <c r="B48" s="12"/>
    </row>
    <row r="49" spans="1:2" x14ac:dyDescent="0.3">
      <c r="A49" t="s">
        <v>89</v>
      </c>
      <c r="B49" s="12">
        <v>2030</v>
      </c>
    </row>
    <row r="50" spans="1:2" x14ac:dyDescent="0.3">
      <c r="A50" t="s">
        <v>131</v>
      </c>
      <c r="B50" s="12" t="str">
        <f>B47&amp;" - "&amp;B49&amp;" - "&amp;B46</f>
        <v>Bicycle, electric (&lt;45 km/h) - 2030 - CH</v>
      </c>
    </row>
    <row r="51" spans="1:2" x14ac:dyDescent="0.3">
      <c r="A51" t="s">
        <v>74</v>
      </c>
      <c r="B51" t="str">
        <f>B47</f>
        <v>Bicycle, electric (&lt;45 km/h)</v>
      </c>
    </row>
    <row r="52" spans="1:2" x14ac:dyDescent="0.3">
      <c r="A52" t="s">
        <v>75</v>
      </c>
      <c r="B52" t="s">
        <v>76</v>
      </c>
    </row>
    <row r="53" spans="1:2" x14ac:dyDescent="0.3">
      <c r="A53" t="s">
        <v>77</v>
      </c>
      <c r="B53" t="s">
        <v>77</v>
      </c>
    </row>
    <row r="54" spans="1:2" x14ac:dyDescent="0.3">
      <c r="A54" t="s">
        <v>79</v>
      </c>
      <c r="B54" t="s">
        <v>90</v>
      </c>
    </row>
    <row r="55" spans="1:2" x14ac:dyDescent="0.3">
      <c r="A55" t="s">
        <v>132</v>
      </c>
      <c r="B55">
        <f>INDEX('vehicles specifications'!$B$3:$CK$86,MATCH(B50,'vehicles specifications'!$A$3:$A$86,0),MATCH("Lifetime [km]",'vehicles specifications'!$B$2:$CK$2,0))</f>
        <v>30000</v>
      </c>
    </row>
    <row r="56" spans="1:2" x14ac:dyDescent="0.3">
      <c r="A56" t="s">
        <v>133</v>
      </c>
      <c r="B56">
        <f>INDEX('vehicles specifications'!$B$3:$CK$86,MATCH(B50,'vehicles specifications'!$A$3:$A$86,0),MATCH("Passengers [unit]",'vehicles specifications'!$B$2:$CK$2,0))</f>
        <v>1</v>
      </c>
    </row>
    <row r="57" spans="1:2" x14ac:dyDescent="0.3">
      <c r="A57" t="s">
        <v>134</v>
      </c>
      <c r="B57">
        <f>INDEX('vehicles specifications'!$B$3:$CK$86,MATCH(B50,'vehicles specifications'!$A$3:$A$86,0),MATCH("Servicing [unit]",'vehicles specifications'!$B$2:$CK$2,0))</f>
        <v>7.5</v>
      </c>
    </row>
    <row r="58" spans="1:2" x14ac:dyDescent="0.3">
      <c r="A58" t="s">
        <v>135</v>
      </c>
      <c r="B58">
        <f>INDEX('vehicles specifications'!$B$3:$CK$86,MATCH(B50,'vehicles specifications'!$A$3:$A$86,0),MATCH("Energy battery replacement [unit]",'vehicles specifications'!$B$2:$CK$2,0))</f>
        <v>0.5</v>
      </c>
    </row>
    <row r="59" spans="1:2" x14ac:dyDescent="0.3">
      <c r="A59" t="s">
        <v>136</v>
      </c>
      <c r="B59">
        <f>INDEX('vehicles specifications'!$B$3:$CK$86,MATCH(B50,'vehicles specifications'!$A$3:$A$86,0),MATCH("Annual kilometers [km]",'vehicles specifications'!$B$2:$CK$2,0))</f>
        <v>3000</v>
      </c>
    </row>
    <row r="60" spans="1:2" x14ac:dyDescent="0.3">
      <c r="A60" t="s">
        <v>137</v>
      </c>
      <c r="B60">
        <f>INDEX('vehicles specifications'!$B$3:$CK$86,MATCH(B50,'vehicles specifications'!$A$3:$A$86,0),MATCH("Curb mass [kg]",'vehicles specifications'!$B$2:$CK$2,0))</f>
        <v>27.663333333333334</v>
      </c>
    </row>
    <row r="61" spans="1:2" x14ac:dyDescent="0.3">
      <c r="A61" t="s">
        <v>138</v>
      </c>
      <c r="B61">
        <f>INDEX('vehicles specifications'!$B$3:$CK$86,MATCH(B50,'vehicles specifications'!$A$3:$A$86,0),MATCH("Power [kW]",'vehicles specifications'!$B$2:$CK$2,0))</f>
        <v>0.5</v>
      </c>
    </row>
    <row r="62" spans="1:2" x14ac:dyDescent="0.3">
      <c r="A62" t="s">
        <v>139</v>
      </c>
      <c r="B62">
        <f>INDEX('vehicles specifications'!$B$3:$CK$86,MATCH(B50,'vehicles specifications'!$A$3:$A$86,0),MATCH("Energy battery mass [kg]",'vehicles specifications'!$B$2:$CK$2,0))</f>
        <v>4.3333333333333339</v>
      </c>
    </row>
    <row r="63" spans="1:2" x14ac:dyDescent="0.3">
      <c r="A63" t="s">
        <v>140</v>
      </c>
      <c r="B63">
        <f>INDEX('vehicles specifications'!$B$3:$CK$86,MATCH(B50,'vehicles specifications'!$A$3:$A$86,0),MATCH("Electric energy stored [kWh]",'vehicles specifications'!$B$2:$CK$2,0))</f>
        <v>1</v>
      </c>
    </row>
    <row r="64" spans="1:2" s="21" customFormat="1" x14ac:dyDescent="0.3">
      <c r="A64" s="21" t="s">
        <v>654</v>
      </c>
      <c r="B64" s="21">
        <f>INDEX('vehicles specifications'!$B$3:$CK$86,MATCH(B50,'vehicles specifications'!$A$3:$A$86,0),MATCH("Electric energy available [kWh]",'vehicles specifications'!$B$2:$CK$2,0))</f>
        <v>0.8</v>
      </c>
    </row>
    <row r="65" spans="1:8" x14ac:dyDescent="0.3">
      <c r="A65" t="s">
        <v>143</v>
      </c>
      <c r="B65">
        <f>INDEX('vehicles specifications'!$B$3:$CK$86,MATCH(B50,'vehicles specifications'!$A$3:$A$86,0),MATCH("Oxydation energy stored [kWh]",'vehicles specifications'!$B$2:$CK$2,0))</f>
        <v>0</v>
      </c>
    </row>
    <row r="66" spans="1:8" x14ac:dyDescent="0.3">
      <c r="A66" t="s">
        <v>145</v>
      </c>
      <c r="B66">
        <f>INDEX('vehicles specifications'!$B$3:$CK$86,MATCH(B50,'vehicles specifications'!$A$3:$A$86,0),MATCH("Fuel mass [kg]",'vehicles specifications'!$B$2:$CK$2,0))</f>
        <v>0</v>
      </c>
    </row>
    <row r="67" spans="1:8" x14ac:dyDescent="0.3">
      <c r="A67" t="s">
        <v>141</v>
      </c>
      <c r="B67">
        <f>INDEX('vehicles specifications'!$B$3:$CK$86,MATCH(B50,'vehicles specifications'!$A$3:$A$86,0),MATCH("Range [km]",'vehicles specifications'!$B$2:$CK$2,0))</f>
        <v>63.563613392293121</v>
      </c>
    </row>
    <row r="68" spans="1:8" x14ac:dyDescent="0.3">
      <c r="A68" t="s">
        <v>142</v>
      </c>
      <c r="B68" t="str">
        <f>INDEX('vehicles specifications'!$B$3:$CK$86,MATCH(B50,'vehicles specifications'!$A$3:$A$86,0),MATCH("Emission standard",'vehicles specifications'!$B$2:$CK$2,0))</f>
        <v>None</v>
      </c>
    </row>
    <row r="69" spans="1:8" x14ac:dyDescent="0.3">
      <c r="A69" t="s">
        <v>144</v>
      </c>
      <c r="B69" s="6">
        <f>INDEX('vehicles specifications'!$B$3:$CK$86,MATCH(B50,'vehicles specifications'!$A$3:$A$86,0),MATCH("Lightweighting rate [%]",'vehicles specifications'!$B$2:$CK$2,0))</f>
        <v>0.03</v>
      </c>
    </row>
    <row r="70" spans="1:8" s="21" customFormat="1" x14ac:dyDescent="0.3">
      <c r="A70" s="21" t="s">
        <v>513</v>
      </c>
      <c r="B70" s="6" t="s">
        <v>514</v>
      </c>
    </row>
    <row r="71" spans="1:8" s="21" customFormat="1" x14ac:dyDescent="0.3">
      <c r="A71" s="21" t="s">
        <v>515</v>
      </c>
      <c r="B71" s="2">
        <v>15900</v>
      </c>
    </row>
    <row r="72" spans="1:8" s="21" customFormat="1" x14ac:dyDescent="0.3">
      <c r="A72" s="21" t="s">
        <v>516</v>
      </c>
      <c r="B72" s="2">
        <v>1000</v>
      </c>
    </row>
    <row r="73" spans="1:8" s="21" customFormat="1" x14ac:dyDescent="0.3">
      <c r="A73" s="21" t="s">
        <v>84</v>
      </c>
      <c r="B73" s="21" t="str">
        <f>"Power: "&amp;B61&amp;" kW. Lifetime: "&amp;B55&amp;" km. Annual kilometers: "&amp;ROUND(B59,0)&amp;" km. Number of passengers: "&amp;ROUND(B56,1)&amp;". Curb mass: "&amp;ROUND(B60,1)&amp;" kg. Lightweighting of glider: "&amp;ROUND(B69*100,0)&amp;"%. Emission standard: "&amp;B68&amp;". Service visits throughout lifetime: "&amp;ROUND(B57,1)&amp;". Range: "&amp;ROUND(B67,0)&amp;" km. Battery capacity: "&amp;ROUND(B63,1)&amp;" kWh. Available battery capacity: "&amp;B64&amp;" kWh. Battery mass: "&amp;ROUND(B62,1)&amp; " kg. Battery replacement throughout lifetime: "&amp;ROUND(B58,1)&amp;". Fuel tank capacity: "&amp;ROUND(B65,1)&amp;" kWh. Fuel mass: "&amp;ROUND(B66,1)&amp;" kg. Origin of manufacture: "&amp;B70&amp;". Shipping distance: "&amp;B71&amp;" km. Lorry distribution distance: "&amp;B72&amp;" km. Documentation: "&amp;Readmefirst!$B$2&amp;", "&amp;Readmefirst!$B$3&amp;". "&amp;'lci-kick scooter'!B54</f>
        <v>Power: 0.5 kW. Lifetime: 30000 km. Annual kilometers: 3000 km. Number of passengers: 1. Curb mass: 27.7 kg. Lightweighting of glider: 3%. Emission standard: None. Service visits throughout lifetime: 7.5. Range: 64 km. Battery capacity: 1 kWh. Available battery capacity: 0.8 kWh. Battery mass: 4.3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unit</v>
      </c>
    </row>
    <row r="74" spans="1:8" ht="15.6" x14ac:dyDescent="0.3">
      <c r="A74" s="11" t="s">
        <v>80</v>
      </c>
    </row>
    <row r="75" spans="1:8" x14ac:dyDescent="0.3">
      <c r="A75" t="s">
        <v>81</v>
      </c>
      <c r="B75" t="s">
        <v>82</v>
      </c>
      <c r="C75" t="s">
        <v>73</v>
      </c>
      <c r="D75" t="s">
        <v>77</v>
      </c>
      <c r="E75" t="s">
        <v>83</v>
      </c>
      <c r="F75" t="s">
        <v>75</v>
      </c>
      <c r="G75" t="s">
        <v>84</v>
      </c>
      <c r="H75" t="s">
        <v>74</v>
      </c>
    </row>
    <row r="76" spans="1:8" x14ac:dyDescent="0.3">
      <c r="A76" s="12" t="str">
        <f>B45</f>
        <v>Bicycle, electric (&lt;45 km/h), 2030</v>
      </c>
      <c r="B76" s="12">
        <v>1</v>
      </c>
      <c r="C76" s="12" t="str">
        <f>B46</f>
        <v>CH</v>
      </c>
      <c r="D76" s="12" t="str">
        <f>B53</f>
        <v>unit</v>
      </c>
      <c r="E76" s="12"/>
      <c r="F76" s="12" t="s">
        <v>85</v>
      </c>
      <c r="G76" s="12" t="s">
        <v>86</v>
      </c>
      <c r="H76" s="12" t="str">
        <f>B47</f>
        <v>Bicycle, electric (&lt;45 km/h)</v>
      </c>
    </row>
    <row r="77" spans="1:8" x14ac:dyDescent="0.3">
      <c r="A77" s="12" t="str">
        <f>INDEX('ei names mapping'!$B$4:$R$33,MATCH($B$3,'ei names mapping'!$A$4:$A$33,0),MATCH(G77,'ei names mapping'!$B$3:$R$3,0))</f>
        <v>electric bicycle production, without battery and motor</v>
      </c>
      <c r="B77" s="14">
        <f>INDEX('vehicles specifications'!$B$3:$CK$86,MATCH(B50,'vehicles specifications'!$A$3:$A$86,0),MATCH(G77,'vehicles specifications'!$B$2:$CK$2,0))*INDEX('ei names mapping'!$B$137:$BK$220,MATCH(B50,'ei names mapping'!$A$137:$A$220,0),MATCH(G77,'ei names mapping'!$B$136:$BK$136,0))</f>
        <v>1.1176470588235294</v>
      </c>
      <c r="C77" s="12" t="str">
        <f>INDEX('ei names mapping'!$B$38:$R$67,MATCH($B$3,'ei names mapping'!$A$4:$A$33,0),MATCH(G77,'ei names mapping'!$B$3:$R$3,0))</f>
        <v>RER</v>
      </c>
      <c r="D77" s="12" t="str">
        <f>INDEX('ei names mapping'!$B$104:$R$133,MATCH(B47,'ei names mapping'!$A$104:$A$133,0),MATCH(G77,'ei names mapping'!$B$3:$R$3,0))</f>
        <v>unit</v>
      </c>
      <c r="E77" s="12"/>
      <c r="F77" s="12" t="s">
        <v>91</v>
      </c>
      <c r="G77" s="21" t="s">
        <v>15</v>
      </c>
      <c r="H77" s="12" t="str">
        <f>INDEX('ei names mapping'!$B$71:$R$100,MATCH($B$3,'ei names mapping'!$A$4:$A$33,0),MATCH(G77,'ei names mapping'!$B$3:$R$3,0))</f>
        <v>electric bicycle, without battery and motor</v>
      </c>
    </row>
    <row r="78" spans="1:8" x14ac:dyDescent="0.3">
      <c r="A78" s="12" t="str">
        <f>INDEX('ei names mapping'!$B$4:$R$33,MATCH($B$3,'ei names mapping'!$A$4:$A$33,0),MATCH(G78,'ei names mapping'!$B$3:$R$3,0))</f>
        <v>market for electric motor, vehicle</v>
      </c>
      <c r="B78" s="14">
        <f>INDEX('vehicles specifications'!$B$3:$CK$86,MATCH(B50,'vehicles specifications'!$A$3:$A$86,0),MATCH(G78,'vehicles specifications'!$B$2:$CK$2,0))*INDEX('ei names mapping'!$B$137:$BK$220,MATCH(B50,'ei names mapping'!$A$137:$A$220,0),MATCH(G78,'ei names mapping'!$B$136:$BK$136,0))</f>
        <v>4.9000000000000004</v>
      </c>
      <c r="C78" s="12" t="str">
        <f>INDEX('ei names mapping'!$B$38:$R$67,MATCH($B$3,'ei names mapping'!$A$4:$A$33,0),MATCH(G78,'ei names mapping'!$B$3:$R$3,0))</f>
        <v>GLO</v>
      </c>
      <c r="D78" s="12" t="str">
        <f>INDEX('ei names mapping'!$B$104:$R$133,MATCH(B47,'ei names mapping'!$A$104:$A$133,0),MATCH(G78,'ei names mapping'!$B$3:$R$3,0))</f>
        <v>kilogram</v>
      </c>
      <c r="E78" s="12"/>
      <c r="F78" s="12" t="s">
        <v>91</v>
      </c>
      <c r="G78" t="s">
        <v>557</v>
      </c>
      <c r="H78" s="12" t="str">
        <f>INDEX('ei names mapping'!$B$71:$R$100,MATCH($B$3,'ei names mapping'!$A$4:$A$33,0),MATCH(G78,'ei names mapping'!$B$3:$R$3,0))</f>
        <v>electric motor, vehicle</v>
      </c>
    </row>
    <row r="79" spans="1:8" s="21" customFormat="1" x14ac:dyDescent="0.3">
      <c r="A79" s="12" t="str">
        <f>INDEX('ei names mapping'!$B$4:$R$33,MATCH(B47,'ei names mapping'!$A$4:$A$33,0),MATCH(G79,'ei names mapping'!$B$3:$R$3,0))</f>
        <v>glider lightweighting</v>
      </c>
      <c r="B79" s="16">
        <f>INDEX('vehicles specifications'!$B$3:$CK$86,MATCH(B50,'vehicles specifications'!$A$3:$A$86,0),MATCH(G79,'vehicles specifications'!$B$2:$CK$2,0))*INDEX('ei names mapping'!$B$137:$BK$220,MATCH(B50,'ei names mapping'!$A$137:$A$220,0),MATCH(G79,'ei names mapping'!$B$136:$BK$136,0))</f>
        <v>0.56999999999999995</v>
      </c>
      <c r="C79" s="12" t="str">
        <f>INDEX('ei names mapping'!$B$38:$R$67,MATCH(B47,'ei names mapping'!$A$4:$A$33,0),MATCH(G79,'ei names mapping'!$B$3:$R$3,0))</f>
        <v>GLO</v>
      </c>
      <c r="D79" s="12" t="str">
        <f>INDEX('ei names mapping'!$B$104:$R$133,MATCH(B47,'ei names mapping'!$A$104:$A$133,0),MATCH(G79,'ei names mapping'!$B$3:$R$3,0))</f>
        <v>kilogram</v>
      </c>
      <c r="E79" s="12"/>
      <c r="F79" s="12" t="s">
        <v>91</v>
      </c>
      <c r="G79" s="21" t="s">
        <v>14</v>
      </c>
      <c r="H79" s="12" t="str">
        <f>INDEX('ei names mapping'!$B$71:$R$100,MATCH(B47,'ei names mapping'!$A$4:$A$33,0),MATCH(G79,'ei names mapping'!$B$3:$R$3,0))</f>
        <v>glider lightweighting</v>
      </c>
    </row>
    <row r="80" spans="1:8" x14ac:dyDescent="0.3">
      <c r="A80" s="12" t="str">
        <f>INDEX('ei names mapping'!$B$4:$R$33,MATCH($B$3,'ei names mapping'!$A$4:$A$33,0),MATCH(G80,'ei names mapping'!$B$3:$R$3,0))</f>
        <v>Battery cell, NMC</v>
      </c>
      <c r="B80" s="14">
        <f>INDEX('vehicles specifications'!$B$3:$CK$86,MATCH(B50,'vehicles specifications'!$A$3:$A$86,0),MATCH(G80,'vehicles specifications'!$B$2:$CK$2,0))*INDEX('ei names mapping'!$B$137:$BK$220,MATCH(B50,'ei names mapping'!$A$137:$A$220,0),MATCH(G80,'ei names mapping'!$B$136:$BK$136,0))</f>
        <v>5</v>
      </c>
      <c r="C80" s="12" t="str">
        <f>INDEX('ei names mapping'!$B$38:$R$67,MATCH($B$3,'ei names mapping'!$A$4:$A$33,0),MATCH(G80,'ei names mapping'!$B$3:$R$3,0))</f>
        <v>GLO</v>
      </c>
      <c r="D80" s="12" t="str">
        <f>INDEX('ei names mapping'!$B$104:$R$133,MATCH(B47,'ei names mapping'!$A$104:$A$133,0),MATCH(G80,'ei names mapping'!$B$3:$R$3,0))</f>
        <v>kilogram</v>
      </c>
      <c r="E80" s="12"/>
      <c r="F80" s="12" t="s">
        <v>91</v>
      </c>
      <c r="G80" t="s">
        <v>19</v>
      </c>
      <c r="H80" s="12" t="str">
        <f>INDEX('ei names mapping'!$B$71:$R$100,MATCH($B$3,'ei names mapping'!$A$4:$A$33,0),MATCH(G80,'ei names mapping'!$B$3:$R$3,0))</f>
        <v>Battery cell</v>
      </c>
    </row>
    <row r="81" spans="1:8" x14ac:dyDescent="0.3">
      <c r="A81" s="12" t="str">
        <f>INDEX('ei names mapping'!$B$4:$R$33,MATCH($B$3,'ei names mapping'!$A$4:$A$33,0),MATCH(G81,'ei names mapping'!$B$3:$R$3,0))</f>
        <v>Battery BoP</v>
      </c>
      <c r="B81" s="14">
        <f>INDEX('vehicles specifications'!$B$3:$CK$86,MATCH(B50,'vehicles specifications'!$A$3:$A$86,0),MATCH(G81,'vehicles specifications'!$B$2:$CK$2,0))*INDEX('ei names mapping'!$B$137:$BK$220,MATCH(B50,'ei names mapping'!$A$137:$A$220,0),MATCH(G81,'ei names mapping'!$B$136:$BK$136,0))</f>
        <v>1.5</v>
      </c>
      <c r="C81" s="12" t="str">
        <f>INDEX('ei names mapping'!$B$38:$R$67,MATCH($B$3,'ei names mapping'!$A$4:$A$33,0),MATCH(G81,'ei names mapping'!$B$3:$R$3,0))</f>
        <v>GLO</v>
      </c>
      <c r="D81" s="12" t="str">
        <f>INDEX('ei names mapping'!$B$104:$R$133,MATCH(B47,'ei names mapping'!$A$104:$A$133,0),MATCH(G81,'ei names mapping'!$B$3:$R$3,0))</f>
        <v>kilogram</v>
      </c>
      <c r="E81" s="12"/>
      <c r="F81" s="12" t="s">
        <v>91</v>
      </c>
      <c r="G81" t="s">
        <v>20</v>
      </c>
      <c r="H81" s="12" t="str">
        <f>INDEX('ei names mapping'!$B$71:$R$100,MATCH($B$3,'ei names mapping'!$A$4:$A$33,0),MATCH(G81,'ei names mapping'!$B$3:$R$3,0))</f>
        <v>Battery BoP</v>
      </c>
    </row>
    <row r="82" spans="1:8" x14ac:dyDescent="0.3">
      <c r="A82" s="12" t="str">
        <f>INDEX('ei names mapping'!$B$4:$R$33,MATCH($B$3,'ei names mapping'!$A$4:$A$33,0),MATCH(G82,'ei names mapping'!$B$3:$R$3,0))</f>
        <v>charging station, 500W</v>
      </c>
      <c r="B82" s="14">
        <f>INDEX('vehicles specifications'!$B$3:$CK$86,MATCH(B50,'vehicles specifications'!$A$3:$A$86,0),MATCH(G82,'vehicles specifications'!$B$2:$CK$2,0))*INDEX('ei names mapping'!$B$137:$BK$220,MATCH(B50,'ei names mapping'!$A$137:$A$220,0),MATCH(G82,'ei names mapping'!$B$136:$BK$136,0))</f>
        <v>1</v>
      </c>
      <c r="C82" s="12" t="str">
        <f>INDEX('ei names mapping'!$B$38:$R$67,MATCH($B$3,'ei names mapping'!$A$4:$A$33,0),MATCH(G82,'ei names mapping'!$B$3:$R$3,0))</f>
        <v>GLO</v>
      </c>
      <c r="D82" s="12" t="str">
        <f>INDEX('ei names mapping'!$B$104:$R$133,MATCH(B47,'ei names mapping'!$A$104:$A$133,0),MATCH(G82,'ei names mapping'!$B$3:$R$3,0))</f>
        <v>unit</v>
      </c>
      <c r="E82" s="12"/>
      <c r="F82" s="12" t="s">
        <v>91</v>
      </c>
      <c r="G82" t="s">
        <v>53</v>
      </c>
      <c r="H82" s="12" t="str">
        <f>INDEX('ei names mapping'!$B$71:$R$100,MATCH($B$3,'ei names mapping'!$A$4:$A$33,0),MATCH(G82,'ei names mapping'!$B$3:$R$3,0))</f>
        <v>charging station, 500W</v>
      </c>
    </row>
    <row r="83" spans="1:8" x14ac:dyDescent="0.3">
      <c r="A83" s="12" t="str">
        <f>INDEX('ei names mapping'!$B$4:$R$33,MATCH($B$3,'ei names mapping'!$A$4:$A$33,0),MATCH(G83,'ei names mapping'!$B$3:$R$3,0))</f>
        <v>treatment of used electric bicycle</v>
      </c>
      <c r="B83" s="14">
        <f>INDEX('vehicles specifications'!$B$3:$CK$86,MATCH(B50,'vehicles specifications'!$A$3:$A$86,0),MATCH(G83,'vehicles specifications'!$B$2:$CK$2,0))*INDEX('ei names mapping'!$B$137:$BK$220,MATCH(B50,'ei names mapping'!$A$137:$A$220,0),MATCH(G83,'ei names mapping'!$B$136:$BK$136,0))</f>
        <v>-0.76791666666666658</v>
      </c>
      <c r="C83" s="12" t="str">
        <f>INDEX('ei names mapping'!$B$38:$R$67,MATCH($B$3,'ei names mapping'!$A$4:$A$33,0),MATCH(G83,'ei names mapping'!$B$3:$R$3,0))</f>
        <v>CH</v>
      </c>
      <c r="D83" s="12" t="str">
        <f>INDEX('ei names mapping'!$B$104:$R$133,MATCH(B47,'ei names mapping'!$A$104:$A$133,0),MATCH(G83,'ei names mapping'!$B$3:$R$3,0))</f>
        <v>unit</v>
      </c>
      <c r="E83" s="12"/>
      <c r="F83" s="12" t="s">
        <v>91</v>
      </c>
      <c r="G83" t="s">
        <v>150</v>
      </c>
      <c r="H83" s="12" t="str">
        <f>INDEX('ei names mapping'!$B$71:$R$100,MATCH($B$3,'ei names mapping'!$A$4:$A$33,0),MATCH(G83,'ei names mapping'!$B$3:$R$3,0))</f>
        <v>used electric bicycle</v>
      </c>
    </row>
    <row r="84" spans="1:8" x14ac:dyDescent="0.3">
      <c r="A84" s="12" t="str">
        <f>INDEX('ei names mapping'!$B$4:$R$33,MATCH($B$3,'ei names mapping'!$A$4:$A$33,0),MATCH(G84,'ei names mapping'!$B$3:$R$3,0))</f>
        <v>treatment of used electric bicycle</v>
      </c>
      <c r="B84" s="14">
        <f>INDEX('vehicles specifications'!$B$3:$CK$86,MATCH(B50,'vehicles specifications'!$A$3:$A$86,0),MATCH(G84,'vehicles specifications'!$B$2:$CK$2,0))*INDEX('ei names mapping'!$B$137:$BK$220,MATCH(B50,'ei names mapping'!$A$137:$A$220,0),MATCH(G84,'ei names mapping'!$B$136:$BK$136,0))</f>
        <v>-0.20416666666666666</v>
      </c>
      <c r="C84" s="12" t="str">
        <f>INDEX('ei names mapping'!$B$38:$R$67,MATCH($B$3,'ei names mapping'!$A$4:$A$33,0),MATCH(G84,'ei names mapping'!$B$3:$R$3,0))</f>
        <v>CH</v>
      </c>
      <c r="D84" s="12" t="str">
        <f>INDEX('ei names mapping'!$B$104:$R$133,MATCH(B47,'ei names mapping'!$A$104:$A$133,0),MATCH(G84,'ei names mapping'!$B$3:$R$3,0))</f>
        <v>unit</v>
      </c>
      <c r="E84" s="12"/>
      <c r="F84" s="12" t="s">
        <v>91</v>
      </c>
      <c r="G84" t="s">
        <v>151</v>
      </c>
      <c r="H84" s="12" t="str">
        <f>INDEX('ei names mapping'!$B$71:$R$100,MATCH($B$3,'ei names mapping'!$A$4:$A$33,0),MATCH(G84,'ei names mapping'!$B$3:$R$3,0))</f>
        <v>used electric bicycle</v>
      </c>
    </row>
    <row r="85" spans="1:8" x14ac:dyDescent="0.3">
      <c r="A85" s="12" t="str">
        <f>INDEX('ei names mapping'!$B$4:$R$33,MATCH($B$3,'ei names mapping'!$A$4:$A$33,0),MATCH(G85,'ei names mapping'!$B$3:$R$3,0))</f>
        <v>market for used Li-ion battery</v>
      </c>
      <c r="B85" s="14">
        <f>INDEX('vehicles specifications'!$B$3:$CK$86,MATCH(B50,'vehicles specifications'!$A$3:$A$86,0),MATCH(G85,'vehicles specifications'!$B$2:$CK$2,0))*INDEX('ei names mapping'!$B$137:$BK$220,MATCH(B50,'ei names mapping'!$A$137:$A$220,0),MATCH(G85,'ei names mapping'!$B$136:$BK$136,0))</f>
        <v>-6.5000000000000009</v>
      </c>
      <c r="C85" s="12" t="str">
        <f>INDEX('ei names mapping'!$B$38:$R$67,MATCH($B$3,'ei names mapping'!$A$4:$A$33,0),MATCH(G85,'ei names mapping'!$B$3:$R$3,0))</f>
        <v>GLO</v>
      </c>
      <c r="D85" s="12" t="str">
        <f>INDEX('ei names mapping'!$B$104:$R$133,MATCH(B47,'ei names mapping'!$A$104:$A$133,0),MATCH(G85,'ei names mapping'!$B$3:$R$3,0))</f>
        <v>kilogram</v>
      </c>
      <c r="E85" s="12"/>
      <c r="F85" s="12" t="s">
        <v>91</v>
      </c>
      <c r="G85" t="s">
        <v>152</v>
      </c>
      <c r="H85" s="12" t="str">
        <f>INDEX('ei names mapping'!$B$71:$R$100,MATCH($B$3,'ei names mapping'!$A$4:$A$33,0),MATCH(G85,'ei names mapping'!$B$3:$R$3,0))</f>
        <v>used Li-ion battery</v>
      </c>
    </row>
    <row r="86" spans="1:8" s="21" customFormat="1" x14ac:dyDescent="0.3">
      <c r="A86" s="22" t="s">
        <v>468</v>
      </c>
      <c r="B86" s="21">
        <f>(B60/1000)*B72</f>
        <v>27.663333333333334</v>
      </c>
      <c r="C86" s="21" t="s">
        <v>94</v>
      </c>
      <c r="D86" s="21" t="s">
        <v>243</v>
      </c>
      <c r="F86" s="21" t="s">
        <v>91</v>
      </c>
      <c r="H86" s="22" t="s">
        <v>469</v>
      </c>
    </row>
    <row r="87" spans="1:8" s="21" customFormat="1" x14ac:dyDescent="0.3">
      <c r="A87" s="22" t="s">
        <v>467</v>
      </c>
      <c r="B87" s="2">
        <f>(B60/1000)*B71</f>
        <v>439.84700000000004</v>
      </c>
      <c r="C87" s="21" t="s">
        <v>98</v>
      </c>
      <c r="D87" s="21" t="s">
        <v>243</v>
      </c>
      <c r="F87" s="21" t="s">
        <v>91</v>
      </c>
      <c r="H87" s="22" t="s">
        <v>467</v>
      </c>
    </row>
    <row r="88" spans="1:8" x14ac:dyDescent="0.3">
      <c r="B88" s="12"/>
    </row>
    <row r="89" spans="1:8" ht="15.6" x14ac:dyDescent="0.3">
      <c r="A89" s="11" t="s">
        <v>72</v>
      </c>
      <c r="B89" s="9" t="str">
        <f>B91&amp;", "&amp;B93</f>
        <v>Bicycle, electric (&lt;45 km/h), 2040</v>
      </c>
    </row>
    <row r="90" spans="1:8" x14ac:dyDescent="0.3">
      <c r="A90" t="s">
        <v>73</v>
      </c>
      <c r="B90" t="s">
        <v>37</v>
      </c>
    </row>
    <row r="91" spans="1:8" x14ac:dyDescent="0.3">
      <c r="A91" t="s">
        <v>87</v>
      </c>
      <c r="B91" s="21" t="s">
        <v>518</v>
      </c>
    </row>
    <row r="92" spans="1:8" x14ac:dyDescent="0.3">
      <c r="A92" t="s">
        <v>88</v>
      </c>
      <c r="B92" s="12"/>
    </row>
    <row r="93" spans="1:8" x14ac:dyDescent="0.3">
      <c r="A93" t="s">
        <v>89</v>
      </c>
      <c r="B93" s="12">
        <v>2040</v>
      </c>
    </row>
    <row r="94" spans="1:8" x14ac:dyDescent="0.3">
      <c r="A94" t="s">
        <v>131</v>
      </c>
      <c r="B94" s="12" t="str">
        <f>B91&amp;" - "&amp;B93&amp;" - "&amp;B90</f>
        <v>Bicycle, electric (&lt;45 km/h) - 2040 - CH</v>
      </c>
    </row>
    <row r="95" spans="1:8" x14ac:dyDescent="0.3">
      <c r="A95" t="s">
        <v>74</v>
      </c>
      <c r="B95" t="str">
        <f>B91</f>
        <v>Bicycle, electric (&lt;45 km/h)</v>
      </c>
    </row>
    <row r="96" spans="1:8" x14ac:dyDescent="0.3">
      <c r="A96" t="s">
        <v>75</v>
      </c>
      <c r="B96" t="s">
        <v>76</v>
      </c>
    </row>
    <row r="97" spans="1:2" x14ac:dyDescent="0.3">
      <c r="A97" t="s">
        <v>77</v>
      </c>
      <c r="B97" t="s">
        <v>77</v>
      </c>
    </row>
    <row r="98" spans="1:2" x14ac:dyDescent="0.3">
      <c r="A98" t="s">
        <v>79</v>
      </c>
      <c r="B98" t="s">
        <v>90</v>
      </c>
    </row>
    <row r="99" spans="1:2" x14ac:dyDescent="0.3">
      <c r="A99" t="s">
        <v>132</v>
      </c>
      <c r="B99">
        <f>INDEX('vehicles specifications'!$B$3:$CK$86,MATCH(B94,'vehicles specifications'!$A$3:$A$86,0),MATCH("Lifetime [km]",'vehicles specifications'!$B$2:$CK$2,0))</f>
        <v>30000</v>
      </c>
    </row>
    <row r="100" spans="1:2" x14ac:dyDescent="0.3">
      <c r="A100" t="s">
        <v>133</v>
      </c>
      <c r="B100">
        <f>INDEX('vehicles specifications'!$B$3:$CK$86,MATCH(B94,'vehicles specifications'!$A$3:$A$86,0),MATCH("Passengers [unit]",'vehicles specifications'!$B$2:$CK$2,0))</f>
        <v>1</v>
      </c>
    </row>
    <row r="101" spans="1:2" x14ac:dyDescent="0.3">
      <c r="A101" t="s">
        <v>134</v>
      </c>
      <c r="B101">
        <f>INDEX('vehicles specifications'!$B$3:$CK$86,MATCH(B94,'vehicles specifications'!$A$3:$A$86,0),MATCH("Servicing [unit]",'vehicles specifications'!$B$2:$CK$2,0))</f>
        <v>7.5</v>
      </c>
    </row>
    <row r="102" spans="1:2" x14ac:dyDescent="0.3">
      <c r="A102" t="s">
        <v>135</v>
      </c>
      <c r="B102">
        <f>INDEX('vehicles specifications'!$B$3:$CK$86,MATCH(B94,'vehicles specifications'!$A$3:$A$86,0),MATCH("Energy battery replacement [unit]",'vehicles specifications'!$B$2:$CK$2,0))</f>
        <v>0.25</v>
      </c>
    </row>
    <row r="103" spans="1:2" x14ac:dyDescent="0.3">
      <c r="A103" t="s">
        <v>136</v>
      </c>
      <c r="B103">
        <f>INDEX('vehicles specifications'!$B$3:$CK$86,MATCH(B94,'vehicles specifications'!$A$3:$A$86,0),MATCH("Annual kilometers [km]",'vehicles specifications'!$B$2:$CK$2,0))</f>
        <v>3000</v>
      </c>
    </row>
    <row r="104" spans="1:2" x14ac:dyDescent="0.3">
      <c r="A104" t="s">
        <v>137</v>
      </c>
      <c r="B104">
        <f>INDEX('vehicles specifications'!$B$3:$CK$86,MATCH(B94,'vehicles specifications'!$A$3:$A$86,0),MATCH("Curb mass [kg]",'vehicles specifications'!$B$2:$CK$2,0))</f>
        <v>27.625</v>
      </c>
    </row>
    <row r="105" spans="1:2" x14ac:dyDescent="0.3">
      <c r="A105" t="s">
        <v>138</v>
      </c>
      <c r="B105">
        <f>INDEX('vehicles specifications'!$B$3:$CK$86,MATCH(B94,'vehicles specifications'!$A$3:$A$86,0),MATCH("Power [kW]",'vehicles specifications'!$B$2:$CK$2,0))</f>
        <v>0.5</v>
      </c>
    </row>
    <row r="106" spans="1:2" x14ac:dyDescent="0.3">
      <c r="A106" t="s">
        <v>139</v>
      </c>
      <c r="B106">
        <f>INDEX('vehicles specifications'!$B$3:$CK$86,MATCH(B94,'vehicles specifications'!$A$3:$A$86,0),MATCH("Energy battery mass [kg]",'vehicles specifications'!$B$2:$CK$2,0))</f>
        <v>4.875</v>
      </c>
    </row>
    <row r="107" spans="1:2" x14ac:dyDescent="0.3">
      <c r="A107" t="s">
        <v>140</v>
      </c>
      <c r="B107">
        <f>INDEX('vehicles specifications'!$B$3:$CK$86,MATCH(B94,'vehicles specifications'!$A$3:$A$86,0),MATCH("Electric energy stored [kWh]",'vehicles specifications'!$B$2:$CK$2,0))</f>
        <v>1.5</v>
      </c>
    </row>
    <row r="108" spans="1:2" s="21" customFormat="1" x14ac:dyDescent="0.3">
      <c r="A108" s="21" t="s">
        <v>654</v>
      </c>
      <c r="B108" s="21">
        <f>INDEX('vehicles specifications'!$B$3:$CK$86,MATCH(B94,'vehicles specifications'!$A$3:$A$86,0),MATCH("Electric energy available [kWh]",'vehicles specifications'!$B$2:$CK$2,0))</f>
        <v>1.2000000000000002</v>
      </c>
    </row>
    <row r="109" spans="1:2" x14ac:dyDescent="0.3">
      <c r="A109" t="s">
        <v>143</v>
      </c>
      <c r="B109">
        <f>INDEX('vehicles specifications'!$B$3:$CK$86,MATCH(B94,'vehicles specifications'!$A$3:$A$86,0),MATCH("Oxydation energy stored [kWh]",'vehicles specifications'!$B$2:$CK$2,0))</f>
        <v>0</v>
      </c>
    </row>
    <row r="110" spans="1:2" x14ac:dyDescent="0.3">
      <c r="A110" t="s">
        <v>145</v>
      </c>
      <c r="B110">
        <f>INDEX('vehicles specifications'!$B$3:$CK$86,MATCH(B94,'vehicles specifications'!$A$3:$A$86,0),MATCH("Fuel mass [kg]",'vehicles specifications'!$B$2:$CK$2,0))</f>
        <v>0</v>
      </c>
    </row>
    <row r="111" spans="1:2" x14ac:dyDescent="0.3">
      <c r="A111" t="s">
        <v>141</v>
      </c>
      <c r="B111">
        <f>INDEX('vehicles specifications'!$B$3:$CK$86,MATCH(B94,'vehicles specifications'!$A$3:$A$86,0),MATCH("Range [km]",'vehicles specifications'!$B$2:$CK$2,0))</f>
        <v>95.345420088439695</v>
      </c>
    </row>
    <row r="112" spans="1:2" x14ac:dyDescent="0.3">
      <c r="A112" t="s">
        <v>142</v>
      </c>
      <c r="B112" t="str">
        <f>INDEX('vehicles specifications'!$B$3:$CK$86,MATCH(B94,'vehicles specifications'!$A$3:$A$86,0),MATCH("Emission standard",'vehicles specifications'!$B$2:$CK$2,0))</f>
        <v>None</v>
      </c>
    </row>
    <row r="113" spans="1:8" x14ac:dyDescent="0.3">
      <c r="A113" t="s">
        <v>144</v>
      </c>
      <c r="B113" s="6">
        <f>INDEX('vehicles specifications'!$B$3:$CK$86,MATCH(B94,'vehicles specifications'!$A$3:$A$86,0),MATCH("Lightweighting rate [%]",'vehicles specifications'!$B$2:$CK$2,0))</f>
        <v>0.05</v>
      </c>
    </row>
    <row r="114" spans="1:8" s="21" customFormat="1" x14ac:dyDescent="0.3">
      <c r="A114" s="21" t="s">
        <v>513</v>
      </c>
      <c r="B114" s="6" t="s">
        <v>514</v>
      </c>
    </row>
    <row r="115" spans="1:8" s="21" customFormat="1" x14ac:dyDescent="0.3">
      <c r="A115" s="21" t="s">
        <v>515</v>
      </c>
      <c r="B115" s="2">
        <v>15900</v>
      </c>
    </row>
    <row r="116" spans="1:8" s="21" customFormat="1" x14ac:dyDescent="0.3">
      <c r="A116" s="21" t="s">
        <v>516</v>
      </c>
      <c r="B116" s="2">
        <v>1000</v>
      </c>
    </row>
    <row r="117" spans="1:8" s="21" customFormat="1" x14ac:dyDescent="0.3">
      <c r="A117" s="21" t="s">
        <v>84</v>
      </c>
      <c r="B117" s="21" t="str">
        <f>"Power: "&amp;B105&amp;" kW. Lifetime: "&amp;B99&amp;" km. Annual kilometers: "&amp;ROUND(B103,0)&amp;" km. Number of passengers: "&amp;ROUND(B100,1)&amp;". Curb mass: "&amp;ROUND(B104,1)&amp;" kg. Lightweighting of glider: "&amp;ROUND(B113*100,0)&amp;"%. Emission standard: "&amp;B112&amp;". Service visits throughout lifetime: "&amp;ROUND(B101,1)&amp;". Range: "&amp;ROUND(B111,0)&amp;" km. Battery capacity: "&amp;ROUND(B107,1)&amp;" kWh. Available battery capacity: "&amp;B108&amp;" kWh. Battery mass: "&amp;ROUND(B106,1)&amp; " kg. Battery replacement throughout lifetime: "&amp;ROUND(B102,1)&amp;". Fuel tank capacity: "&amp;ROUND(B109,1)&amp;" kWh. Fuel mass: "&amp;ROUND(B110,1)&amp;" kg. Origin of manufacture: "&amp;B114&amp;". Shipping distance: "&amp;B115&amp;" km. Lorry distribution distance: "&amp;B116&amp;" km. Documentation: "&amp;Readmefirst!$B$2&amp;", "&amp;Readmefirst!$B$3&amp;". "&amp;'lci-kick scooter'!B98</f>
        <v>Power: 0.5 kW. Lifetime: 30000 km. Annual kilometers: 3000 km. Number of passengers: 1. Curb mass: 27.6 kg. Lightweighting of glider: 5%. Emission standard: None. Service visits throughout lifetime: 7.5. Range: 95 km. Battery capacity: 1.5 kWh. Available battery capacity: 1.2 kWh. Battery mass: 4.9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18" spans="1:8" ht="15.6" x14ac:dyDescent="0.3">
      <c r="A118" s="11" t="s">
        <v>80</v>
      </c>
    </row>
    <row r="119" spans="1:8" x14ac:dyDescent="0.3">
      <c r="A119" t="s">
        <v>81</v>
      </c>
      <c r="B119" t="s">
        <v>82</v>
      </c>
      <c r="C119" t="s">
        <v>73</v>
      </c>
      <c r="D119" t="s">
        <v>77</v>
      </c>
      <c r="E119" t="s">
        <v>83</v>
      </c>
      <c r="F119" t="s">
        <v>75</v>
      </c>
      <c r="G119" t="s">
        <v>84</v>
      </c>
      <c r="H119" t="s">
        <v>74</v>
      </c>
    </row>
    <row r="120" spans="1:8" x14ac:dyDescent="0.3">
      <c r="A120" s="12" t="str">
        <f>B89</f>
        <v>Bicycle, electric (&lt;45 km/h), 2040</v>
      </c>
      <c r="B120" s="12">
        <v>1</v>
      </c>
      <c r="C120" s="12" t="str">
        <f>B90</f>
        <v>CH</v>
      </c>
      <c r="D120" s="12" t="str">
        <f>B97</f>
        <v>unit</v>
      </c>
      <c r="E120" s="12"/>
      <c r="F120" s="12" t="s">
        <v>85</v>
      </c>
      <c r="G120" s="12" t="s">
        <v>86</v>
      </c>
      <c r="H120" s="12" t="str">
        <f>B91</f>
        <v>Bicycle, electric (&lt;45 km/h)</v>
      </c>
    </row>
    <row r="121" spans="1:8" x14ac:dyDescent="0.3">
      <c r="A121" s="12" t="str">
        <f>INDEX('ei names mapping'!$B$4:$R$33,MATCH($B$3,'ei names mapping'!$A$4:$A$33,0),MATCH(G121,'ei names mapping'!$B$3:$R$3,0))</f>
        <v>electric bicycle production, without battery and motor</v>
      </c>
      <c r="B121" s="14">
        <f>INDEX('vehicles specifications'!$B$3:$CK$86,MATCH(B94,'vehicles specifications'!$A$3:$A$86,0),MATCH(G121,'vehicles specifications'!$B$2:$CK$2,0))*INDEX('ei names mapping'!$B$137:$BK$220,MATCH(B94,'ei names mapping'!$A$137:$A$220,0),MATCH(G121,'ei names mapping'!$B$136:$BK$136,0))</f>
        <v>1.1176470588235294</v>
      </c>
      <c r="C121" s="12" t="str">
        <f>INDEX('ei names mapping'!$B$38:$R$67,MATCH($B$3,'ei names mapping'!$A$4:$A$33,0),MATCH(G121,'ei names mapping'!$B$3:$R$3,0))</f>
        <v>RER</v>
      </c>
      <c r="D121" s="12" t="str">
        <f>INDEX('ei names mapping'!$B$104:$R$133,MATCH(B91,'ei names mapping'!$A$104:$A$133,0),MATCH(G121,'ei names mapping'!$B$3:$R$3,0))</f>
        <v>unit</v>
      </c>
      <c r="E121" s="12"/>
      <c r="F121" s="12" t="s">
        <v>91</v>
      </c>
      <c r="G121" s="21" t="s">
        <v>15</v>
      </c>
      <c r="H121" s="12" t="str">
        <f>INDEX('ei names mapping'!$B$71:$R$100,MATCH($B$3,'ei names mapping'!$A$4:$A$33,0),MATCH(G121,'ei names mapping'!$B$3:$R$3,0))</f>
        <v>electric bicycle, without battery and motor</v>
      </c>
    </row>
    <row r="122" spans="1:8" x14ac:dyDescent="0.3">
      <c r="A122" s="12" t="str">
        <f>INDEX('ei names mapping'!$B$4:$R$33,MATCH($B$3,'ei names mapping'!$A$4:$A$33,0),MATCH(G122,'ei names mapping'!$B$3:$R$3,0))</f>
        <v>market for electric motor, vehicle</v>
      </c>
      <c r="B122" s="14">
        <f>INDEX('vehicles specifications'!$B$3:$CK$86,MATCH(B94,'vehicles specifications'!$A$3:$A$86,0),MATCH(G122,'vehicles specifications'!$B$2:$CK$2,0))*INDEX('ei names mapping'!$B$137:$BK$220,MATCH(B94,'ei names mapping'!$A$137:$A$220,0),MATCH(G122,'ei names mapping'!$B$136:$BK$136,0))</f>
        <v>4.7</v>
      </c>
      <c r="C122" s="12" t="str">
        <f>INDEX('ei names mapping'!$B$38:$R$67,MATCH($B$3,'ei names mapping'!$A$4:$A$33,0),MATCH(G122,'ei names mapping'!$B$3:$R$3,0))</f>
        <v>GLO</v>
      </c>
      <c r="D122" s="12" t="str">
        <f>INDEX('ei names mapping'!$B$104:$R$133,MATCH(B91,'ei names mapping'!$A$104:$A$133,0),MATCH(G122,'ei names mapping'!$B$3:$R$3,0))</f>
        <v>kilogram</v>
      </c>
      <c r="E122" s="12"/>
      <c r="F122" s="12" t="s">
        <v>91</v>
      </c>
      <c r="G122" t="s">
        <v>557</v>
      </c>
      <c r="H122" s="12" t="str">
        <f>INDEX('ei names mapping'!$B$71:$R$100,MATCH($B$3,'ei names mapping'!$A$4:$A$33,0),MATCH(G122,'ei names mapping'!$B$3:$R$3,0))</f>
        <v>electric motor, vehicle</v>
      </c>
    </row>
    <row r="123" spans="1:8" s="21" customFormat="1" x14ac:dyDescent="0.3">
      <c r="A123" s="12" t="str">
        <f>INDEX('ei names mapping'!$B$4:$R$33,MATCH(B91,'ei names mapping'!$A$4:$A$33,0),MATCH(G123,'ei names mapping'!$B$3:$R$3,0))</f>
        <v>glider lightweighting</v>
      </c>
      <c r="B123" s="16">
        <f>INDEX('vehicles specifications'!$B$3:$CK$86,MATCH(B94,'vehicles specifications'!$A$3:$A$86,0),MATCH(G123,'vehicles specifications'!$B$2:$CK$2,0))*INDEX('ei names mapping'!$B$137:$BK$220,MATCH(B94,'ei names mapping'!$A$137:$A$220,0),MATCH(G123,'ei names mapping'!$B$136:$BK$136,0))</f>
        <v>0.95000000000000007</v>
      </c>
      <c r="C123" s="12" t="str">
        <f>INDEX('ei names mapping'!$B$38:$R$67,MATCH(B91,'ei names mapping'!$A$4:$A$33,0),MATCH(G123,'ei names mapping'!$B$3:$R$3,0))</f>
        <v>GLO</v>
      </c>
      <c r="D123" s="12" t="str">
        <f>INDEX('ei names mapping'!$B$104:$R$133,MATCH(B91,'ei names mapping'!$A$104:$A$133,0),MATCH(G123,'ei names mapping'!$B$3:$R$3,0))</f>
        <v>kilogram</v>
      </c>
      <c r="E123" s="12"/>
      <c r="F123" s="12" t="s">
        <v>91</v>
      </c>
      <c r="G123" s="21" t="s">
        <v>14</v>
      </c>
      <c r="H123" s="12" t="str">
        <f>INDEX('ei names mapping'!$B$71:$R$100,MATCH(B91,'ei names mapping'!$A$4:$A$33,0),MATCH(G123,'ei names mapping'!$B$3:$R$3,0))</f>
        <v>glider lightweighting</v>
      </c>
    </row>
    <row r="124" spans="1:8" x14ac:dyDescent="0.3">
      <c r="A124" s="12" t="str">
        <f>INDEX('ei names mapping'!$B$4:$R$33,MATCH($B$3,'ei names mapping'!$A$4:$A$33,0),MATCH(G124,'ei names mapping'!$B$3:$R$3,0))</f>
        <v>Battery cell, NMC</v>
      </c>
      <c r="B124" s="14">
        <f>INDEX('vehicles specifications'!$B$3:$CK$86,MATCH(B94,'vehicles specifications'!$A$3:$A$86,0),MATCH(G124,'vehicles specifications'!$B$2:$CK$2,0))*INDEX('ei names mapping'!$B$137:$BK$220,MATCH(B94,'ei names mapping'!$A$137:$A$220,0),MATCH(G124,'ei names mapping'!$B$136:$BK$136,0))</f>
        <v>4.6875</v>
      </c>
      <c r="C124" s="12" t="str">
        <f>INDEX('ei names mapping'!$B$38:$R$67,MATCH($B$3,'ei names mapping'!$A$4:$A$33,0),MATCH(G124,'ei names mapping'!$B$3:$R$3,0))</f>
        <v>GLO</v>
      </c>
      <c r="D124" s="12" t="str">
        <f>INDEX('ei names mapping'!$B$104:$R$133,MATCH(B91,'ei names mapping'!$A$104:$A$133,0),MATCH(G124,'ei names mapping'!$B$3:$R$3,0))</f>
        <v>kilogram</v>
      </c>
      <c r="E124" s="12"/>
      <c r="F124" s="12" t="s">
        <v>91</v>
      </c>
      <c r="G124" t="s">
        <v>19</v>
      </c>
      <c r="H124" s="12" t="str">
        <f>INDEX('ei names mapping'!$B$71:$R$100,MATCH($B$3,'ei names mapping'!$A$4:$A$33,0),MATCH(G124,'ei names mapping'!$B$3:$R$3,0))</f>
        <v>Battery cell</v>
      </c>
    </row>
    <row r="125" spans="1:8" x14ac:dyDescent="0.3">
      <c r="A125" s="12" t="str">
        <f>INDEX('ei names mapping'!$B$4:$R$33,MATCH($B$3,'ei names mapping'!$A$4:$A$33,0),MATCH(G125,'ei names mapping'!$B$3:$R$3,0))</f>
        <v>Battery BoP</v>
      </c>
      <c r="B125" s="14">
        <f>INDEX('vehicles specifications'!$B$3:$CK$86,MATCH(B94,'vehicles specifications'!$A$3:$A$86,0),MATCH(G125,'vehicles specifications'!$B$2:$CK$2,0))*INDEX('ei names mapping'!$B$137:$BK$220,MATCH(B94,'ei names mapping'!$A$137:$A$220,0),MATCH(G125,'ei names mapping'!$B$136:$BK$136,0))</f>
        <v>1.40625</v>
      </c>
      <c r="C125" s="12" t="str">
        <f>INDEX('ei names mapping'!$B$38:$R$67,MATCH($B$3,'ei names mapping'!$A$4:$A$33,0),MATCH(G125,'ei names mapping'!$B$3:$R$3,0))</f>
        <v>GLO</v>
      </c>
      <c r="D125" s="12" t="str">
        <f>INDEX('ei names mapping'!$B$104:$R$133,MATCH(B91,'ei names mapping'!$A$104:$A$133,0),MATCH(G125,'ei names mapping'!$B$3:$R$3,0))</f>
        <v>kilogram</v>
      </c>
      <c r="E125" s="12"/>
      <c r="F125" s="12" t="s">
        <v>91</v>
      </c>
      <c r="G125" t="s">
        <v>20</v>
      </c>
      <c r="H125" s="12" t="str">
        <f>INDEX('ei names mapping'!$B$71:$R$100,MATCH($B$3,'ei names mapping'!$A$4:$A$33,0),MATCH(G125,'ei names mapping'!$B$3:$R$3,0))</f>
        <v>Battery BoP</v>
      </c>
    </row>
    <row r="126" spans="1:8" x14ac:dyDescent="0.3">
      <c r="A126" s="12" t="str">
        <f>INDEX('ei names mapping'!$B$4:$R$33,MATCH($B$3,'ei names mapping'!$A$4:$A$33,0),MATCH(G126,'ei names mapping'!$B$3:$R$3,0))</f>
        <v>charging station, 500W</v>
      </c>
      <c r="B126" s="14">
        <f>INDEX('vehicles specifications'!$B$3:$CK$86,MATCH(B94,'vehicles specifications'!$A$3:$A$86,0),MATCH(G126,'vehicles specifications'!$B$2:$CK$2,0))*INDEX('ei names mapping'!$B$137:$BK$220,MATCH(B94,'ei names mapping'!$A$137:$A$220,0),MATCH(G126,'ei names mapping'!$B$136:$BK$136,0))</f>
        <v>1</v>
      </c>
      <c r="C126" s="12" t="str">
        <f>INDEX('ei names mapping'!$B$38:$R$67,MATCH($B$3,'ei names mapping'!$A$4:$A$33,0),MATCH(G126,'ei names mapping'!$B$3:$R$3,0))</f>
        <v>GLO</v>
      </c>
      <c r="D126" s="12" t="str">
        <f>INDEX('ei names mapping'!$B$104:$R$133,MATCH(B91,'ei names mapping'!$A$104:$A$133,0),MATCH(G126,'ei names mapping'!$B$3:$R$3,0))</f>
        <v>unit</v>
      </c>
      <c r="E126" s="12"/>
      <c r="F126" s="12" t="s">
        <v>91</v>
      </c>
      <c r="G126" t="s">
        <v>53</v>
      </c>
      <c r="H126" s="12" t="str">
        <f>INDEX('ei names mapping'!$B$71:$R$100,MATCH($B$3,'ei names mapping'!$A$4:$A$33,0),MATCH(G126,'ei names mapping'!$B$3:$R$3,0))</f>
        <v>charging station, 500W</v>
      </c>
    </row>
    <row r="127" spans="1:8" x14ac:dyDescent="0.3">
      <c r="A127" s="12" t="str">
        <f>INDEX('ei names mapping'!$B$4:$R$33,MATCH($B$3,'ei names mapping'!$A$4:$A$33,0),MATCH(G127,'ei names mapping'!$B$3:$R$3,0))</f>
        <v>treatment of used electric bicycle</v>
      </c>
      <c r="B127" s="14">
        <f>INDEX('vehicles specifications'!$B$3:$CK$86,MATCH(B94,'vehicles specifications'!$A$3:$A$86,0),MATCH(G127,'vehicles specifications'!$B$2:$CK$2,0))*INDEX('ei names mapping'!$B$137:$BK$220,MATCH(B94,'ei names mapping'!$A$137:$A$220,0),MATCH(G127,'ei names mapping'!$B$136:$BK$136,0))</f>
        <v>-0.75208333333333333</v>
      </c>
      <c r="C127" s="12" t="str">
        <f>INDEX('ei names mapping'!$B$38:$R$67,MATCH($B$3,'ei names mapping'!$A$4:$A$33,0),MATCH(G127,'ei names mapping'!$B$3:$R$3,0))</f>
        <v>CH</v>
      </c>
      <c r="D127" s="12" t="str">
        <f>INDEX('ei names mapping'!$B$104:$R$133,MATCH(B91,'ei names mapping'!$A$104:$A$133,0),MATCH(G127,'ei names mapping'!$B$3:$R$3,0))</f>
        <v>unit</v>
      </c>
      <c r="E127" s="12"/>
      <c r="F127" s="12" t="s">
        <v>91</v>
      </c>
      <c r="G127" t="s">
        <v>150</v>
      </c>
      <c r="H127" s="12" t="str">
        <f>INDEX('ei names mapping'!$B$71:$R$100,MATCH($B$3,'ei names mapping'!$A$4:$A$33,0),MATCH(G127,'ei names mapping'!$B$3:$R$3,0))</f>
        <v>used electric bicycle</v>
      </c>
    </row>
    <row r="128" spans="1:8" x14ac:dyDescent="0.3">
      <c r="A128" s="12" t="str">
        <f>INDEX('ei names mapping'!$B$4:$R$33,MATCH($B$3,'ei names mapping'!$A$4:$A$33,0),MATCH(G128,'ei names mapping'!$B$3:$R$3,0))</f>
        <v>treatment of used electric bicycle</v>
      </c>
      <c r="B128" s="14">
        <f>INDEX('vehicles specifications'!$B$3:$CK$86,MATCH(B94,'vehicles specifications'!$A$3:$A$86,0),MATCH(G128,'vehicles specifications'!$B$2:$CK$2,0))*INDEX('ei names mapping'!$B$137:$BK$220,MATCH(B94,'ei names mapping'!$A$137:$A$220,0),MATCH(G128,'ei names mapping'!$B$136:$BK$136,0))</f>
        <v>-0.19583333333333333</v>
      </c>
      <c r="C128" s="12" t="str">
        <f>INDEX('ei names mapping'!$B$38:$R$67,MATCH($B$3,'ei names mapping'!$A$4:$A$33,0),MATCH(G128,'ei names mapping'!$B$3:$R$3,0))</f>
        <v>CH</v>
      </c>
      <c r="D128" s="12" t="str">
        <f>INDEX('ei names mapping'!$B$104:$R$133,MATCH(B91,'ei names mapping'!$A$104:$A$133,0),MATCH(G128,'ei names mapping'!$B$3:$R$3,0))</f>
        <v>unit</v>
      </c>
      <c r="E128" s="12"/>
      <c r="F128" s="12" t="s">
        <v>91</v>
      </c>
      <c r="G128" t="s">
        <v>151</v>
      </c>
      <c r="H128" s="12" t="str">
        <f>INDEX('ei names mapping'!$B$71:$R$100,MATCH($B$3,'ei names mapping'!$A$4:$A$33,0),MATCH(G128,'ei names mapping'!$B$3:$R$3,0))</f>
        <v>used electric bicycle</v>
      </c>
    </row>
    <row r="129" spans="1:8" x14ac:dyDescent="0.3">
      <c r="A129" s="12" t="str">
        <f>INDEX('ei names mapping'!$B$4:$R$33,MATCH($B$3,'ei names mapping'!$A$4:$A$33,0),MATCH(G129,'ei names mapping'!$B$3:$R$3,0))</f>
        <v>market for used Li-ion battery</v>
      </c>
      <c r="B129" s="14">
        <f>INDEX('vehicles specifications'!$B$3:$CK$86,MATCH(B94,'vehicles specifications'!$A$3:$A$86,0),MATCH(G129,'vehicles specifications'!$B$2:$CK$2,0))*INDEX('ei names mapping'!$B$137:$BK$220,MATCH(B94,'ei names mapping'!$A$137:$A$220,0),MATCH(G129,'ei names mapping'!$B$136:$BK$136,0))</f>
        <v>-6.09375</v>
      </c>
      <c r="C129" s="12" t="str">
        <f>INDEX('ei names mapping'!$B$38:$R$67,MATCH($B$3,'ei names mapping'!$A$4:$A$33,0),MATCH(G129,'ei names mapping'!$B$3:$R$3,0))</f>
        <v>GLO</v>
      </c>
      <c r="D129" s="12" t="str">
        <f>INDEX('ei names mapping'!$B$104:$R$133,MATCH(B91,'ei names mapping'!$A$104:$A$133,0),MATCH(G129,'ei names mapping'!$B$3:$R$3,0))</f>
        <v>kilogram</v>
      </c>
      <c r="E129" s="12"/>
      <c r="F129" s="12" t="s">
        <v>91</v>
      </c>
      <c r="G129" t="s">
        <v>152</v>
      </c>
      <c r="H129" s="12" t="str">
        <f>INDEX('ei names mapping'!$B$71:$R$100,MATCH($B$3,'ei names mapping'!$A$4:$A$33,0),MATCH(G129,'ei names mapping'!$B$3:$R$3,0))</f>
        <v>used Li-ion battery</v>
      </c>
    </row>
    <row r="130" spans="1:8" s="21" customFormat="1" x14ac:dyDescent="0.3">
      <c r="A130" s="22" t="s">
        <v>468</v>
      </c>
      <c r="B130" s="21">
        <f>(B104/1000)*B116</f>
        <v>27.625</v>
      </c>
      <c r="C130" s="21" t="s">
        <v>94</v>
      </c>
      <c r="D130" s="21" t="s">
        <v>243</v>
      </c>
      <c r="F130" s="21" t="s">
        <v>91</v>
      </c>
      <c r="H130" s="22" t="s">
        <v>469</v>
      </c>
    </row>
    <row r="131" spans="1:8" s="21" customFormat="1" x14ac:dyDescent="0.3">
      <c r="A131" s="22" t="s">
        <v>467</v>
      </c>
      <c r="B131" s="2">
        <f>(B104/1000)*B115</f>
        <v>439.23750000000001</v>
      </c>
      <c r="C131" s="21" t="s">
        <v>98</v>
      </c>
      <c r="D131" s="21" t="s">
        <v>243</v>
      </c>
      <c r="F131" s="21" t="s">
        <v>91</v>
      </c>
      <c r="H131" s="22" t="s">
        <v>467</v>
      </c>
    </row>
    <row r="133" spans="1:8" ht="15.6" x14ac:dyDescent="0.3">
      <c r="A133" s="11" t="s">
        <v>72</v>
      </c>
      <c r="B133" s="9" t="str">
        <f>B135&amp;", "&amp;B137</f>
        <v>Bicycle, electric (&lt;45 km/h), 2050</v>
      </c>
    </row>
    <row r="134" spans="1:8" x14ac:dyDescent="0.3">
      <c r="A134" t="s">
        <v>73</v>
      </c>
      <c r="B134" t="s">
        <v>37</v>
      </c>
    </row>
    <row r="135" spans="1:8" x14ac:dyDescent="0.3">
      <c r="A135" t="s">
        <v>87</v>
      </c>
      <c r="B135" s="21" t="s">
        <v>518</v>
      </c>
    </row>
    <row r="136" spans="1:8" x14ac:dyDescent="0.3">
      <c r="A136" t="s">
        <v>88</v>
      </c>
      <c r="B136" s="12"/>
    </row>
    <row r="137" spans="1:8" x14ac:dyDescent="0.3">
      <c r="A137" t="s">
        <v>89</v>
      </c>
      <c r="B137" s="12">
        <v>2050</v>
      </c>
    </row>
    <row r="138" spans="1:8" x14ac:dyDescent="0.3">
      <c r="A138" t="s">
        <v>131</v>
      </c>
      <c r="B138" s="12" t="str">
        <f>B135&amp;" - "&amp;B137&amp;" - "&amp;B134</f>
        <v>Bicycle, electric (&lt;45 km/h) - 2050 - CH</v>
      </c>
    </row>
    <row r="139" spans="1:8" x14ac:dyDescent="0.3">
      <c r="A139" t="s">
        <v>74</v>
      </c>
      <c r="B139" t="str">
        <f>B135</f>
        <v>Bicycle, electric (&lt;45 km/h)</v>
      </c>
    </row>
    <row r="140" spans="1:8" x14ac:dyDescent="0.3">
      <c r="A140" t="s">
        <v>75</v>
      </c>
      <c r="B140" t="s">
        <v>76</v>
      </c>
    </row>
    <row r="141" spans="1:8" x14ac:dyDescent="0.3">
      <c r="A141" t="s">
        <v>77</v>
      </c>
      <c r="B141" t="s">
        <v>77</v>
      </c>
    </row>
    <row r="142" spans="1:8" x14ac:dyDescent="0.3">
      <c r="A142" t="s">
        <v>79</v>
      </c>
      <c r="B142" t="s">
        <v>90</v>
      </c>
    </row>
    <row r="143" spans="1:8" x14ac:dyDescent="0.3">
      <c r="A143" t="s">
        <v>132</v>
      </c>
      <c r="B143">
        <f>INDEX('vehicles specifications'!$B$3:$CK$86,MATCH(B138,'vehicles specifications'!$A$3:$A$86,0),MATCH("Lifetime [km]",'vehicles specifications'!$B$2:$CK$2,0))</f>
        <v>30000</v>
      </c>
    </row>
    <row r="144" spans="1:8" x14ac:dyDescent="0.3">
      <c r="A144" t="s">
        <v>133</v>
      </c>
      <c r="B144">
        <f>INDEX('vehicles specifications'!$B$3:$CK$86,MATCH(B138,'vehicles specifications'!$A$3:$A$86,0),MATCH("Passengers [unit]",'vehicles specifications'!$B$2:$CK$2,0))</f>
        <v>1</v>
      </c>
    </row>
    <row r="145" spans="1:2" x14ac:dyDescent="0.3">
      <c r="A145" t="s">
        <v>134</v>
      </c>
      <c r="B145">
        <f>INDEX('vehicles specifications'!$B$3:$CK$86,MATCH(B138,'vehicles specifications'!$A$3:$A$86,0),MATCH("Servicing [unit]",'vehicles specifications'!$B$2:$CK$2,0))</f>
        <v>7.5</v>
      </c>
    </row>
    <row r="146" spans="1:2" x14ac:dyDescent="0.3">
      <c r="A146" t="s">
        <v>135</v>
      </c>
      <c r="B146">
        <f>INDEX('vehicles specifications'!$B$3:$CK$86,MATCH(B138,'vehicles specifications'!$A$3:$A$86,0),MATCH("Energy battery replacement [unit]",'vehicles specifications'!$B$2:$CK$2,0))</f>
        <v>0</v>
      </c>
    </row>
    <row r="147" spans="1:2" x14ac:dyDescent="0.3">
      <c r="A147" t="s">
        <v>136</v>
      </c>
      <c r="B147">
        <f>INDEX('vehicles specifications'!$B$3:$CK$86,MATCH(B138,'vehicles specifications'!$A$3:$A$86,0),MATCH("Annual kilometers [km]",'vehicles specifications'!$B$2:$CK$2,0))</f>
        <v>3000</v>
      </c>
    </row>
    <row r="148" spans="1:2" x14ac:dyDescent="0.3">
      <c r="A148" t="s">
        <v>137</v>
      </c>
      <c r="B148">
        <f>INDEX('vehicles specifications'!$B$3:$CK$86,MATCH(B138,'vehicles specifications'!$A$3:$A$86,0),MATCH("Curb mass [kg]",'vehicles specifications'!$B$2:$CK$2,0))</f>
        <v>27.989999999999995</v>
      </c>
    </row>
    <row r="149" spans="1:2" x14ac:dyDescent="0.3">
      <c r="A149" t="s">
        <v>138</v>
      </c>
      <c r="B149">
        <f>INDEX('vehicles specifications'!$B$3:$CK$86,MATCH(B138,'vehicles specifications'!$A$3:$A$86,0),MATCH("Power [kW]",'vehicles specifications'!$B$2:$CK$2,0))</f>
        <v>0.5</v>
      </c>
    </row>
    <row r="150" spans="1:2" x14ac:dyDescent="0.3">
      <c r="A150" t="s">
        <v>139</v>
      </c>
      <c r="B150">
        <f>INDEX('vehicles specifications'!$B$3:$CK$86,MATCH(B138,'vehicles specifications'!$A$3:$A$86,0),MATCH("Energy battery mass [kg]",'vehicles specifications'!$B$2:$CK$2,0))</f>
        <v>5.7200000000000006</v>
      </c>
    </row>
    <row r="151" spans="1:2" x14ac:dyDescent="0.3">
      <c r="A151" t="s">
        <v>140</v>
      </c>
      <c r="B151">
        <f>INDEX('vehicles specifications'!$B$3:$CK$86,MATCH(B138,'vehicles specifications'!$A$3:$A$86,0),MATCH("Electric energy stored [kWh]",'vehicles specifications'!$B$2:$CK$2,0))</f>
        <v>2.2000000000000002</v>
      </c>
    </row>
    <row r="152" spans="1:2" s="21" customFormat="1" x14ac:dyDescent="0.3">
      <c r="A152" s="21" t="s">
        <v>654</v>
      </c>
      <c r="B152" s="21">
        <f>INDEX('vehicles specifications'!$B$3:$CK$86,MATCH(B138,'vehicles specifications'!$A$3:$A$86,0),MATCH("Electric energy available [kWh]",'vehicles specifications'!$B$2:$CK$2,0))</f>
        <v>1.7600000000000002</v>
      </c>
    </row>
    <row r="153" spans="1:2" x14ac:dyDescent="0.3">
      <c r="A153" t="s">
        <v>143</v>
      </c>
      <c r="B153">
        <f>INDEX('vehicles specifications'!$B$3:$CK$86,MATCH(B138,'vehicles specifications'!$A$3:$A$86,0),MATCH("Oxydation energy stored [kWh]",'vehicles specifications'!$B$2:$CK$2,0))</f>
        <v>0</v>
      </c>
    </row>
    <row r="154" spans="1:2" x14ac:dyDescent="0.3">
      <c r="A154" t="s">
        <v>145</v>
      </c>
      <c r="B154">
        <f>INDEX('vehicles specifications'!$B$3:$CK$86,MATCH(B138,'vehicles specifications'!$A$3:$A$86,0),MATCH("Fuel mass [kg]",'vehicles specifications'!$B$2:$CK$2,0))</f>
        <v>0</v>
      </c>
    </row>
    <row r="155" spans="1:2" x14ac:dyDescent="0.3">
      <c r="A155" t="s">
        <v>141</v>
      </c>
      <c r="B155">
        <f>INDEX('vehicles specifications'!$B$3:$CK$86,MATCH(B138,'vehicles specifications'!$A$3:$A$86,0),MATCH("Range [km]",'vehicles specifications'!$B$2:$CK$2,0))</f>
        <v>139.83994946304489</v>
      </c>
    </row>
    <row r="156" spans="1:2" x14ac:dyDescent="0.3">
      <c r="A156" t="s">
        <v>142</v>
      </c>
      <c r="B156" t="str">
        <f>INDEX('vehicles specifications'!$B$3:$CK$86,MATCH(B138,'vehicles specifications'!$A$3:$A$86,0),MATCH("Emission standard",'vehicles specifications'!$B$2:$CK$2,0))</f>
        <v>None</v>
      </c>
    </row>
    <row r="157" spans="1:2" x14ac:dyDescent="0.3">
      <c r="A157" t="s">
        <v>144</v>
      </c>
      <c r="B157" s="6">
        <f>INDEX('vehicles specifications'!$B$3:$CK$86,MATCH(B138,'vehicles specifications'!$A$3:$A$86,0),MATCH("Lightweighting rate [%]",'vehicles specifications'!$B$2:$CK$2,0))</f>
        <v>7.0000000000000007E-2</v>
      </c>
    </row>
    <row r="158" spans="1:2" s="21" customFormat="1" x14ac:dyDescent="0.3">
      <c r="A158" s="21" t="s">
        <v>513</v>
      </c>
      <c r="B158" s="6" t="s">
        <v>514</v>
      </c>
    </row>
    <row r="159" spans="1:2" s="21" customFormat="1" x14ac:dyDescent="0.3">
      <c r="A159" s="21" t="s">
        <v>515</v>
      </c>
      <c r="B159" s="2">
        <v>15900</v>
      </c>
    </row>
    <row r="160" spans="1:2" s="21" customFormat="1" x14ac:dyDescent="0.3">
      <c r="A160" s="21" t="s">
        <v>516</v>
      </c>
      <c r="B160" s="2">
        <v>1000</v>
      </c>
    </row>
    <row r="161" spans="1:8" s="21" customFormat="1" x14ac:dyDescent="0.3">
      <c r="A161" s="21" t="s">
        <v>84</v>
      </c>
      <c r="B161" s="21" t="str">
        <f>"Power: "&amp;B149&amp;" kW. Lifetime: "&amp;B143&amp;" km. Annual kilometers: "&amp;ROUND(B147,0)&amp;" km. Number of passengers: "&amp;ROUND(B144,1)&amp;". Curb mass: "&amp;ROUND(B148,1)&amp;" kg. Lightweighting of glider: "&amp;ROUND(B157*100,0)&amp;"%. Emission standard: "&amp;B156&amp;". Service visits throughout lifetime: "&amp;ROUND(B145,1)&amp;". Range: "&amp;ROUND(B155,0)&amp;" km. Battery capacity: "&amp;ROUND(B151,1)&amp;" kWh. Available battery capacity: "&amp;B152&amp;" kWh. Battery mass: "&amp;ROUND(B150,1)&amp; " kg. Battery replacement throughout lifetime: "&amp;ROUND(B146,1)&amp;". Fuel tank capacity: "&amp;ROUND(B153,1)&amp;" kWh. Fuel mass: "&amp;ROUND(B154,1)&amp;" kg. Origin of manufacture: "&amp;B158&amp;". Shipping distance: "&amp;B159&amp;" km. Lorry distribution distance: "&amp;B160&amp;" km. Documentation: "&amp;Readmefirst!$B$2&amp;", "&amp;Readmefirst!$B$3&amp;". "&amp;'lci-kick scooter'!B142</f>
        <v>Power: 0.5 kW. Lifetime: 30000 km. Annual kilometers: 3000 km. Number of passengers: 1. Curb mass: 28 kg. Lightweighting of glider: 7%. Emission standard: None. Service visits throughout lifetime: 7.5. Range: 140 km. Battery capacity: 2.2 kWh. Available battery capacity: 1.76 kWh. Battery mass: 5.7 kg. Battery replacement throughout lifetime: 0. Fuel tank capacity: 0 kWh. Fuel mass: 0 kg. Origin of manufacture: China. Shipping distance: 15900 km. Lorry distribution distance: 1000 km. Documentation: 2021 UVEK life-cycle inventories update of on-road vehicles, Sacchi R. (PSI), Bauer C. (PSI), 2021. 1785</v>
      </c>
    </row>
    <row r="162" spans="1:8" ht="15.6" x14ac:dyDescent="0.3">
      <c r="A162" s="11" t="s">
        <v>80</v>
      </c>
    </row>
    <row r="163" spans="1:8" x14ac:dyDescent="0.3">
      <c r="A163" t="s">
        <v>81</v>
      </c>
      <c r="B163" t="s">
        <v>82</v>
      </c>
      <c r="C163" t="s">
        <v>73</v>
      </c>
      <c r="D163" t="s">
        <v>77</v>
      </c>
      <c r="E163" t="s">
        <v>83</v>
      </c>
      <c r="F163" t="s">
        <v>75</v>
      </c>
      <c r="G163" t="s">
        <v>84</v>
      </c>
      <c r="H163" t="s">
        <v>74</v>
      </c>
    </row>
    <row r="164" spans="1:8" x14ac:dyDescent="0.3">
      <c r="A164" s="12" t="str">
        <f>B133</f>
        <v>Bicycle, electric (&lt;45 km/h), 2050</v>
      </c>
      <c r="B164" s="12">
        <v>1</v>
      </c>
      <c r="C164" s="12" t="str">
        <f>B134</f>
        <v>CH</v>
      </c>
      <c r="D164" s="12" t="str">
        <f>B141</f>
        <v>unit</v>
      </c>
      <c r="E164" s="12"/>
      <c r="F164" s="12" t="s">
        <v>85</v>
      </c>
      <c r="G164" s="12" t="s">
        <v>86</v>
      </c>
      <c r="H164" s="12" t="str">
        <f>B135</f>
        <v>Bicycle, electric (&lt;45 km/h)</v>
      </c>
    </row>
    <row r="165" spans="1:8" x14ac:dyDescent="0.3">
      <c r="A165" s="12" t="str">
        <f>INDEX('ei names mapping'!$B$4:$R$33,MATCH($B$3,'ei names mapping'!$A$4:$A$33,0),MATCH(G165,'ei names mapping'!$B$3:$R$3,0))</f>
        <v>electric bicycle production, without battery and motor</v>
      </c>
      <c r="B165" s="14">
        <f>INDEX('vehicles specifications'!$B$3:$CK$86,MATCH(B138,'vehicles specifications'!$A$3:$A$86,0),MATCH(G165,'vehicles specifications'!$B$2:$CK$2,0))*INDEX('ei names mapping'!$B$137:$BK$220,MATCH(B138,'ei names mapping'!$A$137:$A$220,0),MATCH(G165,'ei names mapping'!$B$136:$BK$136,0))</f>
        <v>1.1176470588235294</v>
      </c>
      <c r="C165" s="12" t="str">
        <f>INDEX('ei names mapping'!$B$38:$R$67,MATCH($B$3,'ei names mapping'!$A$4:$A$33,0),MATCH(G165,'ei names mapping'!$B$3:$R$3,0))</f>
        <v>RER</v>
      </c>
      <c r="D165" s="12" t="str">
        <f>INDEX('ei names mapping'!$B$104:$R$133,MATCH(B135,'ei names mapping'!$A$104:$A$133,0),MATCH(G165,'ei names mapping'!$B$3:$R$3,0))</f>
        <v>unit</v>
      </c>
      <c r="E165" s="12"/>
      <c r="F165" s="12" t="s">
        <v>91</v>
      </c>
      <c r="G165" s="21" t="s">
        <v>15</v>
      </c>
      <c r="H165" s="12" t="str">
        <f>INDEX('ei names mapping'!$B$71:$R$100,MATCH($B$3,'ei names mapping'!$A$4:$A$33,0),MATCH(G165,'ei names mapping'!$B$3:$R$3,0))</f>
        <v>electric bicycle, without battery and motor</v>
      </c>
    </row>
    <row r="166" spans="1:8" x14ac:dyDescent="0.3">
      <c r="A166" s="12" t="str">
        <f>INDEX('ei names mapping'!$B$4:$R$33,MATCH($B$3,'ei names mapping'!$A$4:$A$33,0),MATCH(G166,'ei names mapping'!$B$3:$R$3,0))</f>
        <v>market for electric motor, vehicle</v>
      </c>
      <c r="B166" s="14">
        <f>INDEX('vehicles specifications'!$B$3:$CK$86,MATCH(B138,'vehicles specifications'!$A$3:$A$86,0),MATCH(G166,'vehicles specifications'!$B$2:$CK$2,0))*INDEX('ei names mapping'!$B$137:$BK$220,MATCH(B138,'ei names mapping'!$A$137:$A$220,0),MATCH(G166,'ei names mapping'!$B$136:$BK$136,0))</f>
        <v>4.5999999999999996</v>
      </c>
      <c r="C166" s="12" t="str">
        <f>INDEX('ei names mapping'!$B$38:$R$67,MATCH($B$3,'ei names mapping'!$A$4:$A$33,0),MATCH(G166,'ei names mapping'!$B$3:$R$3,0))</f>
        <v>GLO</v>
      </c>
      <c r="D166" s="12" t="str">
        <f>INDEX('ei names mapping'!$B$104:$R$133,MATCH(B135,'ei names mapping'!$A$104:$A$133,0),MATCH(G166,'ei names mapping'!$B$3:$R$3,0))</f>
        <v>kilogram</v>
      </c>
      <c r="E166" s="12"/>
      <c r="F166" s="12" t="s">
        <v>91</v>
      </c>
      <c r="G166" t="s">
        <v>557</v>
      </c>
      <c r="H166" s="12" t="str">
        <f>INDEX('ei names mapping'!$B$71:$R$100,MATCH($B$3,'ei names mapping'!$A$4:$A$33,0),MATCH(G166,'ei names mapping'!$B$3:$R$3,0))</f>
        <v>electric motor, vehicle</v>
      </c>
    </row>
    <row r="167" spans="1:8" s="21" customFormat="1" x14ac:dyDescent="0.3">
      <c r="A167" s="12" t="str">
        <f>INDEX('ei names mapping'!$B$4:$R$33,MATCH(B135,'ei names mapping'!$A$4:$A$33,0),MATCH(G167,'ei names mapping'!$B$3:$R$3,0))</f>
        <v>glider lightweighting</v>
      </c>
      <c r="B167" s="16">
        <f>INDEX('vehicles specifications'!$B$3:$CK$86,MATCH(B138,'vehicles specifications'!$A$3:$A$86,0),MATCH(G167,'vehicles specifications'!$B$2:$CK$2,0))*INDEX('ei names mapping'!$B$137:$BK$220,MATCH(B138,'ei names mapping'!$A$137:$A$220,0),MATCH(G167,'ei names mapping'!$B$136:$BK$136,0))</f>
        <v>1.33</v>
      </c>
      <c r="C167" s="12" t="str">
        <f>INDEX('ei names mapping'!$B$38:$R$67,MATCH(B135,'ei names mapping'!$A$4:$A$33,0),MATCH(G167,'ei names mapping'!$B$3:$R$3,0))</f>
        <v>GLO</v>
      </c>
      <c r="D167" s="12" t="str">
        <f>INDEX('ei names mapping'!$B$104:$R$133,MATCH(B135,'ei names mapping'!$A$104:$A$133,0),MATCH(G167,'ei names mapping'!$B$3:$R$3,0))</f>
        <v>kilogram</v>
      </c>
      <c r="E167" s="12"/>
      <c r="F167" s="12" t="s">
        <v>91</v>
      </c>
      <c r="G167" s="21" t="s">
        <v>14</v>
      </c>
      <c r="H167" s="12" t="str">
        <f>INDEX('ei names mapping'!$B$71:$R$100,MATCH(B135,'ei names mapping'!$A$4:$A$33,0),MATCH(G167,'ei names mapping'!$B$3:$R$3,0))</f>
        <v>glider lightweighting</v>
      </c>
    </row>
    <row r="168" spans="1:8" x14ac:dyDescent="0.3">
      <c r="A168" s="12" t="str">
        <f>INDEX('ei names mapping'!$B$4:$R$33,MATCH($B$3,'ei names mapping'!$A$4:$A$33,0),MATCH(G168,'ei names mapping'!$B$3:$R$3,0))</f>
        <v>Battery cell, NMC</v>
      </c>
      <c r="B168" s="14">
        <f>INDEX('vehicles specifications'!$B$3:$CK$86,MATCH(B138,'vehicles specifications'!$A$3:$A$86,0),MATCH(G168,'vehicles specifications'!$B$2:$CK$2,0))*INDEX('ei names mapping'!$B$137:$BK$220,MATCH(B138,'ei names mapping'!$A$137:$A$220,0),MATCH(G168,'ei names mapping'!$B$136:$BK$136,0))</f>
        <v>4.4000000000000004</v>
      </c>
      <c r="C168" s="12" t="str">
        <f>INDEX('ei names mapping'!$B$38:$R$67,MATCH($B$3,'ei names mapping'!$A$4:$A$33,0),MATCH(G168,'ei names mapping'!$B$3:$R$3,0))</f>
        <v>GLO</v>
      </c>
      <c r="D168" s="12" t="str">
        <f>INDEX('ei names mapping'!$B$104:$R$133,MATCH(B135,'ei names mapping'!$A$104:$A$133,0),MATCH(G168,'ei names mapping'!$B$3:$R$3,0))</f>
        <v>kilogram</v>
      </c>
      <c r="E168" s="12"/>
      <c r="F168" s="12" t="s">
        <v>91</v>
      </c>
      <c r="G168" t="s">
        <v>19</v>
      </c>
      <c r="H168" s="12" t="str">
        <f>INDEX('ei names mapping'!$B$71:$R$100,MATCH($B$3,'ei names mapping'!$A$4:$A$33,0),MATCH(G168,'ei names mapping'!$B$3:$R$3,0))</f>
        <v>Battery cell</v>
      </c>
    </row>
    <row r="169" spans="1:8" x14ac:dyDescent="0.3">
      <c r="A169" s="12" t="str">
        <f>INDEX('ei names mapping'!$B$4:$R$33,MATCH($B$3,'ei names mapping'!$A$4:$A$33,0),MATCH(G169,'ei names mapping'!$B$3:$R$3,0))</f>
        <v>Battery BoP</v>
      </c>
      <c r="B169" s="14">
        <f>INDEX('vehicles specifications'!$B$3:$CK$86,MATCH(B138,'vehicles specifications'!$A$3:$A$86,0),MATCH(G169,'vehicles specifications'!$B$2:$CK$2,0))*INDEX('ei names mapping'!$B$137:$BK$220,MATCH(B138,'ei names mapping'!$A$137:$A$220,0),MATCH(G169,'ei names mapping'!$B$136:$BK$136,0))</f>
        <v>1.32</v>
      </c>
      <c r="C169" s="12" t="str">
        <f>INDEX('ei names mapping'!$B$38:$R$67,MATCH($B$3,'ei names mapping'!$A$4:$A$33,0),MATCH(G169,'ei names mapping'!$B$3:$R$3,0))</f>
        <v>GLO</v>
      </c>
      <c r="D169" s="12" t="str">
        <f>INDEX('ei names mapping'!$B$104:$R$133,MATCH(B135,'ei names mapping'!$A$104:$A$133,0),MATCH(G169,'ei names mapping'!$B$3:$R$3,0))</f>
        <v>kilogram</v>
      </c>
      <c r="E169" s="12"/>
      <c r="F169" s="12" t="s">
        <v>91</v>
      </c>
      <c r="G169" t="s">
        <v>20</v>
      </c>
      <c r="H169" s="12" t="str">
        <f>INDEX('ei names mapping'!$B$71:$R$100,MATCH($B$3,'ei names mapping'!$A$4:$A$33,0),MATCH(G169,'ei names mapping'!$B$3:$R$3,0))</f>
        <v>Battery BoP</v>
      </c>
    </row>
    <row r="170" spans="1:8" x14ac:dyDescent="0.3">
      <c r="A170" s="12" t="str">
        <f>INDEX('ei names mapping'!$B$4:$R$33,MATCH($B$3,'ei names mapping'!$A$4:$A$33,0),MATCH(G170,'ei names mapping'!$B$3:$R$3,0))</f>
        <v>charging station, 500W</v>
      </c>
      <c r="B170" s="14">
        <f>INDEX('vehicles specifications'!$B$3:$CK$86,MATCH(B138,'vehicles specifications'!$A$3:$A$86,0),MATCH(G170,'vehicles specifications'!$B$2:$CK$2,0))*INDEX('ei names mapping'!$B$137:$BK$220,MATCH(B138,'ei names mapping'!$A$137:$A$220,0),MATCH(G170,'ei names mapping'!$B$136:$BK$136,0))</f>
        <v>1</v>
      </c>
      <c r="C170" s="12" t="str">
        <f>INDEX('ei names mapping'!$B$38:$R$67,MATCH($B$3,'ei names mapping'!$A$4:$A$33,0),MATCH(G170,'ei names mapping'!$B$3:$R$3,0))</f>
        <v>GLO</v>
      </c>
      <c r="D170" s="12" t="str">
        <f>INDEX('ei names mapping'!$B$104:$R$133,MATCH(B135,'ei names mapping'!$A$104:$A$133,0),MATCH(G170,'ei names mapping'!$B$3:$R$3,0))</f>
        <v>unit</v>
      </c>
      <c r="E170" s="12"/>
      <c r="F170" s="12" t="s">
        <v>91</v>
      </c>
      <c r="G170" t="s">
        <v>53</v>
      </c>
      <c r="H170" s="12" t="str">
        <f>INDEX('ei names mapping'!$B$71:$R$100,MATCH($B$3,'ei names mapping'!$A$4:$A$33,0),MATCH(G170,'ei names mapping'!$B$3:$R$3,0))</f>
        <v>charging station, 500W</v>
      </c>
    </row>
    <row r="171" spans="1:8" x14ac:dyDescent="0.3">
      <c r="A171" s="12" t="str">
        <f>INDEX('ei names mapping'!$B$4:$R$33,MATCH($B$3,'ei names mapping'!$A$4:$A$33,0),MATCH(G171,'ei names mapping'!$B$3:$R$3,0))</f>
        <v>treatment of used electric bicycle</v>
      </c>
      <c r="B171" s="14">
        <f>INDEX('vehicles specifications'!$B$3:$CK$86,MATCH(B138,'vehicles specifications'!$A$3:$A$86,0),MATCH(G171,'vehicles specifications'!$B$2:$CK$2,0))*INDEX('ei names mapping'!$B$137:$BK$220,MATCH(B138,'ei names mapping'!$A$137:$A$220,0),MATCH(G171,'ei names mapping'!$B$136:$BK$136,0))</f>
        <v>-0.73624999999999985</v>
      </c>
      <c r="C171" s="12" t="str">
        <f>INDEX('ei names mapping'!$B$38:$R$67,MATCH($B$3,'ei names mapping'!$A$4:$A$33,0),MATCH(G171,'ei names mapping'!$B$3:$R$3,0))</f>
        <v>CH</v>
      </c>
      <c r="D171" s="12" t="str">
        <f>INDEX('ei names mapping'!$B$104:$R$133,MATCH(B135,'ei names mapping'!$A$104:$A$133,0),MATCH(G171,'ei names mapping'!$B$3:$R$3,0))</f>
        <v>unit</v>
      </c>
      <c r="E171" s="12"/>
      <c r="F171" s="12" t="s">
        <v>91</v>
      </c>
      <c r="G171" t="s">
        <v>150</v>
      </c>
      <c r="H171" s="12" t="str">
        <f>INDEX('ei names mapping'!$B$71:$R$100,MATCH($B$3,'ei names mapping'!$A$4:$A$33,0),MATCH(G171,'ei names mapping'!$B$3:$R$3,0))</f>
        <v>used electric bicycle</v>
      </c>
    </row>
    <row r="172" spans="1:8" x14ac:dyDescent="0.3">
      <c r="A172" s="12" t="str">
        <f>INDEX('ei names mapping'!$B$4:$R$33,MATCH($B$3,'ei names mapping'!$A$4:$A$33,0),MATCH(G172,'ei names mapping'!$B$3:$R$3,0))</f>
        <v>treatment of used electric bicycle</v>
      </c>
      <c r="B172" s="14">
        <f>INDEX('vehicles specifications'!$B$3:$CK$86,MATCH(B138,'vehicles specifications'!$A$3:$A$86,0),MATCH(G172,'vehicles specifications'!$B$2:$CK$2,0))*INDEX('ei names mapping'!$B$137:$BK$220,MATCH(B138,'ei names mapping'!$A$137:$A$220,0),MATCH(G172,'ei names mapping'!$B$136:$BK$136,0))</f>
        <v>-0.19166666666666665</v>
      </c>
      <c r="C172" s="12" t="str">
        <f>INDEX('ei names mapping'!$B$38:$R$67,MATCH($B$3,'ei names mapping'!$A$4:$A$33,0),MATCH(G172,'ei names mapping'!$B$3:$R$3,0))</f>
        <v>CH</v>
      </c>
      <c r="D172" s="12" t="str">
        <f>INDEX('ei names mapping'!$B$104:$R$133,MATCH(B135,'ei names mapping'!$A$104:$A$133,0),MATCH(G172,'ei names mapping'!$B$3:$R$3,0))</f>
        <v>unit</v>
      </c>
      <c r="E172" s="12"/>
      <c r="F172" s="12" t="s">
        <v>91</v>
      </c>
      <c r="G172" t="s">
        <v>151</v>
      </c>
      <c r="H172" s="12" t="str">
        <f>INDEX('ei names mapping'!$B$71:$R$100,MATCH($B$3,'ei names mapping'!$A$4:$A$33,0),MATCH(G172,'ei names mapping'!$B$3:$R$3,0))</f>
        <v>used electric bicycle</v>
      </c>
    </row>
    <row r="173" spans="1:8" x14ac:dyDescent="0.3">
      <c r="A173" s="12" t="str">
        <f>INDEX('ei names mapping'!$B$4:$R$33,MATCH($B$3,'ei names mapping'!$A$4:$A$33,0),MATCH(G173,'ei names mapping'!$B$3:$R$3,0))</f>
        <v>market for used Li-ion battery</v>
      </c>
      <c r="B173" s="14">
        <f>INDEX('vehicles specifications'!$B$3:$CK$86,MATCH(B138,'vehicles specifications'!$A$3:$A$86,0),MATCH(G173,'vehicles specifications'!$B$2:$CK$2,0))*INDEX('ei names mapping'!$B$137:$BK$220,MATCH(B138,'ei names mapping'!$A$137:$A$220,0),MATCH(G173,'ei names mapping'!$B$136:$BK$136,0))</f>
        <v>-5.7200000000000006</v>
      </c>
      <c r="C173" s="12" t="str">
        <f>INDEX('ei names mapping'!$B$38:$R$67,MATCH($B$3,'ei names mapping'!$A$4:$A$33,0),MATCH(G173,'ei names mapping'!$B$3:$R$3,0))</f>
        <v>GLO</v>
      </c>
      <c r="D173" s="12" t="str">
        <f>INDEX('ei names mapping'!$B$104:$R$133,MATCH(B135,'ei names mapping'!$A$104:$A$133,0),MATCH(G173,'ei names mapping'!$B$3:$R$3,0))</f>
        <v>kilogram</v>
      </c>
      <c r="E173" s="12"/>
      <c r="F173" s="12" t="s">
        <v>91</v>
      </c>
      <c r="G173" t="s">
        <v>152</v>
      </c>
      <c r="H173" s="12" t="str">
        <f>INDEX('ei names mapping'!$B$71:$R$100,MATCH($B$3,'ei names mapping'!$A$4:$A$33,0),MATCH(G173,'ei names mapping'!$B$3:$R$3,0))</f>
        <v>used Li-ion battery</v>
      </c>
    </row>
    <row r="174" spans="1:8" s="21" customFormat="1" x14ac:dyDescent="0.3">
      <c r="A174" s="22" t="s">
        <v>468</v>
      </c>
      <c r="B174" s="21">
        <f>(B148/1000)*B160</f>
        <v>27.989999999999995</v>
      </c>
      <c r="C174" s="21" t="s">
        <v>94</v>
      </c>
      <c r="D174" s="21" t="s">
        <v>243</v>
      </c>
      <c r="F174" s="21" t="s">
        <v>91</v>
      </c>
      <c r="H174" s="22" t="s">
        <v>469</v>
      </c>
    </row>
    <row r="175" spans="1:8" s="21" customFormat="1" x14ac:dyDescent="0.3">
      <c r="A175" s="22" t="s">
        <v>467</v>
      </c>
      <c r="B175" s="2">
        <f>(B148/1000)*B159</f>
        <v>445.04099999999988</v>
      </c>
      <c r="C175" s="21" t="s">
        <v>98</v>
      </c>
      <c r="D175" s="21" t="s">
        <v>243</v>
      </c>
      <c r="F175" s="21" t="s">
        <v>91</v>
      </c>
      <c r="H175" s="22" t="s">
        <v>467</v>
      </c>
    </row>
    <row r="177" spans="1:2" ht="15.6" x14ac:dyDescent="0.3">
      <c r="A177" s="11" t="s">
        <v>72</v>
      </c>
      <c r="B177" s="9" t="str">
        <f>"transport, "&amp;B179&amp;", "&amp;B181</f>
        <v>transport, Bicycle, electric (&lt;45 km/h), 2020</v>
      </c>
    </row>
    <row r="178" spans="1:2" x14ac:dyDescent="0.3">
      <c r="A178" t="s">
        <v>73</v>
      </c>
      <c r="B178" t="s">
        <v>37</v>
      </c>
    </row>
    <row r="179" spans="1:2" x14ac:dyDescent="0.3">
      <c r="A179" t="s">
        <v>87</v>
      </c>
      <c r="B179" s="21" t="s">
        <v>518</v>
      </c>
    </row>
    <row r="180" spans="1:2" x14ac:dyDescent="0.3">
      <c r="A180" t="s">
        <v>88</v>
      </c>
      <c r="B180" s="12"/>
    </row>
    <row r="181" spans="1:2" x14ac:dyDescent="0.3">
      <c r="A181" t="s">
        <v>89</v>
      </c>
      <c r="B181" s="12">
        <v>2020</v>
      </c>
    </row>
    <row r="182" spans="1:2" x14ac:dyDescent="0.3">
      <c r="A182" t="s">
        <v>131</v>
      </c>
      <c r="B182" s="12" t="str">
        <f>B179&amp;" - "&amp;B181&amp;" - "&amp;B178</f>
        <v>Bicycle, electric (&lt;45 km/h) - 2020 - CH</v>
      </c>
    </row>
    <row r="183" spans="1:2" x14ac:dyDescent="0.3">
      <c r="A183" t="s">
        <v>74</v>
      </c>
      <c r="B183" s="12" t="str">
        <f>"transport, "&amp;B179</f>
        <v>transport, Bicycle, electric (&lt;45 km/h)</v>
      </c>
    </row>
    <row r="184" spans="1:2" x14ac:dyDescent="0.3">
      <c r="A184" t="s">
        <v>75</v>
      </c>
      <c r="B184" t="s">
        <v>76</v>
      </c>
    </row>
    <row r="185" spans="1:2" x14ac:dyDescent="0.3">
      <c r="A185" t="s">
        <v>77</v>
      </c>
      <c r="B185" t="s">
        <v>172</v>
      </c>
    </row>
    <row r="186" spans="1:2" x14ac:dyDescent="0.3">
      <c r="A186" t="s">
        <v>79</v>
      </c>
      <c r="B186" t="s">
        <v>90</v>
      </c>
    </row>
    <row r="187" spans="1:2" x14ac:dyDescent="0.3">
      <c r="A187" t="s">
        <v>132</v>
      </c>
      <c r="B187">
        <f>INDEX('vehicles specifications'!$B$3:$CK$86,MATCH(B182,'vehicles specifications'!$A$3:$A$86,0),MATCH("Lifetime [km]",'vehicles specifications'!$B$2:$CK$2,0))</f>
        <v>30000</v>
      </c>
    </row>
    <row r="188" spans="1:2" x14ac:dyDescent="0.3">
      <c r="A188" t="s">
        <v>133</v>
      </c>
      <c r="B188">
        <f>INDEX('vehicles specifications'!$B$3:$CK$86,MATCH(B182,'vehicles specifications'!$A$3:$A$86,0),MATCH("Passengers [unit]",'vehicles specifications'!$B$2:$CK$2,0))</f>
        <v>1</v>
      </c>
    </row>
    <row r="189" spans="1:2" x14ac:dyDescent="0.3">
      <c r="A189" t="s">
        <v>134</v>
      </c>
      <c r="B189">
        <f>INDEX('vehicles specifications'!$B$3:$CK$86,MATCH(B182,'vehicles specifications'!$A$3:$A$86,0),MATCH("Servicing [unit]",'vehicles specifications'!$B$2:$CK$2,0))</f>
        <v>7.5</v>
      </c>
    </row>
    <row r="190" spans="1:2" x14ac:dyDescent="0.3">
      <c r="A190" t="s">
        <v>135</v>
      </c>
      <c r="B190">
        <f>INDEX('vehicles specifications'!$B$3:$CK$86,MATCH(B182,'vehicles specifications'!$A$3:$A$86,0),MATCH("Energy battery replacement [unit]",'vehicles specifications'!$B$2:$CK$2,0))</f>
        <v>1</v>
      </c>
    </row>
    <row r="191" spans="1:2" x14ac:dyDescent="0.3">
      <c r="A191" t="s">
        <v>136</v>
      </c>
      <c r="B191">
        <f>INDEX('vehicles specifications'!$B$3:$CK$86,MATCH(B182,'vehicles specifications'!$A$3:$A$86,0),MATCH("Annual kilometers [km]",'vehicles specifications'!$B$2:$CK$2,0))</f>
        <v>3000</v>
      </c>
    </row>
    <row r="192" spans="1:2" x14ac:dyDescent="0.3">
      <c r="A192" t="s">
        <v>137</v>
      </c>
      <c r="B192">
        <f>INDEX('vehicles specifications'!$B$3:$CK$86,MATCH(B182,'vehicles specifications'!$A$3:$A$86,0),MATCH("Curb mass [kg]",'vehicles specifications'!$B$2:$CK$2,0))</f>
        <v>27.9</v>
      </c>
    </row>
    <row r="193" spans="1:8" x14ac:dyDescent="0.3">
      <c r="A193" t="s">
        <v>138</v>
      </c>
      <c r="B193">
        <f>INDEX('vehicles specifications'!$B$3:$CK$86,MATCH(B182,'vehicles specifications'!$A$3:$A$86,0),MATCH("Power [kW]",'vehicles specifications'!$B$2:$CK$2,0))</f>
        <v>0.5</v>
      </c>
    </row>
    <row r="194" spans="1:8" x14ac:dyDescent="0.3">
      <c r="A194" t="s">
        <v>139</v>
      </c>
      <c r="B194">
        <f>INDEX('vehicles specifications'!$B$3:$CK$86,MATCH(B182,'vehicles specifications'!$A$3:$A$86,0),MATCH("Energy battery mass [kg]",'vehicles specifications'!$B$2:$CK$2,0))</f>
        <v>3.8999999999999995</v>
      </c>
    </row>
    <row r="195" spans="1:8" x14ac:dyDescent="0.3">
      <c r="A195" t="s">
        <v>140</v>
      </c>
      <c r="B195">
        <f>INDEX('vehicles specifications'!$B$3:$CK$86,MATCH(B182,'vehicles specifications'!$A$3:$A$86,0),MATCH("Electric energy stored [kWh]",'vehicles specifications'!$B$2:$CK$2,0))</f>
        <v>0.6</v>
      </c>
    </row>
    <row r="196" spans="1:8" s="21" customFormat="1" x14ac:dyDescent="0.3">
      <c r="A196" s="21" t="s">
        <v>654</v>
      </c>
      <c r="B196" s="21">
        <f>INDEX('vehicles specifications'!$B$3:$CK$86,MATCH(B182,'vehicles specifications'!$A$3:$A$86,0),MATCH("Electric energy available [kWh]",'vehicles specifications'!$B$2:$CK$2,0))</f>
        <v>0.48</v>
      </c>
    </row>
    <row r="197" spans="1:8" x14ac:dyDescent="0.3">
      <c r="A197" t="s">
        <v>143</v>
      </c>
      <c r="B197">
        <f>INDEX('vehicles specifications'!$B$3:$CK$86,MATCH(B182,'vehicles specifications'!$A$3:$A$86,0),MATCH("Oxydation energy stored [kWh]",'vehicles specifications'!$B$2:$CK$2,0))</f>
        <v>0</v>
      </c>
    </row>
    <row r="198" spans="1:8" x14ac:dyDescent="0.3">
      <c r="A198" t="s">
        <v>145</v>
      </c>
      <c r="B198">
        <f>INDEX('vehicles specifications'!$B$3:$CK$86,MATCH(B182,'vehicles specifications'!$A$3:$A$86,0),MATCH("Fuel mass [kg]",'vehicles specifications'!$B$2:$CK$2,0))</f>
        <v>0</v>
      </c>
    </row>
    <row r="199" spans="1:8" x14ac:dyDescent="0.3">
      <c r="A199" t="s">
        <v>141</v>
      </c>
      <c r="B199">
        <f>INDEX('vehicles specifications'!$B$3:$CK$86,MATCH(B182,'vehicles specifications'!$A$3:$A$86,0),MATCH("Range [km]",'vehicles specifications'!$B$2:$CK$2,0))</f>
        <v>38.13816803537587</v>
      </c>
    </row>
    <row r="200" spans="1:8" x14ac:dyDescent="0.3">
      <c r="A200" t="s">
        <v>142</v>
      </c>
      <c r="B200" t="str">
        <f>INDEX('vehicles specifications'!$B$3:$CK$86,MATCH(B182,'vehicles specifications'!$A$3:$A$86,0),MATCH("Emission standard",'vehicles specifications'!$B$2:$CK$2,0))</f>
        <v>None</v>
      </c>
    </row>
    <row r="201" spans="1:8" x14ac:dyDescent="0.3">
      <c r="A201" t="s">
        <v>144</v>
      </c>
      <c r="B201" s="6">
        <f>INDEX('vehicles specifications'!$B$3:$CK$86,MATCH(B182,'vehicles specifications'!$A$3:$A$86,0),MATCH("Lightweighting rate [%]",'vehicles specifications'!$B$2:$CK$2,0))</f>
        <v>0</v>
      </c>
    </row>
    <row r="202" spans="1:8" x14ac:dyDescent="0.3">
      <c r="A202" t="s">
        <v>84</v>
      </c>
      <c r="B202" s="21" t="str">
        <f>"Power: "&amp;B193&amp;" kW. Lifetime: "&amp;B187&amp;" km. Annual kilometers: "&amp;B191&amp;" km. Number of passengers: "&amp;B188&amp;". Curb mass: "&amp;ROUND(B192,1)&amp;" kg. Lightweighting of glider: "&amp;ROUND(B201*100,0)&amp;"%. Emission standard: "&amp;B200&amp;". Service visits throughout lifetime: "&amp;ROUND(B189,1)&amp;". Range: "&amp;ROUND(B199,0)&amp;" km. Battery capacity: "&amp;ROUND(B195,1)&amp;" kWh. Available battery capacity: "&amp;B196&amp;" kWh. Battery mass: "&amp;ROUND(B194,1)&amp; " kg. Battery replacement throughout lifetime: "&amp;ROUND(B190,1)&amp;". Fuel tank capacity: "&amp;ROUND(B197,1)&amp;" kWh. Fuel mass: "&amp;ROUND(B198,1)&amp;" kg. Documentation: "&amp;Readmefirst!$B$2&amp;", "&amp;Readmefirst!$B$3&amp;". "&amp;B186</f>
        <v>Power: 0.5 kW. Lifetime: 30000 km. Annual kilometers: 3000 km. Number of passengers: 1. Curb mass: 27.9 kg. Lightweighting of glider: 0%. Emission standard: None. Service visits throughout lifetime: 7.5. Range: 38 km. Battery capacity: 0.6 kWh. Available battery capacity: 0.48 kWh. Battery mass: 3.9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3" spans="1:8" ht="15.6" x14ac:dyDescent="0.3">
      <c r="A203" s="11" t="s">
        <v>80</v>
      </c>
    </row>
    <row r="204" spans="1:8" x14ac:dyDescent="0.3">
      <c r="A204" t="s">
        <v>81</v>
      </c>
      <c r="B204" t="s">
        <v>82</v>
      </c>
      <c r="C204" t="s">
        <v>73</v>
      </c>
      <c r="D204" t="s">
        <v>77</v>
      </c>
      <c r="E204" t="s">
        <v>83</v>
      </c>
      <c r="F204" t="s">
        <v>75</v>
      </c>
      <c r="G204" t="s">
        <v>84</v>
      </c>
      <c r="H204" t="s">
        <v>74</v>
      </c>
    </row>
    <row r="205" spans="1:8" x14ac:dyDescent="0.3">
      <c r="A205" s="12" t="str">
        <f>B177</f>
        <v>transport, Bicycle, electric (&lt;45 km/h), 2020</v>
      </c>
      <c r="B205" s="12">
        <v>1</v>
      </c>
      <c r="C205" s="12" t="str">
        <f>B178</f>
        <v>CH</v>
      </c>
      <c r="D205" s="12" t="s">
        <v>172</v>
      </c>
      <c r="E205" s="12"/>
      <c r="F205" s="12" t="s">
        <v>85</v>
      </c>
      <c r="G205" s="12" t="s">
        <v>86</v>
      </c>
      <c r="H205" s="12" t="str">
        <f>B183</f>
        <v>transport, Bicycle, electric (&lt;45 km/h)</v>
      </c>
    </row>
    <row r="206" spans="1:8" x14ac:dyDescent="0.3">
      <c r="A206" s="12" t="str">
        <f>RIGHT(A205,LEN(A205)-11)</f>
        <v>Bicycle, electric (&lt;45 km/h), 2020</v>
      </c>
      <c r="B206" s="12">
        <f>1/B187</f>
        <v>3.3333333333333335E-5</v>
      </c>
      <c r="C206" s="12" t="str">
        <f>B178</f>
        <v>CH</v>
      </c>
      <c r="D206" s="12" t="s">
        <v>77</v>
      </c>
      <c r="E206" s="12"/>
      <c r="F206" s="12" t="s">
        <v>91</v>
      </c>
      <c r="G206" s="12"/>
      <c r="H206" s="12" t="str">
        <f>RIGHT(H205,LEN(H205)-11)</f>
        <v>Bicycle, electric (&lt;45 km/h)</v>
      </c>
    </row>
    <row r="207" spans="1:8" s="21" customFormat="1" x14ac:dyDescent="0.3">
      <c r="A207" s="12" t="str">
        <f>INDEX('ei names mapping'!$B$4:$R$33,MATCH(B179,'ei names mapping'!$A$4:$A$33,0),MATCH(G207,'ei names mapping'!$B$3:$R$3,0))</f>
        <v>road construction</v>
      </c>
      <c r="B207" s="16">
        <f>INDEX('vehicles specifications'!$B$3:$CK$86,MATCH(B182,'vehicles specifications'!$A$3:$A$86,0),MATCH(G207,'vehicles specifications'!$B$2:$CK$2,0))*INDEX('ei names mapping'!$B$137:$BK$220,MATCH(B182,'ei names mapping'!$A$137:$A$220,0),MATCH(G207,'ei names mapping'!$B$136:$BK$136,0))</f>
        <v>5.3109300000000003E-5</v>
      </c>
      <c r="C207" s="12" t="str">
        <f>INDEX('ei names mapping'!$B$38:$R$67,MATCH(B179,'ei names mapping'!$A$4:$A$33,0),MATCH(G207,'ei names mapping'!$B$3:$R$3,0))</f>
        <v>CH</v>
      </c>
      <c r="D207" s="12" t="str">
        <f>INDEX('ei names mapping'!$B$104:$BK$133,MATCH(B179,'ei names mapping'!$A$4:$A$33,0),MATCH(G207,'ei names mapping'!$B$3:$BK$3,0))</f>
        <v>meter-year</v>
      </c>
      <c r="E207" s="12"/>
      <c r="F207" s="12" t="s">
        <v>91</v>
      </c>
      <c r="G207" s="21" t="s">
        <v>108</v>
      </c>
      <c r="H207" s="12" t="str">
        <f>INDEX('ei names mapping'!$B$71:$BK$100,MATCH(B179,'ei names mapping'!$A$4:$A$33,0),MATCH(G207,'ei names mapping'!$B$3:$BK$3,0))</f>
        <v>road</v>
      </c>
    </row>
    <row r="208" spans="1:8" x14ac:dyDescent="0.3">
      <c r="A208" s="12" t="str">
        <f>INDEX('ei names mapping'!$B$4:$R$33,MATCH($B$3,'ei names mapping'!$A$4:$A$33,0),MATCH(G208,'ei names mapping'!$B$3:$R$3,0))</f>
        <v>market for electricity, low voltage</v>
      </c>
      <c r="B208" s="14">
        <f>INDEX('vehicles specifications'!$B$3:$CK$86,MATCH(B182,'vehicles specifications'!$A$3:$A$86,0),MATCH(G208,'vehicles specifications'!$B$2:$CK$2,0))*INDEX('ei names mapping'!$B$137:$BK$220,MATCH(B182,'ei names mapping'!$A$137:$A$220,0),MATCH(G208,'ei names mapping'!$B$136:$BK$136,0))</f>
        <v>1.3844398595922134E-2</v>
      </c>
      <c r="C208" s="12" t="str">
        <f>INDEX('ei names mapping'!$B$38:$R$67,MATCH($B$3,'ei names mapping'!$A$4:$A$33,0),MATCH(G208,'ei names mapping'!$B$3:$R$3,0))</f>
        <v>CH</v>
      </c>
      <c r="D208" s="12" t="str">
        <f>INDEX('ei names mapping'!$B$104:$R$133,MATCH($B$3,'ei names mapping'!$A$4:$A$33,0),MATCH(G208,'ei names mapping'!$B$3:$R$3,0))</f>
        <v>kilowatt hour</v>
      </c>
      <c r="E208" s="12"/>
      <c r="F208" s="12" t="s">
        <v>91</v>
      </c>
      <c r="G208" t="s">
        <v>28</v>
      </c>
      <c r="H208" s="12" t="str">
        <f>INDEX('ei names mapping'!$B$71:$R$100,MATCH($B$3,'ei names mapping'!$A$4:$A$33,0),MATCH(G208,'ei names mapping'!$B$3:$R$3,0))</f>
        <v>electricity, low voltage</v>
      </c>
    </row>
    <row r="209" spans="1:8" x14ac:dyDescent="0.3">
      <c r="A209" s="12" t="str">
        <f>INDEX('ei names mapping'!$B$4:$R$33,MATCH($B$3,'ei names mapping'!$A$4:$A$33,0),MATCH(G209,'ei names mapping'!$B$3:$R$3,0))</f>
        <v>maintenance, electric bicycle, without battery</v>
      </c>
      <c r="B209" s="14">
        <f>INDEX('vehicles specifications'!$B$3:$CK$86,MATCH(B182,'vehicles specifications'!$A$3:$A$86,0),MATCH(G209,'vehicles specifications'!$B$2:$CK$2,0))*INDEX('ei names mapping'!$B$137:$BK$220,MATCH(B182,'ei names mapping'!$A$137:$A$220,0),MATCH(G209,'ei names mapping'!$B$136:$BK$136,0))</f>
        <v>2.5000000000000001E-4</v>
      </c>
      <c r="C209" s="12" t="str">
        <f>INDEX('ei names mapping'!$B$38:$R$67,MATCH($B$3,'ei names mapping'!$A$4:$A$33,0),MATCH(G209,'ei names mapping'!$B$3:$R$3,0))</f>
        <v>CH</v>
      </c>
      <c r="D209" s="12" t="str">
        <f>INDEX('ei names mapping'!$B$104:$R$133,MATCH($B$3,'ei names mapping'!$A$4:$A$33,0),MATCH(G209,'ei names mapping'!$B$3:$R$3,0))</f>
        <v>unit</v>
      </c>
      <c r="E209" s="12"/>
      <c r="F209" s="12" t="s">
        <v>91</v>
      </c>
      <c r="G209" t="s">
        <v>123</v>
      </c>
      <c r="H209" s="12" t="str">
        <f>INDEX('ei names mapping'!$B$71:$R$100,MATCH($B$3,'ei names mapping'!$A$4:$A$33,0),MATCH(G209,'ei names mapping'!$B$3:$R$3,0))</f>
        <v>maintenance, electric bicycle, without battery</v>
      </c>
    </row>
    <row r="210" spans="1:8" x14ac:dyDescent="0.3">
      <c r="A210" s="12" t="str">
        <f>INDEX('ei names mapping'!$B$4:$BK$33,MATCH($B$179,'ei names mapping'!$A$4:$A$33,0),MATCH(G210,'ei names mapping'!$B$3:$BK$3,0))</f>
        <v>treatment of road wear emissions, passenger car</v>
      </c>
      <c r="B210" s="15">
        <f>INDEX('vehicles specifications'!$B$3:$CK$86,MATCH(B182,'vehicles specifications'!$A$3:$A$86,0),MATCH(G210,'vehicles specifications'!$B$2:$CK$2,0))*INDEX('ei names mapping'!$B$137:$BK$220,MATCH(B182,'ei names mapping'!$A$137:$A$220,0),MATCH(G210,'ei names mapping'!$B$136:$BK$136,0))</f>
        <v>-3.0000000000000001E-6</v>
      </c>
      <c r="C210" s="12" t="str">
        <f>INDEX('ei names mapping'!$B$38:$BK$67,MATCH($B$179,'ei names mapping'!$A$4:$A$33,0),MATCH(G210,'ei names mapping'!$B$3:$BK$3,0))</f>
        <v>RER</v>
      </c>
      <c r="D210" s="12" t="str">
        <f>INDEX('ei names mapping'!$B$104:$BK$133,MATCH($B$179,'ei names mapping'!$A$4:$A$33,0),MATCH(G210,'ei names mapping'!$B$3:$BK$3,0))</f>
        <v>kilogram</v>
      </c>
      <c r="E210" s="12"/>
      <c r="F210" s="12" t="s">
        <v>91</v>
      </c>
      <c r="G210" t="s">
        <v>29</v>
      </c>
      <c r="H210" s="12" t="str">
        <f>INDEX('ei names mapping'!$B$71:$BK$100,MATCH(B179,'ei names mapping'!$A$4:$A$33,0),MATCH(G210,'ei names mapping'!$B$3:$BK$3,0))</f>
        <v>road wear emissions, passenger car</v>
      </c>
    </row>
    <row r="211" spans="1:8" x14ac:dyDescent="0.3">
      <c r="A211" s="12" t="str">
        <f>INDEX('ei names mapping'!$B$4:$BK$33,MATCH($B$179,'ei names mapping'!$A$4:$A$33,0),MATCH(G211,'ei names mapping'!$B$3:$BK$3,0))</f>
        <v>treatment of tyre wear emissions, passenger car</v>
      </c>
      <c r="B211" s="15">
        <f>INDEX('vehicles specifications'!$B$3:$CK$86,MATCH(B182,'vehicles specifications'!$A$3:$A$86,0),MATCH(G211,'vehicles specifications'!$B$2:$CK$2,0))*INDEX('ei names mapping'!$B$137:$BK$220,MATCH(B182,'ei names mapping'!$A$137:$A$220,0),MATCH(G211,'ei names mapping'!$B$136:$BK$136,0))</f>
        <v>-2.9189999999999999E-6</v>
      </c>
      <c r="C211" s="12" t="str">
        <f>INDEX('ei names mapping'!$B$38:$BK$67,MATCH($B$179,'ei names mapping'!$A$4:$A$33,0),MATCH(G211,'ei names mapping'!$B$3:$BK$3,0))</f>
        <v>RER</v>
      </c>
      <c r="D211" s="12" t="str">
        <f>INDEX('ei names mapping'!$B$104:$BK$133,MATCH($B$179,'ei names mapping'!$A$4:$A$33,0),MATCH(G211,'ei names mapping'!$B$3:$BK$3,0))</f>
        <v>kilogram</v>
      </c>
      <c r="E211" s="12"/>
      <c r="F211" s="12" t="s">
        <v>91</v>
      </c>
      <c r="G211" t="s">
        <v>30</v>
      </c>
      <c r="H211" s="12" t="str">
        <f>INDEX('ei names mapping'!$B$71:$BK$100,MATCH($B$179,'ei names mapping'!$A$4:$A$33,0),MATCH(G211,'ei names mapping'!$B$3:$BK$3,0))</f>
        <v>tyre wear emissions, passenger car</v>
      </c>
    </row>
    <row r="212" spans="1:8" x14ac:dyDescent="0.3">
      <c r="A212" s="12" t="str">
        <f>INDEX('ei names mapping'!$B$4:$BK$33,MATCH($B$179,'ei names mapping'!$A$4:$A$33,0),MATCH(G212,'ei names mapping'!$B$3:$BK$3,0))</f>
        <v>treatment of brake wear emissions, passenger car</v>
      </c>
      <c r="B212" s="15">
        <f>INDEX('vehicles specifications'!$B$3:$CK$86,MATCH(B182,'vehicles specifications'!$A$3:$A$86,0),MATCH(G212,'vehicles specifications'!$B$2:$CK$2,0))*INDEX('ei names mapping'!$B$137:$BK$220,MATCH(B182,'ei names mapping'!$A$137:$A$220,0),MATCH(G212,'ei names mapping'!$B$136:$BK$136,0))</f>
        <v>-1.8370000000000002E-6</v>
      </c>
      <c r="C212" s="12" t="str">
        <f>INDEX('ei names mapping'!$B$38:$BK$67,MATCH($B$179,'ei names mapping'!$A$4:$A$33,0),MATCH(G212,'ei names mapping'!$B$3:$BK$3,0))</f>
        <v>RER</v>
      </c>
      <c r="D212" s="12" t="str">
        <f>INDEX('ei names mapping'!$B$104:$BK$133,MATCH($B$179,'ei names mapping'!$A$4:$A$33,0),MATCH(G212,'ei names mapping'!$B$3:$BK$3,0))</f>
        <v>kilogram</v>
      </c>
      <c r="E212" s="12"/>
      <c r="F212" s="12" t="s">
        <v>91</v>
      </c>
      <c r="G212" t="s">
        <v>31</v>
      </c>
      <c r="H212" s="12" t="str">
        <f>INDEX('ei names mapping'!$B$71:$BK$100,MATCH($B$179,'ei names mapping'!$A$4:$A$33,0),MATCH(G212,'ei names mapping'!$B$3:$BK$3,0))</f>
        <v>brake wear emissions, passenger car</v>
      </c>
    </row>
    <row r="214" spans="1:8" ht="15.6" x14ac:dyDescent="0.3">
      <c r="A214" s="11" t="s">
        <v>72</v>
      </c>
      <c r="B214" s="9" t="str">
        <f>"transport, "&amp;B216&amp;", "&amp;B218</f>
        <v>transport, Bicycle, electric (&lt;45 km/h), 2030</v>
      </c>
    </row>
    <row r="215" spans="1:8" x14ac:dyDescent="0.3">
      <c r="A215" t="s">
        <v>73</v>
      </c>
      <c r="B215" t="s">
        <v>37</v>
      </c>
    </row>
    <row r="216" spans="1:8" x14ac:dyDescent="0.3">
      <c r="A216" t="s">
        <v>87</v>
      </c>
      <c r="B216" s="21" t="s">
        <v>518</v>
      </c>
    </row>
    <row r="217" spans="1:8" x14ac:dyDescent="0.3">
      <c r="A217" t="s">
        <v>88</v>
      </c>
      <c r="B217" s="12"/>
    </row>
    <row r="218" spans="1:8" x14ac:dyDescent="0.3">
      <c r="A218" t="s">
        <v>89</v>
      </c>
      <c r="B218" s="12">
        <v>2030</v>
      </c>
    </row>
    <row r="219" spans="1:8" x14ac:dyDescent="0.3">
      <c r="A219" t="s">
        <v>131</v>
      </c>
      <c r="B219" s="12" t="str">
        <f>B216&amp;" - "&amp;B218&amp;" - "&amp;B215</f>
        <v>Bicycle, electric (&lt;45 km/h) - 2030 - CH</v>
      </c>
    </row>
    <row r="220" spans="1:8" x14ac:dyDescent="0.3">
      <c r="A220" t="s">
        <v>74</v>
      </c>
      <c r="B220" s="12" t="str">
        <f>"transport, "&amp;B216</f>
        <v>transport, Bicycle, electric (&lt;45 km/h)</v>
      </c>
    </row>
    <row r="221" spans="1:8" x14ac:dyDescent="0.3">
      <c r="A221" t="s">
        <v>75</v>
      </c>
      <c r="B221" t="s">
        <v>76</v>
      </c>
    </row>
    <row r="222" spans="1:8" x14ac:dyDescent="0.3">
      <c r="A222" t="s">
        <v>77</v>
      </c>
      <c r="B222" t="s">
        <v>172</v>
      </c>
    </row>
    <row r="223" spans="1:8" x14ac:dyDescent="0.3">
      <c r="A223" t="s">
        <v>79</v>
      </c>
      <c r="B223" t="s">
        <v>90</v>
      </c>
    </row>
    <row r="224" spans="1:8" x14ac:dyDescent="0.3">
      <c r="A224" t="s">
        <v>132</v>
      </c>
      <c r="B224">
        <f>INDEX('vehicles specifications'!$B$3:$CK$86,MATCH(B219,'vehicles specifications'!$A$3:$A$86,0),MATCH("Lifetime [km]",'vehicles specifications'!$B$2:$CK$2,0))</f>
        <v>30000</v>
      </c>
    </row>
    <row r="225" spans="1:2" x14ac:dyDescent="0.3">
      <c r="A225" t="s">
        <v>133</v>
      </c>
      <c r="B225">
        <f>INDEX('vehicles specifications'!$B$3:$CK$86,MATCH(B219,'vehicles specifications'!$A$3:$A$86,0),MATCH("Passengers [unit]",'vehicles specifications'!$B$2:$CK$2,0))</f>
        <v>1</v>
      </c>
    </row>
    <row r="226" spans="1:2" x14ac:dyDescent="0.3">
      <c r="A226" t="s">
        <v>134</v>
      </c>
      <c r="B226">
        <f>INDEX('vehicles specifications'!$B$3:$CK$86,MATCH(B219,'vehicles specifications'!$A$3:$A$86,0),MATCH("Servicing [unit]",'vehicles specifications'!$B$2:$CK$2,0))</f>
        <v>7.5</v>
      </c>
    </row>
    <row r="227" spans="1:2" x14ac:dyDescent="0.3">
      <c r="A227" t="s">
        <v>135</v>
      </c>
      <c r="B227">
        <f>INDEX('vehicles specifications'!$B$3:$CK$86,MATCH(B219,'vehicles specifications'!$A$3:$A$86,0),MATCH("Energy battery replacement [unit]",'vehicles specifications'!$B$2:$CK$2,0))</f>
        <v>0.5</v>
      </c>
    </row>
    <row r="228" spans="1:2" x14ac:dyDescent="0.3">
      <c r="A228" t="s">
        <v>136</v>
      </c>
      <c r="B228">
        <f>INDEX('vehicles specifications'!$B$3:$CK$86,MATCH(B219,'vehicles specifications'!$A$3:$A$86,0),MATCH("Annual kilometers [km]",'vehicles specifications'!$B$2:$CK$2,0))</f>
        <v>3000</v>
      </c>
    </row>
    <row r="229" spans="1:2" x14ac:dyDescent="0.3">
      <c r="A229" t="s">
        <v>137</v>
      </c>
      <c r="B229">
        <f>INDEX('vehicles specifications'!$B$3:$CK$86,MATCH(B219,'vehicles specifications'!$A$3:$A$86,0),MATCH("Curb mass [kg]",'vehicles specifications'!$B$2:$CK$2,0))</f>
        <v>27.663333333333334</v>
      </c>
    </row>
    <row r="230" spans="1:2" x14ac:dyDescent="0.3">
      <c r="A230" t="s">
        <v>138</v>
      </c>
      <c r="B230">
        <f>INDEX('vehicles specifications'!$B$3:$CK$86,MATCH(B219,'vehicles specifications'!$A$3:$A$86,0),MATCH("Power [kW]",'vehicles specifications'!$B$2:$CK$2,0))</f>
        <v>0.5</v>
      </c>
    </row>
    <row r="231" spans="1:2" x14ac:dyDescent="0.3">
      <c r="A231" t="s">
        <v>139</v>
      </c>
      <c r="B231">
        <f>INDEX('vehicles specifications'!$B$3:$CK$86,MATCH(B219,'vehicles specifications'!$A$3:$A$86,0),MATCH("Energy battery mass [kg]",'vehicles specifications'!$B$2:$CK$2,0))</f>
        <v>4.3333333333333339</v>
      </c>
    </row>
    <row r="232" spans="1:2" x14ac:dyDescent="0.3">
      <c r="A232" t="s">
        <v>140</v>
      </c>
      <c r="B232">
        <f>INDEX('vehicles specifications'!$B$3:$CK$86,MATCH(B219,'vehicles specifications'!$A$3:$A$86,0),MATCH("Electric energy stored [kWh]",'vehicles specifications'!$B$2:$CK$2,0))</f>
        <v>1</v>
      </c>
    </row>
    <row r="233" spans="1:2" s="21" customFormat="1" x14ac:dyDescent="0.3">
      <c r="A233" s="21" t="s">
        <v>654</v>
      </c>
      <c r="B233" s="21">
        <f>INDEX('vehicles specifications'!$B$3:$CK$86,MATCH(B219,'vehicles specifications'!$A$3:$A$86,0),MATCH("Electric energy available [kWh]",'vehicles specifications'!$B$2:$CK$2,0))</f>
        <v>0.8</v>
      </c>
    </row>
    <row r="234" spans="1:2" x14ac:dyDescent="0.3">
      <c r="A234" t="s">
        <v>143</v>
      </c>
      <c r="B234">
        <f>INDEX('vehicles specifications'!$B$3:$CK$86,MATCH(B219,'vehicles specifications'!$A$3:$A$86,0),MATCH("Oxydation energy stored [kWh]",'vehicles specifications'!$B$2:$CK$2,0))</f>
        <v>0</v>
      </c>
    </row>
    <row r="235" spans="1:2" x14ac:dyDescent="0.3">
      <c r="A235" t="s">
        <v>145</v>
      </c>
      <c r="B235">
        <f>INDEX('vehicles specifications'!$B$3:$CK$86,MATCH(B219,'vehicles specifications'!$A$3:$A$86,0),MATCH("Fuel mass [kg]",'vehicles specifications'!$B$2:$CK$2,0))</f>
        <v>0</v>
      </c>
    </row>
    <row r="236" spans="1:2" x14ac:dyDescent="0.3">
      <c r="A236" t="s">
        <v>141</v>
      </c>
      <c r="B236">
        <f>INDEX('vehicles specifications'!$B$3:$CK$86,MATCH(B219,'vehicles specifications'!$A$3:$A$86,0),MATCH("Range [km]",'vehicles specifications'!$B$2:$CK$2,0))</f>
        <v>63.563613392293121</v>
      </c>
    </row>
    <row r="237" spans="1:2" x14ac:dyDescent="0.3">
      <c r="A237" t="s">
        <v>142</v>
      </c>
      <c r="B237" t="str">
        <f>INDEX('vehicles specifications'!$B$3:$CK$86,MATCH(B219,'vehicles specifications'!$A$3:$A$86,0),MATCH("Emission standard",'vehicles specifications'!$B$2:$CK$2,0))</f>
        <v>None</v>
      </c>
    </row>
    <row r="238" spans="1:2" x14ac:dyDescent="0.3">
      <c r="A238" t="s">
        <v>144</v>
      </c>
      <c r="B238" s="6">
        <f>INDEX('vehicles specifications'!$B$3:$CK$86,MATCH(B219,'vehicles specifications'!$A$3:$A$86,0),MATCH("Lightweighting rate [%]",'vehicles specifications'!$B$2:$CK$2,0))</f>
        <v>0.03</v>
      </c>
    </row>
    <row r="239" spans="1:2" x14ac:dyDescent="0.3">
      <c r="A239" t="s">
        <v>84</v>
      </c>
      <c r="B239" s="21" t="str">
        <f>"Power: "&amp;B230&amp;" kW. Lifetime: "&amp;B224&amp;" km. Annual kilometers: "&amp;B228&amp;" km. Number of passengers: "&amp;B225&amp;". Curb mass: "&amp;ROUND(B229,1)&amp;" kg. Lightweighting of glider: "&amp;ROUND(B238*100,0)&amp;"%. Emission standard: "&amp;B237&amp;". Service visits throughout lifetime: "&amp;ROUND(B226,1)&amp;". Range: "&amp;ROUND(B236,0)&amp;" km. Battery capacity: "&amp;ROUND(B232,1)&amp;" kWh. Available battery capacity: "&amp;B233&amp;" kWh. Battery mass: "&amp;ROUND(B231,1)&amp; " kg. Battery replacement throughout lifetime: "&amp;ROUND(B227,1)&amp;". Fuel tank capacity: "&amp;ROUND(B234,1)&amp;" kWh. Fuel mass: "&amp;ROUND(B235,1)&amp;" kg. Documentation: "&amp;Readmefirst!$B$2&amp;", "&amp;Readmefirst!$B$3&amp;". "&amp;B223</f>
        <v>Power: 0.5 kW. Lifetime: 30000 km. Annual kilometers: 3000 km. Number of passengers: 1. Curb mass: 27.7 kg. Lightweighting of glider: 3%. Emission standard: None. Service visits throughout lifetime: 7.5. Range: 64 km. Battery capacity: 1 kWh. Available battery capacity: 0.8 kWh. Battery mass: 4.3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0" spans="1:2" ht="15.6" x14ac:dyDescent="0.3">
      <c r="A240" s="11" t="s">
        <v>80</v>
      </c>
    </row>
    <row r="241" spans="1:8" x14ac:dyDescent="0.3">
      <c r="A241" t="s">
        <v>81</v>
      </c>
      <c r="B241" t="s">
        <v>82</v>
      </c>
      <c r="C241" t="s">
        <v>73</v>
      </c>
      <c r="D241" t="s">
        <v>77</v>
      </c>
      <c r="E241" t="s">
        <v>83</v>
      </c>
      <c r="F241" t="s">
        <v>75</v>
      </c>
      <c r="G241" t="s">
        <v>84</v>
      </c>
      <c r="H241" t="s">
        <v>74</v>
      </c>
    </row>
    <row r="242" spans="1:8" x14ac:dyDescent="0.3">
      <c r="A242" s="12" t="str">
        <f>B214</f>
        <v>transport, Bicycle, electric (&lt;45 km/h), 2030</v>
      </c>
      <c r="B242" s="12">
        <v>1</v>
      </c>
      <c r="C242" s="12" t="str">
        <f>B215</f>
        <v>CH</v>
      </c>
      <c r="D242" s="12" t="s">
        <v>172</v>
      </c>
      <c r="E242" s="12"/>
      <c r="F242" s="12" t="s">
        <v>85</v>
      </c>
      <c r="G242" s="12" t="s">
        <v>86</v>
      </c>
      <c r="H242" s="12" t="str">
        <f>B220</f>
        <v>transport, Bicycle, electric (&lt;45 km/h)</v>
      </c>
    </row>
    <row r="243" spans="1:8" x14ac:dyDescent="0.3">
      <c r="A243" s="12" t="str">
        <f>RIGHT(A242,LEN(A242)-11)</f>
        <v>Bicycle, electric (&lt;45 km/h), 2030</v>
      </c>
      <c r="B243" s="12">
        <f>1/B224</f>
        <v>3.3333333333333335E-5</v>
      </c>
      <c r="C243" s="12" t="str">
        <f>B215</f>
        <v>CH</v>
      </c>
      <c r="D243" s="12" t="s">
        <v>77</v>
      </c>
      <c r="E243" s="12"/>
      <c r="F243" s="12" t="s">
        <v>91</v>
      </c>
      <c r="G243" s="12"/>
      <c r="H243" s="12" t="str">
        <f>RIGHT(H242,LEN(H242)-11)</f>
        <v>Bicycle, electric (&lt;45 km/h)</v>
      </c>
    </row>
    <row r="244" spans="1:8" s="21" customFormat="1" x14ac:dyDescent="0.3">
      <c r="A244" s="12" t="str">
        <f>INDEX('ei names mapping'!$B$4:$R$33,MATCH(B216,'ei names mapping'!$A$4:$A$33,0),MATCH(G244,'ei names mapping'!$B$3:$R$3,0))</f>
        <v>road construction</v>
      </c>
      <c r="B244" s="16">
        <f>INDEX('vehicles specifications'!$B$3:$CK$86,MATCH(B219,'vehicles specifications'!$A$3:$A$86,0),MATCH(G244,'vehicles specifications'!$B$2:$CK$2,0))*INDEX('ei names mapping'!$B$137:$BK$220,MATCH(B219,'ei names mapping'!$A$137:$A$220,0),MATCH(G244,'ei names mapping'!$B$136:$BK$136,0))</f>
        <v>5.2982209999999996E-5</v>
      </c>
      <c r="C244" s="12" t="str">
        <f>INDEX('ei names mapping'!$B$38:$R$67,MATCH(B216,'ei names mapping'!$A$4:$A$33,0),MATCH(G244,'ei names mapping'!$B$3:$R$3,0))</f>
        <v>CH</v>
      </c>
      <c r="D244" s="12" t="str">
        <f>INDEX('ei names mapping'!$B$104:$BK$133,MATCH(B216,'ei names mapping'!$A$4:$A$33,0),MATCH(G244,'ei names mapping'!$B$3:$BK$3,0))</f>
        <v>meter-year</v>
      </c>
      <c r="E244" s="12"/>
      <c r="F244" s="12" t="s">
        <v>91</v>
      </c>
      <c r="G244" s="21" t="s">
        <v>108</v>
      </c>
      <c r="H244" s="12" t="str">
        <f>INDEX('ei names mapping'!$B$71:$BK$100,MATCH(B216,'ei names mapping'!$A$4:$A$33,0),MATCH(G244,'ei names mapping'!$B$3:$BK$3,0))</f>
        <v>road</v>
      </c>
    </row>
    <row r="245" spans="1:8" x14ac:dyDescent="0.3">
      <c r="A245" s="12" t="str">
        <f>INDEX('ei names mapping'!$B$4:$R$33,MATCH($B$3,'ei names mapping'!$A$4:$A$33,0),MATCH(G245,'ei names mapping'!$B$3:$R$3,0))</f>
        <v>market for electricity, low voltage</v>
      </c>
      <c r="B245" s="14">
        <f>INDEX('vehicles specifications'!$B$3:$CK$86,MATCH(B219,'vehicles specifications'!$A$3:$A$86,0),MATCH(G245,'vehicles specifications'!$B$2:$CK$2,0))*INDEX('ei names mapping'!$B$137:$BK$220,MATCH(B219,'ei names mapping'!$A$137:$A$220,0),MATCH(G245,'ei names mapping'!$B$136:$BK$136,0))</f>
        <v>1.3844398595922134E-2</v>
      </c>
      <c r="C245" s="12" t="str">
        <f>INDEX('ei names mapping'!$B$38:$R$67,MATCH($B$3,'ei names mapping'!$A$4:$A$33,0),MATCH(G245,'ei names mapping'!$B$3:$R$3,0))</f>
        <v>CH</v>
      </c>
      <c r="D245" s="12" t="str">
        <f>INDEX('ei names mapping'!$B$104:$R$133,MATCH($B$3,'ei names mapping'!$A$4:$A$33,0),MATCH(G245,'ei names mapping'!$B$3:$R$3,0))</f>
        <v>kilowatt hour</v>
      </c>
      <c r="E245" s="12"/>
      <c r="F245" s="12" t="s">
        <v>91</v>
      </c>
      <c r="G245" t="s">
        <v>28</v>
      </c>
      <c r="H245" s="12" t="str">
        <f>INDEX('ei names mapping'!$B$71:$R$100,MATCH($B$3,'ei names mapping'!$A$4:$A$33,0),MATCH(G245,'ei names mapping'!$B$3:$R$3,0))</f>
        <v>electricity, low voltage</v>
      </c>
    </row>
    <row r="246" spans="1:8" x14ac:dyDescent="0.3">
      <c r="A246" s="12" t="str">
        <f>INDEX('ei names mapping'!$B$4:$R$33,MATCH($B$3,'ei names mapping'!$A$4:$A$33,0),MATCH(G246,'ei names mapping'!$B$3:$R$3,0))</f>
        <v>maintenance, electric bicycle, without battery</v>
      </c>
      <c r="B246" s="14">
        <f>INDEX('vehicles specifications'!$B$3:$CK$86,MATCH(B219,'vehicles specifications'!$A$3:$A$86,0),MATCH(G246,'vehicles specifications'!$B$2:$CK$2,0))*INDEX('ei names mapping'!$B$137:$BK$220,MATCH(B219,'ei names mapping'!$A$137:$A$220,0),MATCH(G246,'ei names mapping'!$B$136:$BK$136,0))</f>
        <v>2.5000000000000001E-4</v>
      </c>
      <c r="C246" s="12" t="str">
        <f>INDEX('ei names mapping'!$B$38:$R$67,MATCH($B$3,'ei names mapping'!$A$4:$A$33,0),MATCH(G246,'ei names mapping'!$B$3:$R$3,0))</f>
        <v>CH</v>
      </c>
      <c r="D246" s="12" t="str">
        <f>INDEX('ei names mapping'!$B$104:$R$133,MATCH($B$3,'ei names mapping'!$A$4:$A$33,0),MATCH(G246,'ei names mapping'!$B$3:$R$3,0))</f>
        <v>unit</v>
      </c>
      <c r="E246" s="12"/>
      <c r="F246" s="12" t="s">
        <v>91</v>
      </c>
      <c r="G246" t="s">
        <v>123</v>
      </c>
      <c r="H246" s="12" t="str">
        <f>INDEX('ei names mapping'!$B$71:$R$100,MATCH($B$3,'ei names mapping'!$A$4:$A$33,0),MATCH(G246,'ei names mapping'!$B$3:$R$3,0))</f>
        <v>maintenance, electric bicycle, without battery</v>
      </c>
    </row>
    <row r="247" spans="1:8" x14ac:dyDescent="0.3">
      <c r="A247" s="12" t="str">
        <f>INDEX('ei names mapping'!$B$4:$BK$33,MATCH($B$179,'ei names mapping'!$A$4:$A$33,0),MATCH(G247,'ei names mapping'!$B$3:$BK$3,0))</f>
        <v>treatment of road wear emissions, passenger car</v>
      </c>
      <c r="B247" s="15">
        <f>INDEX('vehicles specifications'!$B$3:$CK$86,MATCH(B219,'vehicles specifications'!$A$3:$A$86,0),MATCH(G247,'vehicles specifications'!$B$2:$CK$2,0))*INDEX('ei names mapping'!$B$137:$BK$220,MATCH(B219,'ei names mapping'!$A$137:$A$220,0),MATCH(G247,'ei names mapping'!$B$136:$BK$136,0))</f>
        <v>-3.0000000000000001E-6</v>
      </c>
      <c r="C247" s="12" t="str">
        <f>INDEX('ei names mapping'!$B$38:$BK$67,MATCH($B$179,'ei names mapping'!$A$4:$A$33,0),MATCH(G247,'ei names mapping'!$B$3:$BK$3,0))</f>
        <v>RER</v>
      </c>
      <c r="D247" s="12" t="str">
        <f>INDEX('ei names mapping'!$B$104:$BK$133,MATCH($B$179,'ei names mapping'!$A$4:$A$33,0),MATCH(G247,'ei names mapping'!$B$3:$BK$3,0))</f>
        <v>kilogram</v>
      </c>
      <c r="E247" s="12"/>
      <c r="F247" s="12" t="s">
        <v>91</v>
      </c>
      <c r="G247" t="s">
        <v>29</v>
      </c>
      <c r="H247" s="12" t="str">
        <f>INDEX('ei names mapping'!$B$71:$BK$100,MATCH(B216,'ei names mapping'!$A$4:$A$33,0),MATCH(G247,'ei names mapping'!$B$3:$BK$3,0))</f>
        <v>road wear emissions, passenger car</v>
      </c>
    </row>
    <row r="248" spans="1:8" x14ac:dyDescent="0.3">
      <c r="A248" s="12" t="str">
        <f>INDEX('ei names mapping'!$B$4:$BK$33,MATCH($B$179,'ei names mapping'!$A$4:$A$33,0),MATCH(G248,'ei names mapping'!$B$3:$BK$3,0))</f>
        <v>treatment of tyre wear emissions, passenger car</v>
      </c>
      <c r="B248" s="15">
        <f>INDEX('vehicles specifications'!$B$3:$CK$86,MATCH(B219,'vehicles specifications'!$A$3:$A$86,0),MATCH(G248,'vehicles specifications'!$B$2:$CK$2,0))*INDEX('ei names mapping'!$B$137:$BK$220,MATCH(B219,'ei names mapping'!$A$137:$A$220,0),MATCH(G248,'ei names mapping'!$B$136:$BK$136,0))</f>
        <v>-2.9189999999999999E-6</v>
      </c>
      <c r="C248" s="12" t="str">
        <f>INDEX('ei names mapping'!$B$38:$BK$67,MATCH($B$179,'ei names mapping'!$A$4:$A$33,0),MATCH(G248,'ei names mapping'!$B$3:$BK$3,0))</f>
        <v>RER</v>
      </c>
      <c r="D248" s="12" t="str">
        <f>INDEX('ei names mapping'!$B$104:$BK$133,MATCH($B$179,'ei names mapping'!$A$4:$A$33,0),MATCH(G248,'ei names mapping'!$B$3:$BK$3,0))</f>
        <v>kilogram</v>
      </c>
      <c r="E248" s="12"/>
      <c r="F248" s="12" t="s">
        <v>91</v>
      </c>
      <c r="G248" t="s">
        <v>30</v>
      </c>
      <c r="H248" s="12" t="str">
        <f>INDEX('ei names mapping'!$B$71:$BK$100,MATCH($B$179,'ei names mapping'!$A$4:$A$33,0),MATCH(G248,'ei names mapping'!$B$3:$BK$3,0))</f>
        <v>tyre wear emissions, passenger car</v>
      </c>
    </row>
    <row r="249" spans="1:8" x14ac:dyDescent="0.3">
      <c r="A249" s="12" t="str">
        <f>INDEX('ei names mapping'!$B$4:$BK$33,MATCH($B$179,'ei names mapping'!$A$4:$A$33,0),MATCH(G249,'ei names mapping'!$B$3:$BK$3,0))</f>
        <v>treatment of brake wear emissions, passenger car</v>
      </c>
      <c r="B249" s="15">
        <f>INDEX('vehicles specifications'!$B$3:$CK$86,MATCH(B219,'vehicles specifications'!$A$3:$A$86,0),MATCH(G249,'vehicles specifications'!$B$2:$CK$2,0))*INDEX('ei names mapping'!$B$137:$BK$220,MATCH(B219,'ei names mapping'!$A$137:$A$220,0),MATCH(G249,'ei names mapping'!$B$136:$BK$136,0))</f>
        <v>-1.8370000000000002E-6</v>
      </c>
      <c r="C249" s="12" t="str">
        <f>INDEX('ei names mapping'!$B$38:$BK$67,MATCH($B$179,'ei names mapping'!$A$4:$A$33,0),MATCH(G249,'ei names mapping'!$B$3:$BK$3,0))</f>
        <v>RER</v>
      </c>
      <c r="D249" s="12" t="str">
        <f>INDEX('ei names mapping'!$B$104:$BK$133,MATCH($B$179,'ei names mapping'!$A$4:$A$33,0),MATCH(G249,'ei names mapping'!$B$3:$BK$3,0))</f>
        <v>kilogram</v>
      </c>
      <c r="E249" s="12"/>
      <c r="F249" s="12" t="s">
        <v>91</v>
      </c>
      <c r="G249" t="s">
        <v>31</v>
      </c>
      <c r="H249" s="12" t="str">
        <f>INDEX('ei names mapping'!$B$71:$BK$100,MATCH($B$179,'ei names mapping'!$A$4:$A$33,0),MATCH(G249,'ei names mapping'!$B$3:$BK$3,0))</f>
        <v>brake wear emissions, passenger car</v>
      </c>
    </row>
    <row r="251" spans="1:8" ht="15.6" x14ac:dyDescent="0.3">
      <c r="A251" s="11" t="s">
        <v>72</v>
      </c>
      <c r="B251" s="9" t="str">
        <f>"transport, "&amp;B253&amp;", "&amp;B255</f>
        <v>transport, Bicycle, electric (&lt;45 km/h), 2040</v>
      </c>
    </row>
    <row r="252" spans="1:8" x14ac:dyDescent="0.3">
      <c r="A252" t="s">
        <v>73</v>
      </c>
      <c r="B252" t="s">
        <v>37</v>
      </c>
    </row>
    <row r="253" spans="1:8" x14ac:dyDescent="0.3">
      <c r="A253" t="s">
        <v>87</v>
      </c>
      <c r="B253" s="21" t="s">
        <v>518</v>
      </c>
    </row>
    <row r="254" spans="1:8" x14ac:dyDescent="0.3">
      <c r="A254" t="s">
        <v>88</v>
      </c>
      <c r="B254" s="12"/>
    </row>
    <row r="255" spans="1:8" x14ac:dyDescent="0.3">
      <c r="A255" t="s">
        <v>89</v>
      </c>
      <c r="B255" s="12">
        <v>2040</v>
      </c>
    </row>
    <row r="256" spans="1:8" x14ac:dyDescent="0.3">
      <c r="A256" t="s">
        <v>131</v>
      </c>
      <c r="B256" s="12" t="str">
        <f>B253&amp;" - "&amp;B255&amp;" - "&amp;B252</f>
        <v>Bicycle, electric (&lt;45 km/h) - 2040 - CH</v>
      </c>
    </row>
    <row r="257" spans="1:2" x14ac:dyDescent="0.3">
      <c r="A257" t="s">
        <v>74</v>
      </c>
      <c r="B257" s="12" t="str">
        <f>"transport, "&amp;B253</f>
        <v>transport, Bicycle, electric (&lt;45 km/h)</v>
      </c>
    </row>
    <row r="258" spans="1:2" x14ac:dyDescent="0.3">
      <c r="A258" t="s">
        <v>75</v>
      </c>
      <c r="B258" t="s">
        <v>76</v>
      </c>
    </row>
    <row r="259" spans="1:2" x14ac:dyDescent="0.3">
      <c r="A259" t="s">
        <v>77</v>
      </c>
      <c r="B259" t="s">
        <v>172</v>
      </c>
    </row>
    <row r="260" spans="1:2" x14ac:dyDescent="0.3">
      <c r="A260" t="s">
        <v>79</v>
      </c>
      <c r="B260" t="s">
        <v>90</v>
      </c>
    </row>
    <row r="261" spans="1:2" x14ac:dyDescent="0.3">
      <c r="A261" t="s">
        <v>132</v>
      </c>
      <c r="B261">
        <f>INDEX('vehicles specifications'!$B$3:$CK$86,MATCH(B256,'vehicles specifications'!$A$3:$A$86,0),MATCH("Lifetime [km]",'vehicles specifications'!$B$2:$CK$2,0))</f>
        <v>30000</v>
      </c>
    </row>
    <row r="262" spans="1:2" x14ac:dyDescent="0.3">
      <c r="A262" t="s">
        <v>133</v>
      </c>
      <c r="B262">
        <f>INDEX('vehicles specifications'!$B$3:$CK$86,MATCH(B256,'vehicles specifications'!$A$3:$A$86,0),MATCH("Passengers [unit]",'vehicles specifications'!$B$2:$CK$2,0))</f>
        <v>1</v>
      </c>
    </row>
    <row r="263" spans="1:2" x14ac:dyDescent="0.3">
      <c r="A263" t="s">
        <v>134</v>
      </c>
      <c r="B263">
        <f>INDEX('vehicles specifications'!$B$3:$CK$86,MATCH(B256,'vehicles specifications'!$A$3:$A$86,0),MATCH("Servicing [unit]",'vehicles specifications'!$B$2:$CK$2,0))</f>
        <v>7.5</v>
      </c>
    </row>
    <row r="264" spans="1:2" x14ac:dyDescent="0.3">
      <c r="A264" t="s">
        <v>135</v>
      </c>
      <c r="B264">
        <f>INDEX('vehicles specifications'!$B$3:$CK$86,MATCH(B256,'vehicles specifications'!$A$3:$A$86,0),MATCH("Energy battery replacement [unit]",'vehicles specifications'!$B$2:$CK$2,0))</f>
        <v>0.25</v>
      </c>
    </row>
    <row r="265" spans="1:2" x14ac:dyDescent="0.3">
      <c r="A265" t="s">
        <v>136</v>
      </c>
      <c r="B265">
        <f>INDEX('vehicles specifications'!$B$3:$CK$86,MATCH(B256,'vehicles specifications'!$A$3:$A$86,0),MATCH("Annual kilometers [km]",'vehicles specifications'!$B$2:$CK$2,0))</f>
        <v>3000</v>
      </c>
    </row>
    <row r="266" spans="1:2" x14ac:dyDescent="0.3">
      <c r="A266" t="s">
        <v>137</v>
      </c>
      <c r="B266">
        <f>INDEX('vehicles specifications'!$B$3:$CK$86,MATCH(B256,'vehicles specifications'!$A$3:$A$86,0),MATCH("Curb mass [kg]",'vehicles specifications'!$B$2:$CK$2,0))</f>
        <v>27.625</v>
      </c>
    </row>
    <row r="267" spans="1:2" x14ac:dyDescent="0.3">
      <c r="A267" t="s">
        <v>138</v>
      </c>
      <c r="B267">
        <f>INDEX('vehicles specifications'!$B$3:$CK$86,MATCH(B256,'vehicles specifications'!$A$3:$A$86,0),MATCH("Power [kW]",'vehicles specifications'!$B$2:$CK$2,0))</f>
        <v>0.5</v>
      </c>
    </row>
    <row r="268" spans="1:2" x14ac:dyDescent="0.3">
      <c r="A268" t="s">
        <v>139</v>
      </c>
      <c r="B268">
        <f>INDEX('vehicles specifications'!$B$3:$CK$86,MATCH(B256,'vehicles specifications'!$A$3:$A$86,0),MATCH("Energy battery mass [kg]",'vehicles specifications'!$B$2:$CK$2,0))</f>
        <v>4.875</v>
      </c>
    </row>
    <row r="269" spans="1:2" x14ac:dyDescent="0.3">
      <c r="A269" t="s">
        <v>140</v>
      </c>
      <c r="B269">
        <f>INDEX('vehicles specifications'!$B$3:$CK$86,MATCH(B256,'vehicles specifications'!$A$3:$A$86,0),MATCH("Electric energy stored [kWh]",'vehicles specifications'!$B$2:$CK$2,0))</f>
        <v>1.5</v>
      </c>
    </row>
    <row r="270" spans="1:2" s="21" customFormat="1" x14ac:dyDescent="0.3">
      <c r="A270" s="21" t="s">
        <v>654</v>
      </c>
      <c r="B270" s="21">
        <f>INDEX('vehicles specifications'!$B$3:$CK$86,MATCH(B256,'vehicles specifications'!$A$3:$A$86,0),MATCH("Electric energy available [kWh]",'vehicles specifications'!$B$2:$CK$2,0))</f>
        <v>1.2000000000000002</v>
      </c>
    </row>
    <row r="271" spans="1:2" x14ac:dyDescent="0.3">
      <c r="A271" t="s">
        <v>143</v>
      </c>
      <c r="B271">
        <f>INDEX('vehicles specifications'!$B$3:$CK$86,MATCH(B256,'vehicles specifications'!$A$3:$A$86,0),MATCH("Oxydation energy stored [kWh]",'vehicles specifications'!$B$2:$CK$2,0))</f>
        <v>0</v>
      </c>
    </row>
    <row r="272" spans="1:2" x14ac:dyDescent="0.3">
      <c r="A272" t="s">
        <v>145</v>
      </c>
      <c r="B272">
        <f>INDEX('vehicles specifications'!$B$3:$CK$86,MATCH(B256,'vehicles specifications'!$A$3:$A$86,0),MATCH("Fuel mass [kg]",'vehicles specifications'!$B$2:$CK$2,0))</f>
        <v>0</v>
      </c>
    </row>
    <row r="273" spans="1:8" x14ac:dyDescent="0.3">
      <c r="A273" t="s">
        <v>141</v>
      </c>
      <c r="B273">
        <f>INDEX('vehicles specifications'!$B$3:$CK$86,MATCH(B256,'vehicles specifications'!$A$3:$A$86,0),MATCH("Range [km]",'vehicles specifications'!$B$2:$CK$2,0))</f>
        <v>95.345420088439695</v>
      </c>
    </row>
    <row r="274" spans="1:8" x14ac:dyDescent="0.3">
      <c r="A274" t="s">
        <v>142</v>
      </c>
      <c r="B274" t="str">
        <f>INDEX('vehicles specifications'!$B$3:$CK$86,MATCH(B256,'vehicles specifications'!$A$3:$A$86,0),MATCH("Emission standard",'vehicles specifications'!$B$2:$CK$2,0))</f>
        <v>None</v>
      </c>
    </row>
    <row r="275" spans="1:8" x14ac:dyDescent="0.3">
      <c r="A275" t="s">
        <v>144</v>
      </c>
      <c r="B275" s="6">
        <f>INDEX('vehicles specifications'!$B$3:$CK$86,MATCH(B256,'vehicles specifications'!$A$3:$A$86,0),MATCH("Lightweighting rate [%]",'vehicles specifications'!$B$2:$CK$2,0))</f>
        <v>0.05</v>
      </c>
    </row>
    <row r="276" spans="1:8" x14ac:dyDescent="0.3">
      <c r="A276" t="s">
        <v>84</v>
      </c>
      <c r="B276" s="21" t="str">
        <f>"Power: "&amp;B267&amp;" kW. Lifetime: "&amp;B261&amp;" km. Annual kilometers: "&amp;B265&amp;" km. Number of passengers: "&amp;B262&amp;". Curb mass: "&amp;ROUND(B266,1)&amp;" kg. Lightweighting of glider: "&amp;ROUND(B275*100,0)&amp;"%. Emission standard: "&amp;B274&amp;". Service visits throughout lifetime: "&amp;ROUND(B263,1)&amp;". Range: "&amp;ROUND(B273,0)&amp;" km. Battery capacity: "&amp;ROUND(B269,1)&amp;" kWh. Available battery capacity: "&amp;B270&amp;" kWh. Battery mass: "&amp;ROUND(B268,1)&amp; " kg. Battery replacement throughout lifetime: "&amp;ROUND(B264,1)&amp;". Fuel tank capacity: "&amp;ROUND(B271,1)&amp;" kWh. Fuel mass: "&amp;ROUND(B272,1)&amp;" kg. Documentation: "&amp;Readmefirst!$B$2&amp;", "&amp;Readmefirst!$B$3&amp;". "&amp;B260</f>
        <v>Power: 0.5 kW. Lifetime: 30000 km. Annual kilometers: 3000 km. Number of passengers: 1. Curb mass: 27.6 kg. Lightweighting of glider: 5%. Emission standard: None. Service visits throughout lifetime: 7.5. Range: 95 km. Battery capacity: 1.5 kWh. Available battery capacity: 1.2 kWh. Battery mass: 4.9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77" spans="1:8" ht="15.6" x14ac:dyDescent="0.3">
      <c r="A277" s="11" t="s">
        <v>80</v>
      </c>
    </row>
    <row r="278" spans="1:8" x14ac:dyDescent="0.3">
      <c r="A278" t="s">
        <v>81</v>
      </c>
      <c r="B278" t="s">
        <v>82</v>
      </c>
      <c r="C278" t="s">
        <v>73</v>
      </c>
      <c r="D278" t="s">
        <v>77</v>
      </c>
      <c r="E278" t="s">
        <v>83</v>
      </c>
      <c r="F278" t="s">
        <v>75</v>
      </c>
      <c r="G278" t="s">
        <v>84</v>
      </c>
      <c r="H278" t="s">
        <v>74</v>
      </c>
    </row>
    <row r="279" spans="1:8" x14ac:dyDescent="0.3">
      <c r="A279" s="12" t="str">
        <f>B251</f>
        <v>transport, Bicycle, electric (&lt;45 km/h), 2040</v>
      </c>
      <c r="B279" s="12">
        <v>1</v>
      </c>
      <c r="C279" s="12" t="str">
        <f>B252</f>
        <v>CH</v>
      </c>
      <c r="D279" s="12" t="s">
        <v>172</v>
      </c>
      <c r="E279" s="12"/>
      <c r="F279" s="12" t="s">
        <v>85</v>
      </c>
      <c r="G279" s="12" t="s">
        <v>86</v>
      </c>
      <c r="H279" s="12" t="str">
        <f>B257</f>
        <v>transport, Bicycle, electric (&lt;45 km/h)</v>
      </c>
    </row>
    <row r="280" spans="1:8" x14ac:dyDescent="0.3">
      <c r="A280" s="12" t="str">
        <f>RIGHT(A279,LEN(A279)-11)</f>
        <v>Bicycle, electric (&lt;45 km/h), 2040</v>
      </c>
      <c r="B280" s="12">
        <f>1/B261</f>
        <v>3.3333333333333335E-5</v>
      </c>
      <c r="C280" s="12" t="str">
        <f>B252</f>
        <v>CH</v>
      </c>
      <c r="D280" s="12" t="s">
        <v>77</v>
      </c>
      <c r="E280" s="12"/>
      <c r="F280" s="12" t="s">
        <v>91</v>
      </c>
      <c r="G280" s="12"/>
      <c r="H280" s="12" t="str">
        <f>RIGHT(H279,LEN(H279)-11)</f>
        <v>Bicycle, electric (&lt;45 km/h)</v>
      </c>
    </row>
    <row r="281" spans="1:8" s="21" customFormat="1" x14ac:dyDescent="0.3">
      <c r="A281" s="12" t="str">
        <f>INDEX('ei names mapping'!$B$4:$R$33,MATCH(B253,'ei names mapping'!$A$4:$A$33,0),MATCH(G281,'ei names mapping'!$B$3:$R$3,0))</f>
        <v>road construction</v>
      </c>
      <c r="B281" s="16">
        <f>INDEX('vehicles specifications'!$B$3:$CK$86,MATCH(B256,'vehicles specifications'!$A$3:$A$86,0),MATCH(G281,'vehicles specifications'!$B$2:$CK$2,0))*INDEX('ei names mapping'!$B$137:$BK$220,MATCH(B256,'ei names mapping'!$A$137:$A$220,0),MATCH(G281,'ei names mapping'!$B$136:$BK$136,0))</f>
        <v>5.2961625E-5</v>
      </c>
      <c r="C281" s="12" t="str">
        <f>INDEX('ei names mapping'!$B$38:$R$67,MATCH(B253,'ei names mapping'!$A$4:$A$33,0),MATCH(G281,'ei names mapping'!$B$3:$R$3,0))</f>
        <v>CH</v>
      </c>
      <c r="D281" s="12" t="str">
        <f>INDEX('ei names mapping'!$B$104:$BK$133,MATCH(B253,'ei names mapping'!$A$4:$A$33,0),MATCH(G281,'ei names mapping'!$B$3:$BK$3,0))</f>
        <v>meter-year</v>
      </c>
      <c r="E281" s="12"/>
      <c r="F281" s="12" t="s">
        <v>91</v>
      </c>
      <c r="G281" s="21" t="s">
        <v>108</v>
      </c>
      <c r="H281" s="12" t="str">
        <f>INDEX('ei names mapping'!$B$71:$BK$100,MATCH(B253,'ei names mapping'!$A$4:$A$33,0),MATCH(G281,'ei names mapping'!$B$3:$BK$3,0))</f>
        <v>road</v>
      </c>
    </row>
    <row r="282" spans="1:8" x14ac:dyDescent="0.3">
      <c r="A282" s="12" t="str">
        <f>INDEX('ei names mapping'!$B$4:$R$33,MATCH($B$3,'ei names mapping'!$A$4:$A$33,0),MATCH(G282,'ei names mapping'!$B$3:$R$3,0))</f>
        <v>market for electricity, low voltage</v>
      </c>
      <c r="B282" s="14">
        <f>INDEX('vehicles specifications'!$B$3:$CK$86,MATCH(B256,'vehicles specifications'!$A$3:$A$86,0),MATCH(G282,'vehicles specifications'!$B$2:$CK$2,0))*INDEX('ei names mapping'!$B$137:$BK$220,MATCH(B256,'ei names mapping'!$A$137:$A$220,0),MATCH(G282,'ei names mapping'!$B$136:$BK$136,0))</f>
        <v>1.3844398595922134E-2</v>
      </c>
      <c r="C282" s="12" t="str">
        <f>INDEX('ei names mapping'!$B$38:$R$67,MATCH($B$3,'ei names mapping'!$A$4:$A$33,0),MATCH(G282,'ei names mapping'!$B$3:$R$3,0))</f>
        <v>CH</v>
      </c>
      <c r="D282" s="12" t="str">
        <f>INDEX('ei names mapping'!$B$104:$R$133,MATCH($B$3,'ei names mapping'!$A$4:$A$33,0),MATCH(G282,'ei names mapping'!$B$3:$R$3,0))</f>
        <v>kilowatt hour</v>
      </c>
      <c r="E282" s="12"/>
      <c r="F282" s="12" t="s">
        <v>91</v>
      </c>
      <c r="G282" t="s">
        <v>28</v>
      </c>
      <c r="H282" s="12" t="str">
        <f>INDEX('ei names mapping'!$B$71:$R$100,MATCH($B$3,'ei names mapping'!$A$4:$A$33,0),MATCH(G282,'ei names mapping'!$B$3:$R$3,0))</f>
        <v>electricity, low voltage</v>
      </c>
    </row>
    <row r="283" spans="1:8" x14ac:dyDescent="0.3">
      <c r="A283" s="12" t="str">
        <f>INDEX('ei names mapping'!$B$4:$R$33,MATCH($B$3,'ei names mapping'!$A$4:$A$33,0),MATCH(G283,'ei names mapping'!$B$3:$R$3,0))</f>
        <v>maintenance, electric bicycle, without battery</v>
      </c>
      <c r="B283" s="14">
        <f>INDEX('vehicles specifications'!$B$3:$CK$86,MATCH(B256,'vehicles specifications'!$A$3:$A$86,0),MATCH(G283,'vehicles specifications'!$B$2:$CK$2,0))*INDEX('ei names mapping'!$B$137:$BK$220,MATCH(B256,'ei names mapping'!$A$137:$A$220,0),MATCH(G283,'ei names mapping'!$B$136:$BK$136,0))</f>
        <v>2.5000000000000001E-4</v>
      </c>
      <c r="C283" s="12" t="str">
        <f>INDEX('ei names mapping'!$B$38:$R$67,MATCH($B$3,'ei names mapping'!$A$4:$A$33,0),MATCH(G283,'ei names mapping'!$B$3:$R$3,0))</f>
        <v>CH</v>
      </c>
      <c r="D283" s="12" t="str">
        <f>INDEX('ei names mapping'!$B$104:$R$133,MATCH($B$3,'ei names mapping'!$A$4:$A$33,0),MATCH(G283,'ei names mapping'!$B$3:$R$3,0))</f>
        <v>unit</v>
      </c>
      <c r="E283" s="12"/>
      <c r="F283" s="12" t="s">
        <v>91</v>
      </c>
      <c r="G283" t="s">
        <v>123</v>
      </c>
      <c r="H283" s="12" t="str">
        <f>INDEX('ei names mapping'!$B$71:$R$100,MATCH($B$3,'ei names mapping'!$A$4:$A$33,0),MATCH(G283,'ei names mapping'!$B$3:$R$3,0))</f>
        <v>maintenance, electric bicycle, without battery</v>
      </c>
    </row>
    <row r="284" spans="1:8" x14ac:dyDescent="0.3">
      <c r="A284" s="12" t="str">
        <f>INDEX('ei names mapping'!$B$4:$BK$33,MATCH($B$179,'ei names mapping'!$A$4:$A$33,0),MATCH(G284,'ei names mapping'!$B$3:$BK$3,0))</f>
        <v>treatment of road wear emissions, passenger car</v>
      </c>
      <c r="B284" s="15">
        <f>INDEX('vehicles specifications'!$B$3:$CK$86,MATCH(B256,'vehicles specifications'!$A$3:$A$86,0),MATCH(G284,'vehicles specifications'!$B$2:$CK$2,0))*INDEX('ei names mapping'!$B$137:$BK$220,MATCH(B256,'ei names mapping'!$A$137:$A$220,0),MATCH(G284,'ei names mapping'!$B$136:$BK$136,0))</f>
        <v>-3.0000000000000001E-6</v>
      </c>
      <c r="C284" s="12" t="str">
        <f>INDEX('ei names mapping'!$B$38:$BK$67,MATCH($B$179,'ei names mapping'!$A$4:$A$33,0),MATCH(G284,'ei names mapping'!$B$3:$BK$3,0))</f>
        <v>RER</v>
      </c>
      <c r="D284" s="12" t="str">
        <f>INDEX('ei names mapping'!$B$104:$BK$133,MATCH($B$179,'ei names mapping'!$A$4:$A$33,0),MATCH(G284,'ei names mapping'!$B$3:$BK$3,0))</f>
        <v>kilogram</v>
      </c>
      <c r="E284" s="12"/>
      <c r="F284" s="12" t="s">
        <v>91</v>
      </c>
      <c r="G284" t="s">
        <v>29</v>
      </c>
      <c r="H284" s="12" t="str">
        <f>INDEX('ei names mapping'!$B$71:$BK$100,MATCH(B253,'ei names mapping'!$A$4:$A$33,0),MATCH(G284,'ei names mapping'!$B$3:$BK$3,0))</f>
        <v>road wear emissions, passenger car</v>
      </c>
    </row>
    <row r="285" spans="1:8" x14ac:dyDescent="0.3">
      <c r="A285" s="12" t="str">
        <f>INDEX('ei names mapping'!$B$4:$BK$33,MATCH($B$179,'ei names mapping'!$A$4:$A$33,0),MATCH(G285,'ei names mapping'!$B$3:$BK$3,0))</f>
        <v>treatment of tyre wear emissions, passenger car</v>
      </c>
      <c r="B285" s="15">
        <f>INDEX('vehicles specifications'!$B$3:$CK$86,MATCH(B256,'vehicles specifications'!$A$3:$A$86,0),MATCH(G285,'vehicles specifications'!$B$2:$CK$2,0))*INDEX('ei names mapping'!$B$137:$BK$220,MATCH(B256,'ei names mapping'!$A$137:$A$220,0),MATCH(G285,'ei names mapping'!$B$136:$BK$136,0))</f>
        <v>-2.9189999999999999E-6</v>
      </c>
      <c r="C285" s="12" t="str">
        <f>INDEX('ei names mapping'!$B$38:$BK$67,MATCH($B$179,'ei names mapping'!$A$4:$A$33,0),MATCH(G285,'ei names mapping'!$B$3:$BK$3,0))</f>
        <v>RER</v>
      </c>
      <c r="D285" s="12" t="str">
        <f>INDEX('ei names mapping'!$B$104:$BK$133,MATCH($B$179,'ei names mapping'!$A$4:$A$33,0),MATCH(G285,'ei names mapping'!$B$3:$BK$3,0))</f>
        <v>kilogram</v>
      </c>
      <c r="E285" s="12"/>
      <c r="F285" s="12" t="s">
        <v>91</v>
      </c>
      <c r="G285" t="s">
        <v>30</v>
      </c>
      <c r="H285" s="12" t="str">
        <f>INDEX('ei names mapping'!$B$71:$BK$100,MATCH($B$179,'ei names mapping'!$A$4:$A$33,0),MATCH(G285,'ei names mapping'!$B$3:$BK$3,0))</f>
        <v>tyre wear emissions, passenger car</v>
      </c>
    </row>
    <row r="286" spans="1:8" x14ac:dyDescent="0.3">
      <c r="A286" s="12" t="str">
        <f>INDEX('ei names mapping'!$B$4:$BK$33,MATCH($B$179,'ei names mapping'!$A$4:$A$33,0),MATCH(G286,'ei names mapping'!$B$3:$BK$3,0))</f>
        <v>treatment of brake wear emissions, passenger car</v>
      </c>
      <c r="B286" s="15">
        <f>INDEX('vehicles specifications'!$B$3:$CK$86,MATCH(B256,'vehicles specifications'!$A$3:$A$86,0),MATCH(G286,'vehicles specifications'!$B$2:$CK$2,0))*INDEX('ei names mapping'!$B$137:$BK$220,MATCH(B256,'ei names mapping'!$A$137:$A$220,0),MATCH(G286,'ei names mapping'!$B$136:$BK$136,0))</f>
        <v>-1.8370000000000002E-6</v>
      </c>
      <c r="C286" s="12" t="str">
        <f>INDEX('ei names mapping'!$B$38:$BK$67,MATCH($B$179,'ei names mapping'!$A$4:$A$33,0),MATCH(G286,'ei names mapping'!$B$3:$BK$3,0))</f>
        <v>RER</v>
      </c>
      <c r="D286" s="12" t="str">
        <f>INDEX('ei names mapping'!$B$104:$BK$133,MATCH($B$179,'ei names mapping'!$A$4:$A$33,0),MATCH(G286,'ei names mapping'!$B$3:$BK$3,0))</f>
        <v>kilogram</v>
      </c>
      <c r="E286" s="12"/>
      <c r="F286" s="12" t="s">
        <v>91</v>
      </c>
      <c r="G286" t="s">
        <v>31</v>
      </c>
      <c r="H286" s="12" t="str">
        <f>INDEX('ei names mapping'!$B$71:$BK$100,MATCH($B$179,'ei names mapping'!$A$4:$A$33,0),MATCH(G286,'ei names mapping'!$B$3:$BK$3,0))</f>
        <v>brake wear emissions, passenger car</v>
      </c>
    </row>
    <row r="288" spans="1:8" ht="15.6" x14ac:dyDescent="0.3">
      <c r="A288" s="11" t="s">
        <v>72</v>
      </c>
      <c r="B288" s="9" t="str">
        <f>"transport, "&amp;B290&amp;", "&amp;B292</f>
        <v>transport, Bicycle, electric (&lt;45 km/h), 2050</v>
      </c>
    </row>
    <row r="289" spans="1:2" x14ac:dyDescent="0.3">
      <c r="A289" t="s">
        <v>73</v>
      </c>
      <c r="B289" t="s">
        <v>37</v>
      </c>
    </row>
    <row r="290" spans="1:2" x14ac:dyDescent="0.3">
      <c r="A290" t="s">
        <v>87</v>
      </c>
      <c r="B290" s="21" t="s">
        <v>518</v>
      </c>
    </row>
    <row r="291" spans="1:2" x14ac:dyDescent="0.3">
      <c r="A291" t="s">
        <v>88</v>
      </c>
      <c r="B291" s="12"/>
    </row>
    <row r="292" spans="1:2" x14ac:dyDescent="0.3">
      <c r="A292" t="s">
        <v>89</v>
      </c>
      <c r="B292" s="12">
        <v>2050</v>
      </c>
    </row>
    <row r="293" spans="1:2" x14ac:dyDescent="0.3">
      <c r="A293" t="s">
        <v>131</v>
      </c>
      <c r="B293" s="12" t="str">
        <f>B290&amp;" - "&amp;B292&amp;" - "&amp;B289</f>
        <v>Bicycle, electric (&lt;45 km/h) - 2050 - CH</v>
      </c>
    </row>
    <row r="294" spans="1:2" x14ac:dyDescent="0.3">
      <c r="A294" t="s">
        <v>74</v>
      </c>
      <c r="B294" s="12" t="str">
        <f>"transport, "&amp;B290</f>
        <v>transport, Bicycle, electric (&lt;45 km/h)</v>
      </c>
    </row>
    <row r="295" spans="1:2" x14ac:dyDescent="0.3">
      <c r="A295" t="s">
        <v>75</v>
      </c>
      <c r="B295" t="s">
        <v>76</v>
      </c>
    </row>
    <row r="296" spans="1:2" x14ac:dyDescent="0.3">
      <c r="A296" t="s">
        <v>77</v>
      </c>
      <c r="B296" t="s">
        <v>172</v>
      </c>
    </row>
    <row r="297" spans="1:2" x14ac:dyDescent="0.3">
      <c r="A297" t="s">
        <v>79</v>
      </c>
      <c r="B297" t="s">
        <v>90</v>
      </c>
    </row>
    <row r="298" spans="1:2" x14ac:dyDescent="0.3">
      <c r="A298" t="s">
        <v>132</v>
      </c>
      <c r="B298">
        <f>INDEX('vehicles specifications'!$B$3:$CK$86,MATCH(B293,'vehicles specifications'!$A$3:$A$86,0),MATCH("Lifetime [km]",'vehicles specifications'!$B$2:$CK$2,0))</f>
        <v>30000</v>
      </c>
    </row>
    <row r="299" spans="1:2" x14ac:dyDescent="0.3">
      <c r="A299" t="s">
        <v>133</v>
      </c>
      <c r="B299">
        <f>INDEX('vehicles specifications'!$B$3:$CK$86,MATCH(B293,'vehicles specifications'!$A$3:$A$86,0),MATCH("Passengers [unit]",'vehicles specifications'!$B$2:$CK$2,0))</f>
        <v>1</v>
      </c>
    </row>
    <row r="300" spans="1:2" x14ac:dyDescent="0.3">
      <c r="A300" t="s">
        <v>134</v>
      </c>
      <c r="B300">
        <f>INDEX('vehicles specifications'!$B$3:$CK$86,MATCH(B293,'vehicles specifications'!$A$3:$A$86,0),MATCH("Servicing [unit]",'vehicles specifications'!$B$2:$CK$2,0))</f>
        <v>7.5</v>
      </c>
    </row>
    <row r="301" spans="1:2" x14ac:dyDescent="0.3">
      <c r="A301" t="s">
        <v>135</v>
      </c>
      <c r="B301">
        <f>INDEX('vehicles specifications'!$B$3:$CK$86,MATCH(B293,'vehicles specifications'!$A$3:$A$86,0),MATCH("Energy battery replacement [unit]",'vehicles specifications'!$B$2:$CK$2,0))</f>
        <v>0</v>
      </c>
    </row>
    <row r="302" spans="1:2" x14ac:dyDescent="0.3">
      <c r="A302" t="s">
        <v>136</v>
      </c>
      <c r="B302">
        <f>INDEX('vehicles specifications'!$B$3:$CK$86,MATCH(B293,'vehicles specifications'!$A$3:$A$86,0),MATCH("Annual kilometers [km]",'vehicles specifications'!$B$2:$CK$2,0))</f>
        <v>3000</v>
      </c>
    </row>
    <row r="303" spans="1:2" x14ac:dyDescent="0.3">
      <c r="A303" t="s">
        <v>137</v>
      </c>
      <c r="B303">
        <f>INDEX('vehicles specifications'!$B$3:$CK$86,MATCH(B293,'vehicles specifications'!$A$3:$A$86,0),MATCH("Curb mass [kg]",'vehicles specifications'!$B$2:$CK$2,0))</f>
        <v>27.989999999999995</v>
      </c>
    </row>
    <row r="304" spans="1:2" x14ac:dyDescent="0.3">
      <c r="A304" t="s">
        <v>138</v>
      </c>
      <c r="B304">
        <f>INDEX('vehicles specifications'!$B$3:$CK$86,MATCH(B293,'vehicles specifications'!$A$3:$A$86,0),MATCH("Power [kW]",'vehicles specifications'!$B$2:$CK$2,0))</f>
        <v>0.5</v>
      </c>
    </row>
    <row r="305" spans="1:8" x14ac:dyDescent="0.3">
      <c r="A305" t="s">
        <v>139</v>
      </c>
      <c r="B305">
        <f>INDEX('vehicles specifications'!$B$3:$CK$86,MATCH(B293,'vehicles specifications'!$A$3:$A$86,0),MATCH("Energy battery mass [kg]",'vehicles specifications'!$B$2:$CK$2,0))</f>
        <v>5.7200000000000006</v>
      </c>
    </row>
    <row r="306" spans="1:8" x14ac:dyDescent="0.3">
      <c r="A306" t="s">
        <v>140</v>
      </c>
      <c r="B306">
        <f>INDEX('vehicles specifications'!$B$3:$CK$86,MATCH(B293,'vehicles specifications'!$A$3:$A$86,0),MATCH("Electric energy stored [kWh]",'vehicles specifications'!$B$2:$CK$2,0))</f>
        <v>2.2000000000000002</v>
      </c>
    </row>
    <row r="307" spans="1:8" s="21" customFormat="1" x14ac:dyDescent="0.3">
      <c r="A307" s="21" t="s">
        <v>654</v>
      </c>
      <c r="B307" s="21">
        <f>INDEX('vehicles specifications'!$B$3:$CK$86,MATCH(B293,'vehicles specifications'!$A$3:$A$86,0),MATCH("Electric energy available [kWh]",'vehicles specifications'!$B$2:$CK$2,0))</f>
        <v>1.7600000000000002</v>
      </c>
    </row>
    <row r="308" spans="1:8" x14ac:dyDescent="0.3">
      <c r="A308" t="s">
        <v>143</v>
      </c>
      <c r="B308">
        <f>INDEX('vehicles specifications'!$B$3:$CK$86,MATCH(B293,'vehicles specifications'!$A$3:$A$86,0),MATCH("Oxydation energy stored [kWh]",'vehicles specifications'!$B$2:$CK$2,0))</f>
        <v>0</v>
      </c>
    </row>
    <row r="309" spans="1:8" x14ac:dyDescent="0.3">
      <c r="A309" t="s">
        <v>145</v>
      </c>
      <c r="B309">
        <f>INDEX('vehicles specifications'!$B$3:$CK$86,MATCH(B293,'vehicles specifications'!$A$3:$A$86,0),MATCH("Fuel mass [kg]",'vehicles specifications'!$B$2:$CK$2,0))</f>
        <v>0</v>
      </c>
    </row>
    <row r="310" spans="1:8" x14ac:dyDescent="0.3">
      <c r="A310" t="s">
        <v>141</v>
      </c>
      <c r="B310">
        <f>INDEX('vehicles specifications'!$B$3:$CK$86,MATCH(B293,'vehicles specifications'!$A$3:$A$86,0),MATCH("Range [km]",'vehicles specifications'!$B$2:$CK$2,0))</f>
        <v>139.83994946304489</v>
      </c>
    </row>
    <row r="311" spans="1:8" x14ac:dyDescent="0.3">
      <c r="A311" t="s">
        <v>142</v>
      </c>
      <c r="B311" t="str">
        <f>INDEX('vehicles specifications'!$B$3:$CK$86,MATCH(B293,'vehicles specifications'!$A$3:$A$86,0),MATCH("Emission standard",'vehicles specifications'!$B$2:$CK$2,0))</f>
        <v>None</v>
      </c>
    </row>
    <row r="312" spans="1:8" x14ac:dyDescent="0.3">
      <c r="A312" t="s">
        <v>144</v>
      </c>
      <c r="B312" s="6">
        <f>INDEX('vehicles specifications'!$B$3:$CK$86,MATCH(B293,'vehicles specifications'!$A$3:$A$86,0),MATCH("Lightweighting rate [%]",'vehicles specifications'!$B$2:$CK$2,0))</f>
        <v>7.0000000000000007E-2</v>
      </c>
    </row>
    <row r="313" spans="1:8" x14ac:dyDescent="0.3">
      <c r="A313" t="s">
        <v>84</v>
      </c>
      <c r="B313" s="21" t="str">
        <f>"Power: "&amp;B304&amp;" kW. Lifetime: "&amp;B298&amp;" km. Annual kilometers: "&amp;B302&amp;" km. Number of passengers: "&amp;B299&amp;". Curb mass: "&amp;ROUND(B303,1)&amp;" kg. Lightweighting of glider: "&amp;ROUND(B312*100,0)&amp;"%. Emission standard: "&amp;B311&amp;". Service visits throughout lifetime: "&amp;ROUND(B300,1)&amp;". Range: "&amp;ROUND(B310,0)&amp;" km. Battery capacity: "&amp;ROUND(B306,1)&amp;" kWh. Available battery capacity: "&amp;B307&amp;" kWh. Battery mass: "&amp;ROUND(B305,1)&amp; " kg. Battery replacement throughout lifetime: "&amp;ROUND(B301,1)&amp;". Fuel tank capacity: "&amp;ROUND(B308,1)&amp;" kWh. Fuel mass: "&amp;ROUND(B309,1)&amp;" kg. Documentation: "&amp;Readmefirst!$B$2&amp;", "&amp;Readmefirst!$B$3&amp;". "&amp;B297</f>
        <v>Power: 0.5 kW. Lifetime: 30000 km. Annual kilometers: 3000 km. Number of passengers: 1. Curb mass: 28 kg. Lightweighting of glider: 7%. Emission standard: None. Service visits throughout lifetime: 7.5. Range: 140 km. Battery capacity: 2.2 kWh. Available battery capacity: 1.76 kWh. Battery mass: 5.7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14" spans="1:8" ht="15.6" x14ac:dyDescent="0.3">
      <c r="A314" s="11" t="s">
        <v>80</v>
      </c>
    </row>
    <row r="315" spans="1:8" x14ac:dyDescent="0.3">
      <c r="A315" t="s">
        <v>81</v>
      </c>
      <c r="B315" t="s">
        <v>82</v>
      </c>
      <c r="C315" t="s">
        <v>73</v>
      </c>
      <c r="D315" t="s">
        <v>77</v>
      </c>
      <c r="E315" t="s">
        <v>83</v>
      </c>
      <c r="F315" t="s">
        <v>75</v>
      </c>
      <c r="G315" t="s">
        <v>84</v>
      </c>
      <c r="H315" t="s">
        <v>74</v>
      </c>
    </row>
    <row r="316" spans="1:8" x14ac:dyDescent="0.3">
      <c r="A316" s="12" t="str">
        <f>B288</f>
        <v>transport, Bicycle, electric (&lt;45 km/h), 2050</v>
      </c>
      <c r="B316" s="12">
        <v>1</v>
      </c>
      <c r="C316" s="12" t="str">
        <f>B289</f>
        <v>CH</v>
      </c>
      <c r="D316" s="12" t="s">
        <v>172</v>
      </c>
      <c r="E316" s="12"/>
      <c r="F316" s="12" t="s">
        <v>85</v>
      </c>
      <c r="G316" s="12" t="s">
        <v>86</v>
      </c>
      <c r="H316" s="12" t="str">
        <f>B294</f>
        <v>transport, Bicycle, electric (&lt;45 km/h)</v>
      </c>
    </row>
    <row r="317" spans="1:8" x14ac:dyDescent="0.3">
      <c r="A317" s="12" t="str">
        <f>RIGHT(A316,LEN(A316)-11)</f>
        <v>Bicycle, electric (&lt;45 km/h), 2050</v>
      </c>
      <c r="B317" s="12">
        <f>1/B298</f>
        <v>3.3333333333333335E-5</v>
      </c>
      <c r="C317" s="12" t="str">
        <f>B289</f>
        <v>CH</v>
      </c>
      <c r="D317" s="12" t="s">
        <v>77</v>
      </c>
      <c r="E317" s="12"/>
      <c r="F317" s="12" t="s">
        <v>91</v>
      </c>
      <c r="G317" s="12"/>
      <c r="H317" s="12" t="str">
        <f>RIGHT(H316,LEN(H316)-11)</f>
        <v>Bicycle, electric (&lt;45 km/h)</v>
      </c>
    </row>
    <row r="318" spans="1:8" s="21" customFormat="1" x14ac:dyDescent="0.3">
      <c r="A318" s="12" t="str">
        <f>INDEX('ei names mapping'!$B$4:$R$33,MATCH(B290,'ei names mapping'!$A$4:$A$33,0),MATCH(G318,'ei names mapping'!$B$3:$R$3,0))</f>
        <v>road construction</v>
      </c>
      <c r="B318" s="16">
        <f>INDEX('vehicles specifications'!$B$3:$CK$86,MATCH(B293,'vehicles specifications'!$A$3:$A$86,0),MATCH(G318,'vehicles specifications'!$B$2:$CK$2,0))*INDEX('ei names mapping'!$B$137:$BK$220,MATCH(B293,'ei names mapping'!$A$137:$A$220,0),MATCH(G318,'ei names mapping'!$B$136:$BK$136,0))</f>
        <v>5.3157629999999996E-5</v>
      </c>
      <c r="C318" s="12" t="str">
        <f>INDEX('ei names mapping'!$B$38:$R$67,MATCH(B290,'ei names mapping'!$A$4:$A$33,0),MATCH(G318,'ei names mapping'!$B$3:$R$3,0))</f>
        <v>CH</v>
      </c>
      <c r="D318" s="12" t="str">
        <f>INDEX('ei names mapping'!$B$104:$BK$133,MATCH(B290,'ei names mapping'!$A$4:$A$33,0),MATCH(G318,'ei names mapping'!$B$3:$BK$3,0))</f>
        <v>meter-year</v>
      </c>
      <c r="E318" s="12"/>
      <c r="F318" s="12" t="s">
        <v>91</v>
      </c>
      <c r="G318" s="21" t="s">
        <v>108</v>
      </c>
      <c r="H318" s="12" t="str">
        <f>INDEX('ei names mapping'!$B$71:$BK$100,MATCH(B290,'ei names mapping'!$A$4:$A$33,0),MATCH(G318,'ei names mapping'!$B$3:$BK$3,0))</f>
        <v>road</v>
      </c>
    </row>
    <row r="319" spans="1:8" x14ac:dyDescent="0.3">
      <c r="A319" s="12" t="str">
        <f>INDEX('ei names mapping'!$B$4:$R$33,MATCH($B$3,'ei names mapping'!$A$4:$A$33,0),MATCH(G319,'ei names mapping'!$B$3:$R$3,0))</f>
        <v>market for electricity, low voltage</v>
      </c>
      <c r="B319" s="14">
        <f>INDEX('vehicles specifications'!$B$3:$CK$86,MATCH(B293,'vehicles specifications'!$A$3:$A$86,0),MATCH(G319,'vehicles specifications'!$B$2:$CK$2,0))*INDEX('ei names mapping'!$B$137:$BK$220,MATCH(B293,'ei names mapping'!$A$137:$A$220,0),MATCH(G319,'ei names mapping'!$B$136:$BK$136,0))</f>
        <v>1.3844398595922134E-2</v>
      </c>
      <c r="C319" s="12" t="str">
        <f>INDEX('ei names mapping'!$B$38:$R$67,MATCH($B$3,'ei names mapping'!$A$4:$A$33,0),MATCH(G319,'ei names mapping'!$B$3:$R$3,0))</f>
        <v>CH</v>
      </c>
      <c r="D319" s="12" t="str">
        <f>INDEX('ei names mapping'!$B$104:$R$133,MATCH($B$3,'ei names mapping'!$A$4:$A$33,0),MATCH(G319,'ei names mapping'!$B$3:$R$3,0))</f>
        <v>kilowatt hour</v>
      </c>
      <c r="E319" s="12"/>
      <c r="F319" s="12" t="s">
        <v>91</v>
      </c>
      <c r="G319" t="s">
        <v>28</v>
      </c>
      <c r="H319" s="12" t="str">
        <f>INDEX('ei names mapping'!$B$71:$R$100,MATCH($B$3,'ei names mapping'!$A$4:$A$33,0),MATCH(G319,'ei names mapping'!$B$3:$R$3,0))</f>
        <v>electricity, low voltage</v>
      </c>
    </row>
    <row r="320" spans="1:8" x14ac:dyDescent="0.3">
      <c r="A320" s="12" t="str">
        <f>INDEX('ei names mapping'!$B$4:$R$33,MATCH($B$3,'ei names mapping'!$A$4:$A$33,0),MATCH(G320,'ei names mapping'!$B$3:$R$3,0))</f>
        <v>maintenance, electric bicycle, without battery</v>
      </c>
      <c r="B320" s="14">
        <f>INDEX('vehicles specifications'!$B$3:$CK$86,MATCH(B293,'vehicles specifications'!$A$3:$A$86,0),MATCH(G320,'vehicles specifications'!$B$2:$CK$2,0))*INDEX('ei names mapping'!$B$137:$BK$220,MATCH(B293,'ei names mapping'!$A$137:$A$220,0),MATCH(G320,'ei names mapping'!$B$136:$BK$136,0))</f>
        <v>2.5000000000000001E-4</v>
      </c>
      <c r="C320" s="12" t="str">
        <f>INDEX('ei names mapping'!$B$38:$R$67,MATCH($B$3,'ei names mapping'!$A$4:$A$33,0),MATCH(G320,'ei names mapping'!$B$3:$R$3,0))</f>
        <v>CH</v>
      </c>
      <c r="D320" s="12" t="str">
        <f>INDEX('ei names mapping'!$B$104:$R$133,MATCH($B$3,'ei names mapping'!$A$4:$A$33,0),MATCH(G320,'ei names mapping'!$B$3:$R$3,0))</f>
        <v>unit</v>
      </c>
      <c r="E320" s="12"/>
      <c r="F320" s="12" t="s">
        <v>91</v>
      </c>
      <c r="G320" t="s">
        <v>123</v>
      </c>
      <c r="H320" s="12" t="str">
        <f>INDEX('ei names mapping'!$B$71:$R$100,MATCH($B$3,'ei names mapping'!$A$4:$A$33,0),MATCH(G320,'ei names mapping'!$B$3:$R$3,0))</f>
        <v>maintenance, electric bicycle, without battery</v>
      </c>
    </row>
    <row r="321" spans="1:8" x14ac:dyDescent="0.3">
      <c r="A321" s="12" t="str">
        <f>INDEX('ei names mapping'!$B$4:$BK$33,MATCH($B$179,'ei names mapping'!$A$4:$A$33,0),MATCH(G321,'ei names mapping'!$B$3:$BK$3,0))</f>
        <v>treatment of road wear emissions, passenger car</v>
      </c>
      <c r="B321" s="15">
        <f>INDEX('vehicles specifications'!$B$3:$CK$86,MATCH(B293,'vehicles specifications'!$A$3:$A$86,0),MATCH(G321,'vehicles specifications'!$B$2:$CK$2,0))*INDEX('ei names mapping'!$B$137:$BK$220,MATCH(B293,'ei names mapping'!$A$137:$A$220,0),MATCH(G321,'ei names mapping'!$B$136:$BK$136,0))</f>
        <v>-3.0000000000000001E-6</v>
      </c>
      <c r="C321" s="12" t="str">
        <f>INDEX('ei names mapping'!$B$38:$BK$67,MATCH($B$179,'ei names mapping'!$A$4:$A$33,0),MATCH(G321,'ei names mapping'!$B$3:$BK$3,0))</f>
        <v>RER</v>
      </c>
      <c r="D321" s="12" t="str">
        <f>INDEX('ei names mapping'!$B$104:$BK$133,MATCH($B$179,'ei names mapping'!$A$4:$A$33,0),MATCH(G321,'ei names mapping'!$B$3:$BK$3,0))</f>
        <v>kilogram</v>
      </c>
      <c r="E321" s="12"/>
      <c r="F321" s="12" t="s">
        <v>91</v>
      </c>
      <c r="G321" t="s">
        <v>29</v>
      </c>
      <c r="H321" s="12" t="str">
        <f>INDEX('ei names mapping'!$B$71:$BK$100,MATCH(B290,'ei names mapping'!$A$4:$A$33,0),MATCH(G321,'ei names mapping'!$B$3:$BK$3,0))</f>
        <v>road wear emissions, passenger car</v>
      </c>
    </row>
    <row r="322" spans="1:8" x14ac:dyDescent="0.3">
      <c r="A322" s="12" t="str">
        <f>INDEX('ei names mapping'!$B$4:$BK$33,MATCH($B$179,'ei names mapping'!$A$4:$A$33,0),MATCH(G322,'ei names mapping'!$B$3:$BK$3,0))</f>
        <v>treatment of tyre wear emissions, passenger car</v>
      </c>
      <c r="B322" s="15">
        <f>INDEX('vehicles specifications'!$B$3:$CK$86,MATCH(B293,'vehicles specifications'!$A$3:$A$86,0),MATCH(G322,'vehicles specifications'!$B$2:$CK$2,0))*INDEX('ei names mapping'!$B$137:$BK$220,MATCH(B293,'ei names mapping'!$A$137:$A$220,0),MATCH(G322,'ei names mapping'!$B$136:$BK$136,0))</f>
        <v>-2.9189999999999999E-6</v>
      </c>
      <c r="C322" s="12" t="str">
        <f>INDEX('ei names mapping'!$B$38:$BK$67,MATCH($B$179,'ei names mapping'!$A$4:$A$33,0),MATCH(G322,'ei names mapping'!$B$3:$BK$3,0))</f>
        <v>RER</v>
      </c>
      <c r="D322" s="12" t="str">
        <f>INDEX('ei names mapping'!$B$104:$BK$133,MATCH($B$179,'ei names mapping'!$A$4:$A$33,0),MATCH(G322,'ei names mapping'!$B$3:$BK$3,0))</f>
        <v>kilogram</v>
      </c>
      <c r="E322" s="12"/>
      <c r="F322" s="12" t="s">
        <v>91</v>
      </c>
      <c r="G322" t="s">
        <v>30</v>
      </c>
      <c r="H322" s="12" t="str">
        <f>INDEX('ei names mapping'!$B$71:$BK$100,MATCH($B$179,'ei names mapping'!$A$4:$A$33,0),MATCH(G322,'ei names mapping'!$B$3:$BK$3,0))</f>
        <v>tyre wear emissions, passenger car</v>
      </c>
    </row>
    <row r="323" spans="1:8" x14ac:dyDescent="0.3">
      <c r="A323" s="12" t="str">
        <f>INDEX('ei names mapping'!$B$4:$BK$33,MATCH($B$179,'ei names mapping'!$A$4:$A$33,0),MATCH(G323,'ei names mapping'!$B$3:$BK$3,0))</f>
        <v>treatment of brake wear emissions, passenger car</v>
      </c>
      <c r="B323" s="15">
        <f>INDEX('vehicles specifications'!$B$3:$CK$86,MATCH(B293,'vehicles specifications'!$A$3:$A$86,0),MATCH(G323,'vehicles specifications'!$B$2:$CK$2,0))*INDEX('ei names mapping'!$B$137:$BK$220,MATCH(B293,'ei names mapping'!$A$137:$A$220,0),MATCH(G323,'ei names mapping'!$B$136:$BK$136,0))</f>
        <v>-1.8370000000000002E-6</v>
      </c>
      <c r="C323" s="12" t="str">
        <f>INDEX('ei names mapping'!$B$38:$BK$67,MATCH($B$179,'ei names mapping'!$A$4:$A$33,0),MATCH(G323,'ei names mapping'!$B$3:$BK$3,0))</f>
        <v>RER</v>
      </c>
      <c r="D323" s="12" t="str">
        <f>INDEX('ei names mapping'!$B$104:$BK$133,MATCH($B$179,'ei names mapping'!$A$4:$A$33,0),MATCH(G323,'ei names mapping'!$B$3:$BK$3,0))</f>
        <v>kilogram</v>
      </c>
      <c r="E323" s="12"/>
      <c r="F323" s="12" t="s">
        <v>91</v>
      </c>
      <c r="G323" t="s">
        <v>31</v>
      </c>
      <c r="H323" s="12" t="str">
        <f>INDEX('ei names mapping'!$B$71:$BK$100,MATCH($B$179,'ei names mapping'!$A$4:$A$33,0),MATCH(G323,'ei names mapping'!$B$3:$BK$3,0))</f>
        <v>brake wear emissions, passenger car</v>
      </c>
    </row>
    <row r="325" spans="1:8" ht="15.6" x14ac:dyDescent="0.3">
      <c r="A325" s="11" t="s">
        <v>72</v>
      </c>
      <c r="B325" s="9" t="str">
        <f>"transport, "&amp;B327&amp;", "&amp;B329&amp;", label-certified electricity"</f>
        <v>transport, Bicycle, electric (&lt;45 km/h), 2020, label-certified electricity</v>
      </c>
    </row>
    <row r="326" spans="1:8" x14ac:dyDescent="0.3">
      <c r="A326" t="s">
        <v>73</v>
      </c>
      <c r="B326" t="s">
        <v>37</v>
      </c>
    </row>
    <row r="327" spans="1:8" x14ac:dyDescent="0.3">
      <c r="A327" t="s">
        <v>87</v>
      </c>
      <c r="B327" s="21" t="s">
        <v>518</v>
      </c>
    </row>
    <row r="328" spans="1:8" x14ac:dyDescent="0.3">
      <c r="A328" t="s">
        <v>88</v>
      </c>
      <c r="B328" s="12"/>
    </row>
    <row r="329" spans="1:8" x14ac:dyDescent="0.3">
      <c r="A329" t="s">
        <v>89</v>
      </c>
      <c r="B329" s="12">
        <v>2020</v>
      </c>
    </row>
    <row r="330" spans="1:8" x14ac:dyDescent="0.3">
      <c r="A330" t="s">
        <v>131</v>
      </c>
      <c r="B330" s="12" t="str">
        <f>B327&amp;" - "&amp;B329&amp;" - "&amp;B326</f>
        <v>Bicycle, electric (&lt;45 km/h) - 2020 - CH</v>
      </c>
    </row>
    <row r="331" spans="1:8" x14ac:dyDescent="0.3">
      <c r="A331" t="s">
        <v>74</v>
      </c>
      <c r="B331" s="12" t="str">
        <f>"transport, "&amp;B327</f>
        <v>transport, Bicycle, electric (&lt;45 km/h)</v>
      </c>
    </row>
    <row r="332" spans="1:8" x14ac:dyDescent="0.3">
      <c r="A332" t="s">
        <v>75</v>
      </c>
      <c r="B332" t="s">
        <v>76</v>
      </c>
    </row>
    <row r="333" spans="1:8" x14ac:dyDescent="0.3">
      <c r="A333" t="s">
        <v>77</v>
      </c>
      <c r="B333" t="s">
        <v>172</v>
      </c>
    </row>
    <row r="334" spans="1:8" x14ac:dyDescent="0.3">
      <c r="A334" t="s">
        <v>79</v>
      </c>
      <c r="B334" t="s">
        <v>90</v>
      </c>
    </row>
    <row r="335" spans="1:8" x14ac:dyDescent="0.3">
      <c r="A335" t="s">
        <v>132</v>
      </c>
      <c r="B335">
        <f>INDEX('vehicles specifications'!$B$3:$CK$86,MATCH(B330,'vehicles specifications'!$A$3:$A$86,0),MATCH("Lifetime [km]",'vehicles specifications'!$B$2:$CK$2,0))</f>
        <v>30000</v>
      </c>
    </row>
    <row r="336" spans="1:8" x14ac:dyDescent="0.3">
      <c r="A336" t="s">
        <v>133</v>
      </c>
      <c r="B336">
        <f>INDEX('vehicles specifications'!$B$3:$CK$86,MATCH(B330,'vehicles specifications'!$A$3:$A$86,0),MATCH("Passengers [unit]",'vehicles specifications'!$B$2:$CK$2,0))</f>
        <v>1</v>
      </c>
    </row>
    <row r="337" spans="1:8" x14ac:dyDescent="0.3">
      <c r="A337" t="s">
        <v>134</v>
      </c>
      <c r="B337">
        <f>INDEX('vehicles specifications'!$B$3:$CK$86,MATCH(B330,'vehicles specifications'!$A$3:$A$86,0),MATCH("Servicing [unit]",'vehicles specifications'!$B$2:$CK$2,0))</f>
        <v>7.5</v>
      </c>
    </row>
    <row r="338" spans="1:8" x14ac:dyDescent="0.3">
      <c r="A338" t="s">
        <v>135</v>
      </c>
      <c r="B338">
        <f>INDEX('vehicles specifications'!$B$3:$CK$86,MATCH(B330,'vehicles specifications'!$A$3:$A$86,0),MATCH("Energy battery replacement [unit]",'vehicles specifications'!$B$2:$CK$2,0))</f>
        <v>1</v>
      </c>
    </row>
    <row r="339" spans="1:8" x14ac:dyDescent="0.3">
      <c r="A339" t="s">
        <v>136</v>
      </c>
      <c r="B339">
        <f>INDEX('vehicles specifications'!$B$3:$CK$86,MATCH(B330,'vehicles specifications'!$A$3:$A$86,0),MATCH("Annual kilometers [km]",'vehicles specifications'!$B$2:$CK$2,0))</f>
        <v>3000</v>
      </c>
    </row>
    <row r="340" spans="1:8" x14ac:dyDescent="0.3">
      <c r="A340" t="s">
        <v>137</v>
      </c>
      <c r="B340">
        <f>INDEX('vehicles specifications'!$B$3:$CK$86,MATCH(B330,'vehicles specifications'!$A$3:$A$86,0),MATCH("Curb mass [kg]",'vehicles specifications'!$B$2:$CK$2,0))</f>
        <v>27.9</v>
      </c>
    </row>
    <row r="341" spans="1:8" x14ac:dyDescent="0.3">
      <c r="A341" t="s">
        <v>138</v>
      </c>
      <c r="B341">
        <f>INDEX('vehicles specifications'!$B$3:$CK$86,MATCH(B330,'vehicles specifications'!$A$3:$A$86,0),MATCH("Power [kW]",'vehicles specifications'!$B$2:$CK$2,0))</f>
        <v>0.5</v>
      </c>
    </row>
    <row r="342" spans="1:8" x14ac:dyDescent="0.3">
      <c r="A342" t="s">
        <v>139</v>
      </c>
      <c r="B342">
        <f>INDEX('vehicles specifications'!$B$3:$CK$86,MATCH(B330,'vehicles specifications'!$A$3:$A$86,0),MATCH("Energy battery mass [kg]",'vehicles specifications'!$B$2:$CK$2,0))</f>
        <v>3.8999999999999995</v>
      </c>
    </row>
    <row r="343" spans="1:8" x14ac:dyDescent="0.3">
      <c r="A343" t="s">
        <v>140</v>
      </c>
      <c r="B343">
        <f>INDEX('vehicles specifications'!$B$3:$CK$86,MATCH(B330,'vehicles specifications'!$A$3:$A$86,0),MATCH("Electric energy stored [kWh]",'vehicles specifications'!$B$2:$CK$2,0))</f>
        <v>0.6</v>
      </c>
    </row>
    <row r="344" spans="1:8" s="21" customFormat="1" x14ac:dyDescent="0.3">
      <c r="A344" s="21" t="s">
        <v>654</v>
      </c>
      <c r="B344" s="21">
        <f>INDEX('vehicles specifications'!$B$3:$CK$86,MATCH(B330,'vehicles specifications'!$A$3:$A$86,0),MATCH("Electric energy available [kWh]",'vehicles specifications'!$B$2:$CK$2,0))</f>
        <v>0.48</v>
      </c>
    </row>
    <row r="345" spans="1:8" x14ac:dyDescent="0.3">
      <c r="A345" t="s">
        <v>143</v>
      </c>
      <c r="B345">
        <f>INDEX('vehicles specifications'!$B$3:$CK$86,MATCH(B330,'vehicles specifications'!$A$3:$A$86,0),MATCH("Oxydation energy stored [kWh]",'vehicles specifications'!$B$2:$CK$2,0))</f>
        <v>0</v>
      </c>
    </row>
    <row r="346" spans="1:8" x14ac:dyDescent="0.3">
      <c r="A346" t="s">
        <v>145</v>
      </c>
      <c r="B346">
        <f>INDEX('vehicles specifications'!$B$3:$CK$86,MATCH(B330,'vehicles specifications'!$A$3:$A$86,0),MATCH("Fuel mass [kg]",'vehicles specifications'!$B$2:$CK$2,0))</f>
        <v>0</v>
      </c>
    </row>
    <row r="347" spans="1:8" x14ac:dyDescent="0.3">
      <c r="A347" t="s">
        <v>141</v>
      </c>
      <c r="B347" s="2">
        <f>INDEX('vehicles specifications'!$B$3:$CK$86,MATCH(B330,'vehicles specifications'!$A$3:$A$86,0),MATCH("Range [km]",'vehicles specifications'!$B$2:$CK$2,0))</f>
        <v>38.13816803537587</v>
      </c>
    </row>
    <row r="348" spans="1:8" x14ac:dyDescent="0.3">
      <c r="A348" t="s">
        <v>142</v>
      </c>
      <c r="B348" t="str">
        <f>INDEX('vehicles specifications'!$B$3:$CK$86,MATCH(B330,'vehicles specifications'!$A$3:$A$86,0),MATCH("Emission standard",'vehicles specifications'!$B$2:$CK$2,0))</f>
        <v>None</v>
      </c>
    </row>
    <row r="349" spans="1:8" x14ac:dyDescent="0.3">
      <c r="A349" t="s">
        <v>144</v>
      </c>
      <c r="B349" s="6">
        <f>INDEX('vehicles specifications'!$B$3:$CK$86,MATCH(B330,'vehicles specifications'!$A$3:$A$86,0),MATCH("Lightweighting rate [%]",'vehicles specifications'!$B$2:$CK$2,0))</f>
        <v>0</v>
      </c>
    </row>
    <row r="350" spans="1:8" x14ac:dyDescent="0.3">
      <c r="A350" t="s">
        <v>84</v>
      </c>
      <c r="B350" s="21" t="str">
        <f>"Power: "&amp;B341&amp;" kW. Lifetime: "&amp;B335&amp;" km. Annual kilometers: "&amp;B339&amp;" km. Number of passengers: "&amp;B336&amp;". Curb mass: "&amp;ROUND(B340,1)&amp;" kg. Lightweighting of glider: "&amp;ROUND(B349*100,0)&amp;"%. Emission standard: "&amp;B348&amp;". Service visits throughout lifetime: "&amp;ROUND(B337,1)&amp;". Range: "&amp;ROUND(B347,0)&amp;" km. Battery capacity: "&amp;ROUND(B343,1)&amp;" kWh. Available battery capacity: "&amp;B344&amp;" kWh. Battery mass: "&amp;ROUND(B342,1)&amp; " kg. Battery replacement throughout lifetime: "&amp;ROUND(B338,1)&amp;". Fuel tank capacity: "&amp;ROUND(B345,1)&amp;" kWh. Fuel mass: "&amp;ROUND(B346,1)&amp;" kg. Documentation: "&amp;Readmefirst!$B$2&amp;", "&amp;Readmefirst!$B$3&amp;". "&amp;B334</f>
        <v>Power: 0.5 kW. Lifetime: 30000 km. Annual kilometers: 3000 km. Number of passengers: 1. Curb mass: 27.9 kg. Lightweighting of glider: 0%. Emission standard: None. Service visits throughout lifetime: 7.5. Range: 38 km. Battery capacity: 0.6 kWh. Available battery capacity: 0.48 kWh. Battery mass: 3.9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1" spans="1:8" ht="15.6" x14ac:dyDescent="0.3">
      <c r="A351" s="11" t="s">
        <v>80</v>
      </c>
    </row>
    <row r="352" spans="1:8" x14ac:dyDescent="0.3">
      <c r="A352" t="s">
        <v>81</v>
      </c>
      <c r="B352" t="s">
        <v>82</v>
      </c>
      <c r="C352" t="s">
        <v>73</v>
      </c>
      <c r="D352" t="s">
        <v>77</v>
      </c>
      <c r="E352" t="s">
        <v>83</v>
      </c>
      <c r="F352" t="s">
        <v>75</v>
      </c>
      <c r="G352" t="s">
        <v>84</v>
      </c>
      <c r="H352" t="s">
        <v>74</v>
      </c>
    </row>
    <row r="353" spans="1:8" x14ac:dyDescent="0.3">
      <c r="A353" s="12" t="str">
        <f>B325</f>
        <v>transport, Bicycle, electric (&lt;45 km/h), 2020, label-certified electricity</v>
      </c>
      <c r="B353" s="12">
        <v>1</v>
      </c>
      <c r="C353" s="12" t="str">
        <f>B326</f>
        <v>CH</v>
      </c>
      <c r="D353" s="12" t="s">
        <v>172</v>
      </c>
      <c r="E353" s="12"/>
      <c r="F353" s="12" t="s">
        <v>85</v>
      </c>
      <c r="G353" s="12" t="s">
        <v>86</v>
      </c>
      <c r="H353" s="12" t="str">
        <f>B331</f>
        <v>transport, Bicycle, electric (&lt;45 km/h)</v>
      </c>
    </row>
    <row r="354" spans="1:8" x14ac:dyDescent="0.3">
      <c r="A354" s="12" t="str">
        <f>B327&amp;", "&amp;B329</f>
        <v>Bicycle, electric (&lt;45 km/h), 2020</v>
      </c>
      <c r="B354" s="12">
        <f>1/B335</f>
        <v>3.3333333333333335E-5</v>
      </c>
      <c r="C354" s="12" t="str">
        <f>B326</f>
        <v>CH</v>
      </c>
      <c r="D354" s="12" t="s">
        <v>77</v>
      </c>
      <c r="E354" s="12"/>
      <c r="F354" s="12" t="s">
        <v>91</v>
      </c>
      <c r="G354" s="12"/>
      <c r="H354" s="12" t="str">
        <f>RIGHT(H353,LEN(H353)-11)</f>
        <v>Bicycle, electric (&lt;45 km/h)</v>
      </c>
    </row>
    <row r="355" spans="1:8" s="21" customFormat="1" x14ac:dyDescent="0.3">
      <c r="A355" s="12" t="str">
        <f>INDEX('ei names mapping'!$B$4:$R$33,MATCH(B327,'ei names mapping'!$A$4:$A$33,0),MATCH(G355,'ei names mapping'!$B$3:$R$3,0))</f>
        <v>road construction</v>
      </c>
      <c r="B355" s="16">
        <f>INDEX('vehicles specifications'!$B$3:$CK$86,MATCH(B330,'vehicles specifications'!$A$3:$A$86,0),MATCH(G355,'vehicles specifications'!$B$2:$CK$2,0))*INDEX('ei names mapping'!$B$137:$BK$220,MATCH(B330,'ei names mapping'!$A$137:$A$220,0),MATCH(G355,'ei names mapping'!$B$136:$BK$136,0))</f>
        <v>5.3109300000000003E-5</v>
      </c>
      <c r="C355" s="12" t="str">
        <f>INDEX('ei names mapping'!$B$38:$R$67,MATCH(B327,'ei names mapping'!$A$4:$A$33,0),MATCH(G355,'ei names mapping'!$B$3:$R$3,0))</f>
        <v>CH</v>
      </c>
      <c r="D355" s="12" t="str">
        <f>INDEX('ei names mapping'!$B$104:$BK$133,MATCH(B327,'ei names mapping'!$A$4:$A$33,0),MATCH(G355,'ei names mapping'!$B$3:$BK$3,0))</f>
        <v>meter-year</v>
      </c>
      <c r="E355" s="12"/>
      <c r="F355" s="12" t="s">
        <v>91</v>
      </c>
      <c r="G355" s="21" t="s">
        <v>108</v>
      </c>
      <c r="H355" s="12" t="str">
        <f>INDEX('ei names mapping'!$B$71:$BK$100,MATCH(B327,'ei names mapping'!$A$4:$A$33,0),MATCH(G355,'ei names mapping'!$B$3:$BK$3,0))</f>
        <v>road</v>
      </c>
    </row>
    <row r="356" spans="1:8" x14ac:dyDescent="0.3">
      <c r="A356" s="12" t="s">
        <v>114</v>
      </c>
      <c r="B356" s="14">
        <f>INDEX('vehicles specifications'!$B$3:$CK$86,MATCH(B330,'vehicles specifications'!$A$3:$A$86,0),MATCH(G356,'vehicles specifications'!$B$2:$CK$2,0))*INDEX('ei names mapping'!$B$137:$BK$220,MATCH(B330,'ei names mapping'!$A$137:$A$220,0),MATCH(G356,'ei names mapping'!$B$136:$BK$136,0))</f>
        <v>1.3844398595922134E-2</v>
      </c>
      <c r="C356" s="12" t="str">
        <f>INDEX('ei names mapping'!$B$38:$R$67,MATCH($B$3,'ei names mapping'!$A$4:$A$33,0),MATCH(G356,'ei names mapping'!$B$3:$R$3,0))</f>
        <v>CH</v>
      </c>
      <c r="D356" s="12" t="str">
        <f>INDEX('ei names mapping'!$B$104:$R$133,MATCH($B$3,'ei names mapping'!$A$4:$A$33,0),MATCH(G356,'ei names mapping'!$B$3:$R$3,0))</f>
        <v>kilowatt hour</v>
      </c>
      <c r="E356" s="12"/>
      <c r="F356" s="12" t="s">
        <v>91</v>
      </c>
      <c r="G356" t="s">
        <v>28</v>
      </c>
      <c r="H356" s="12" t="s">
        <v>116</v>
      </c>
    </row>
    <row r="357" spans="1:8" x14ac:dyDescent="0.3">
      <c r="A357" s="12" t="str">
        <f>INDEX('ei names mapping'!$B$4:$R$33,MATCH($B$3,'ei names mapping'!$A$4:$A$33,0),MATCH(G357,'ei names mapping'!$B$3:$R$3,0))</f>
        <v>maintenance, electric bicycle, without battery</v>
      </c>
      <c r="B357" s="14">
        <f>INDEX('vehicles specifications'!$B$3:$CK$86,MATCH(B330,'vehicles specifications'!$A$3:$A$86,0),MATCH(G357,'vehicles specifications'!$B$2:$CK$2,0))*INDEX('ei names mapping'!$B$137:$BK$220,MATCH(B330,'ei names mapping'!$A$137:$A$220,0),MATCH(G357,'ei names mapping'!$B$136:$BK$136,0))</f>
        <v>2.5000000000000001E-4</v>
      </c>
      <c r="C357" s="12" t="str">
        <f>INDEX('ei names mapping'!$B$38:$R$67,MATCH($B$3,'ei names mapping'!$A$4:$A$33,0),MATCH(G357,'ei names mapping'!$B$3:$R$3,0))</f>
        <v>CH</v>
      </c>
      <c r="D357" s="12" t="str">
        <f>INDEX('ei names mapping'!$B$104:$R$133,MATCH($B$3,'ei names mapping'!$A$4:$A$33,0),MATCH(G357,'ei names mapping'!$B$3:$R$3,0))</f>
        <v>unit</v>
      </c>
      <c r="E357" s="12"/>
      <c r="F357" s="12" t="s">
        <v>91</v>
      </c>
      <c r="G357" t="s">
        <v>123</v>
      </c>
      <c r="H357" s="12" t="str">
        <f>INDEX('ei names mapping'!$B$71:$R$100,MATCH($B$3,'ei names mapping'!$A$4:$A$33,0),MATCH(G357,'ei names mapping'!$B$3:$R$3,0))</f>
        <v>maintenance, electric bicycle, without battery</v>
      </c>
    </row>
    <row r="358" spans="1:8" x14ac:dyDescent="0.3">
      <c r="A358" s="12" t="str">
        <f>INDEX('ei names mapping'!$B$4:$BK$33,MATCH($B$179,'ei names mapping'!$A$4:$A$33,0),MATCH(G358,'ei names mapping'!$B$3:$BK$3,0))</f>
        <v>treatment of road wear emissions, passenger car</v>
      </c>
      <c r="B358" s="15">
        <f>INDEX('vehicles specifications'!$B$3:$CK$86,MATCH(B330,'vehicles specifications'!$A$3:$A$86,0),MATCH(G358,'vehicles specifications'!$B$2:$CK$2,0))*INDEX('ei names mapping'!$B$137:$BK$220,MATCH(B330,'ei names mapping'!$A$137:$A$220,0),MATCH(G358,'ei names mapping'!$B$136:$BK$136,0))</f>
        <v>-3.0000000000000001E-6</v>
      </c>
      <c r="C358" s="12" t="str">
        <f>INDEX('ei names mapping'!$B$38:$BK$67,MATCH($B$179,'ei names mapping'!$A$4:$A$33,0),MATCH(G358,'ei names mapping'!$B$3:$BK$3,0))</f>
        <v>RER</v>
      </c>
      <c r="D358" s="12" t="str">
        <f>INDEX('ei names mapping'!$B$104:$BK$133,MATCH($B$179,'ei names mapping'!$A$4:$A$33,0),MATCH(G358,'ei names mapping'!$B$3:$BK$3,0))</f>
        <v>kilogram</v>
      </c>
      <c r="E358" s="12"/>
      <c r="F358" s="12" t="s">
        <v>91</v>
      </c>
      <c r="G358" t="s">
        <v>29</v>
      </c>
      <c r="H358" s="12" t="str">
        <f>INDEX('ei names mapping'!$B$71:$BK$100,MATCH(B327,'ei names mapping'!$A$4:$A$33,0),MATCH(G358,'ei names mapping'!$B$3:$BK$3,0))</f>
        <v>road wear emissions, passenger car</v>
      </c>
    </row>
    <row r="359" spans="1:8" x14ac:dyDescent="0.3">
      <c r="A359" s="12" t="str">
        <f>INDEX('ei names mapping'!$B$4:$BK$33,MATCH($B$179,'ei names mapping'!$A$4:$A$33,0),MATCH(G359,'ei names mapping'!$B$3:$BK$3,0))</f>
        <v>treatment of tyre wear emissions, passenger car</v>
      </c>
      <c r="B359" s="15">
        <f>INDEX('vehicles specifications'!$B$3:$CK$86,MATCH(B330,'vehicles specifications'!$A$3:$A$86,0),MATCH(G359,'vehicles specifications'!$B$2:$CK$2,0))*INDEX('ei names mapping'!$B$137:$BK$220,MATCH(B330,'ei names mapping'!$A$137:$A$220,0),MATCH(G359,'ei names mapping'!$B$136:$BK$136,0))</f>
        <v>-2.9189999999999999E-6</v>
      </c>
      <c r="C359" s="12" t="str">
        <f>INDEX('ei names mapping'!$B$38:$BK$67,MATCH($B$179,'ei names mapping'!$A$4:$A$33,0),MATCH(G359,'ei names mapping'!$B$3:$BK$3,0))</f>
        <v>RER</v>
      </c>
      <c r="D359" s="12" t="str">
        <f>INDEX('ei names mapping'!$B$104:$BK$133,MATCH($B$179,'ei names mapping'!$A$4:$A$33,0),MATCH(G359,'ei names mapping'!$B$3:$BK$3,0))</f>
        <v>kilogram</v>
      </c>
      <c r="E359" s="12"/>
      <c r="F359" s="12" t="s">
        <v>91</v>
      </c>
      <c r="G359" t="s">
        <v>30</v>
      </c>
      <c r="H359" s="12" t="str">
        <f>INDEX('ei names mapping'!$B$71:$BK$100,MATCH($B$179,'ei names mapping'!$A$4:$A$33,0),MATCH(G359,'ei names mapping'!$B$3:$BK$3,0))</f>
        <v>tyre wear emissions, passenger car</v>
      </c>
    </row>
    <row r="360" spans="1:8" x14ac:dyDescent="0.3">
      <c r="A360" s="12" t="str">
        <f>INDEX('ei names mapping'!$B$4:$BK$33,MATCH($B$179,'ei names mapping'!$A$4:$A$33,0),MATCH(G360,'ei names mapping'!$B$3:$BK$3,0))</f>
        <v>treatment of brake wear emissions, passenger car</v>
      </c>
      <c r="B360" s="15">
        <f>INDEX('vehicles specifications'!$B$3:$CK$86,MATCH(B330,'vehicles specifications'!$A$3:$A$86,0),MATCH(G360,'vehicles specifications'!$B$2:$CK$2,0))*INDEX('ei names mapping'!$B$137:$BK$220,MATCH(B330,'ei names mapping'!$A$137:$A$220,0),MATCH(G360,'ei names mapping'!$B$136:$BK$136,0))</f>
        <v>-1.8370000000000002E-6</v>
      </c>
      <c r="C360" s="12" t="str">
        <f>INDEX('ei names mapping'!$B$38:$BK$67,MATCH($B$179,'ei names mapping'!$A$4:$A$33,0),MATCH(G360,'ei names mapping'!$B$3:$BK$3,0))</f>
        <v>RER</v>
      </c>
      <c r="D360" s="12" t="str">
        <f>INDEX('ei names mapping'!$B$104:$BK$133,MATCH($B$179,'ei names mapping'!$A$4:$A$33,0),MATCH(G360,'ei names mapping'!$B$3:$BK$3,0))</f>
        <v>kilogram</v>
      </c>
      <c r="E360" s="12"/>
      <c r="F360" s="12" t="s">
        <v>91</v>
      </c>
      <c r="G360" t="s">
        <v>31</v>
      </c>
      <c r="H360" s="12" t="str">
        <f>INDEX('ei names mapping'!$B$71:$BK$100,MATCH($B$179,'ei names mapping'!$A$4:$A$33,0),MATCH(G360,'ei names mapping'!$B$3:$BK$3,0))</f>
        <v>brake wear emissions, passenger car</v>
      </c>
    </row>
    <row r="362" spans="1:8" ht="15.6" x14ac:dyDescent="0.3">
      <c r="A362" s="11" t="s">
        <v>72</v>
      </c>
      <c r="B362" s="9" t="str">
        <f>"transport, "&amp;B364&amp;", "&amp;B366&amp;", label-certified electricity"</f>
        <v>transport, Bicycle, electric (&lt;45 km/h), 2030, label-certified electricity</v>
      </c>
    </row>
    <row r="363" spans="1:8" x14ac:dyDescent="0.3">
      <c r="A363" t="s">
        <v>73</v>
      </c>
      <c r="B363" t="s">
        <v>37</v>
      </c>
    </row>
    <row r="364" spans="1:8" x14ac:dyDescent="0.3">
      <c r="A364" t="s">
        <v>87</v>
      </c>
      <c r="B364" s="21" t="s">
        <v>518</v>
      </c>
    </row>
    <row r="365" spans="1:8" x14ac:dyDescent="0.3">
      <c r="A365" t="s">
        <v>88</v>
      </c>
      <c r="B365" s="12"/>
    </row>
    <row r="366" spans="1:8" x14ac:dyDescent="0.3">
      <c r="A366" t="s">
        <v>89</v>
      </c>
      <c r="B366" s="12">
        <v>2030</v>
      </c>
    </row>
    <row r="367" spans="1:8" x14ac:dyDescent="0.3">
      <c r="A367" t="s">
        <v>131</v>
      </c>
      <c r="B367" s="12" t="str">
        <f>B364&amp;" - "&amp;B366&amp;" - "&amp;B363</f>
        <v>Bicycle, electric (&lt;45 km/h) - 2030 - CH</v>
      </c>
    </row>
    <row r="368" spans="1:8" x14ac:dyDescent="0.3">
      <c r="A368" t="s">
        <v>74</v>
      </c>
      <c r="B368" s="12" t="str">
        <f>"transport, "&amp;B364</f>
        <v>transport, Bicycle, electric (&lt;45 km/h)</v>
      </c>
    </row>
    <row r="369" spans="1:2" x14ac:dyDescent="0.3">
      <c r="A369" t="s">
        <v>75</v>
      </c>
      <c r="B369" t="s">
        <v>76</v>
      </c>
    </row>
    <row r="370" spans="1:2" x14ac:dyDescent="0.3">
      <c r="A370" t="s">
        <v>77</v>
      </c>
      <c r="B370" t="s">
        <v>172</v>
      </c>
    </row>
    <row r="371" spans="1:2" x14ac:dyDescent="0.3">
      <c r="A371" t="s">
        <v>79</v>
      </c>
      <c r="B371" t="s">
        <v>90</v>
      </c>
    </row>
    <row r="372" spans="1:2" x14ac:dyDescent="0.3">
      <c r="A372" t="s">
        <v>132</v>
      </c>
      <c r="B372">
        <f>INDEX('vehicles specifications'!$B$3:$CK$86,MATCH(B367,'vehicles specifications'!$A$3:$A$86,0),MATCH("Lifetime [km]",'vehicles specifications'!$B$2:$CK$2,0))</f>
        <v>30000</v>
      </c>
    </row>
    <row r="373" spans="1:2" x14ac:dyDescent="0.3">
      <c r="A373" t="s">
        <v>133</v>
      </c>
      <c r="B373">
        <f>INDEX('vehicles specifications'!$B$3:$CK$86,MATCH(B367,'vehicles specifications'!$A$3:$A$86,0),MATCH("Passengers [unit]",'vehicles specifications'!$B$2:$CK$2,0))</f>
        <v>1</v>
      </c>
    </row>
    <row r="374" spans="1:2" x14ac:dyDescent="0.3">
      <c r="A374" t="s">
        <v>134</v>
      </c>
      <c r="B374">
        <f>INDEX('vehicles specifications'!$B$3:$CK$86,MATCH(B367,'vehicles specifications'!$A$3:$A$86,0),MATCH("Servicing [unit]",'vehicles specifications'!$B$2:$CK$2,0))</f>
        <v>7.5</v>
      </c>
    </row>
    <row r="375" spans="1:2" x14ac:dyDescent="0.3">
      <c r="A375" t="s">
        <v>135</v>
      </c>
      <c r="B375">
        <f>INDEX('vehicles specifications'!$B$3:$CK$86,MATCH(B367,'vehicles specifications'!$A$3:$A$86,0),MATCH("Energy battery replacement [unit]",'vehicles specifications'!$B$2:$CK$2,0))</f>
        <v>0.5</v>
      </c>
    </row>
    <row r="376" spans="1:2" x14ac:dyDescent="0.3">
      <c r="A376" t="s">
        <v>136</v>
      </c>
      <c r="B376">
        <f>INDEX('vehicles specifications'!$B$3:$CK$86,MATCH(B367,'vehicles specifications'!$A$3:$A$86,0),MATCH("Annual kilometers [km]",'vehicles specifications'!$B$2:$CK$2,0))</f>
        <v>3000</v>
      </c>
    </row>
    <row r="377" spans="1:2" x14ac:dyDescent="0.3">
      <c r="A377" t="s">
        <v>137</v>
      </c>
      <c r="B377">
        <f>INDEX('vehicles specifications'!$B$3:$CK$86,MATCH(B367,'vehicles specifications'!$A$3:$A$86,0),MATCH("Curb mass [kg]",'vehicles specifications'!$B$2:$CK$2,0))</f>
        <v>27.663333333333334</v>
      </c>
    </row>
    <row r="378" spans="1:2" x14ac:dyDescent="0.3">
      <c r="A378" t="s">
        <v>138</v>
      </c>
      <c r="B378">
        <f>INDEX('vehicles specifications'!$B$3:$CK$86,MATCH(B367,'vehicles specifications'!$A$3:$A$86,0),MATCH("Power [kW]",'vehicles specifications'!$B$2:$CK$2,0))</f>
        <v>0.5</v>
      </c>
    </row>
    <row r="379" spans="1:2" x14ac:dyDescent="0.3">
      <c r="A379" t="s">
        <v>139</v>
      </c>
      <c r="B379">
        <f>INDEX('vehicles specifications'!$B$3:$CK$86,MATCH(B367,'vehicles specifications'!$A$3:$A$86,0),MATCH("Energy battery mass [kg]",'vehicles specifications'!$B$2:$CK$2,0))</f>
        <v>4.3333333333333339</v>
      </c>
    </row>
    <row r="380" spans="1:2" x14ac:dyDescent="0.3">
      <c r="A380" t="s">
        <v>140</v>
      </c>
      <c r="B380">
        <f>INDEX('vehicles specifications'!$B$3:$CK$86,MATCH(B367,'vehicles specifications'!$A$3:$A$86,0),MATCH("Electric energy stored [kWh]",'vehicles specifications'!$B$2:$CK$2,0))</f>
        <v>1</v>
      </c>
    </row>
    <row r="381" spans="1:2" s="21" customFormat="1" x14ac:dyDescent="0.3">
      <c r="A381" s="21" t="s">
        <v>654</v>
      </c>
      <c r="B381" s="21">
        <f>INDEX('vehicles specifications'!$B$3:$CK$86,MATCH(B367,'vehicles specifications'!$A$3:$A$86,0),MATCH("Electric energy available [kWh]",'vehicles specifications'!$B$2:$CK$2,0))</f>
        <v>0.8</v>
      </c>
    </row>
    <row r="382" spans="1:2" x14ac:dyDescent="0.3">
      <c r="A382" t="s">
        <v>143</v>
      </c>
      <c r="B382">
        <f>INDEX('vehicles specifications'!$B$3:$CK$86,MATCH(B367,'vehicles specifications'!$A$3:$A$86,0),MATCH("Oxydation energy stored [kWh]",'vehicles specifications'!$B$2:$CK$2,0))</f>
        <v>0</v>
      </c>
    </row>
    <row r="383" spans="1:2" x14ac:dyDescent="0.3">
      <c r="A383" t="s">
        <v>145</v>
      </c>
      <c r="B383">
        <f>INDEX('vehicles specifications'!$B$3:$CK$86,MATCH(B367,'vehicles specifications'!$A$3:$A$86,0),MATCH("Fuel mass [kg]",'vehicles specifications'!$B$2:$CK$2,0))</f>
        <v>0</v>
      </c>
    </row>
    <row r="384" spans="1:2" x14ac:dyDescent="0.3">
      <c r="A384" t="s">
        <v>141</v>
      </c>
      <c r="B384" s="2">
        <f>INDEX('vehicles specifications'!$B$3:$CK$86,MATCH(B367,'vehicles specifications'!$A$3:$A$86,0),MATCH("Range [km]",'vehicles specifications'!$B$2:$CK$2,0))</f>
        <v>63.563613392293121</v>
      </c>
    </row>
    <row r="385" spans="1:8" x14ac:dyDescent="0.3">
      <c r="A385" t="s">
        <v>142</v>
      </c>
      <c r="B385" t="str">
        <f>INDEX('vehicles specifications'!$B$3:$CK$86,MATCH(B367,'vehicles specifications'!$A$3:$A$86,0),MATCH("Emission standard",'vehicles specifications'!$B$2:$CK$2,0))</f>
        <v>None</v>
      </c>
    </row>
    <row r="386" spans="1:8" x14ac:dyDescent="0.3">
      <c r="A386" t="s">
        <v>144</v>
      </c>
      <c r="B386" s="6">
        <f>INDEX('vehicles specifications'!$B$3:$CK$86,MATCH(B367,'vehicles specifications'!$A$3:$A$86,0),MATCH("Lightweighting rate [%]",'vehicles specifications'!$B$2:$CK$2,0))</f>
        <v>0.03</v>
      </c>
    </row>
    <row r="387" spans="1:8" x14ac:dyDescent="0.3">
      <c r="A387" t="s">
        <v>84</v>
      </c>
      <c r="B387" s="21" t="str">
        <f>"Power: "&amp;B378&amp;" kW. Lifetime: "&amp;B372&amp;" km. Annual kilometers: "&amp;B376&amp;" km. Number of passengers: "&amp;B373&amp;". Curb mass: "&amp;ROUND(B377,1)&amp;" kg. Lightweighting of glider: "&amp;ROUND(B386*100,0)&amp;"%. Emission standard: "&amp;B385&amp;". Service visits throughout lifetime: "&amp;ROUND(B374,1)&amp;". Range: "&amp;ROUND(B384,0)&amp;" km. Battery capacity: "&amp;ROUND(B380,1)&amp;" kWh. Available battery capacity: "&amp;B381&amp;" kWh. Battery mass: "&amp;ROUND(B379,1)&amp; " kg. Battery replacement throughout lifetime: "&amp;ROUND(B375,1)&amp;". Fuel tank capacity: "&amp;ROUND(B382,1)&amp;" kWh. Fuel mass: "&amp;ROUND(B383,1)&amp;" kg. Documentation: "&amp;Readmefirst!$B$2&amp;", "&amp;Readmefirst!$B$3&amp;". "&amp;B371</f>
        <v>Power: 0.5 kW. Lifetime: 30000 km. Annual kilometers: 3000 km. Number of passengers: 1. Curb mass: 27.7 kg. Lightweighting of glider: 3%. Emission standard: None. Service visits throughout lifetime: 7.5. Range: 64 km. Battery capacity: 1 kWh. Available battery capacity: 0.8 kWh. Battery mass: 4.3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88" spans="1:8" ht="15.6" x14ac:dyDescent="0.3">
      <c r="A388" s="11" t="s">
        <v>80</v>
      </c>
    </row>
    <row r="389" spans="1:8" x14ac:dyDescent="0.3">
      <c r="A389" t="s">
        <v>81</v>
      </c>
      <c r="B389" t="s">
        <v>82</v>
      </c>
      <c r="C389" t="s">
        <v>73</v>
      </c>
      <c r="D389" t="s">
        <v>77</v>
      </c>
      <c r="E389" t="s">
        <v>83</v>
      </c>
      <c r="F389" t="s">
        <v>75</v>
      </c>
      <c r="G389" t="s">
        <v>84</v>
      </c>
      <c r="H389" t="s">
        <v>74</v>
      </c>
    </row>
    <row r="390" spans="1:8" x14ac:dyDescent="0.3">
      <c r="A390" s="12" t="str">
        <f>B362</f>
        <v>transport, Bicycle, electric (&lt;45 km/h), 2030, label-certified electricity</v>
      </c>
      <c r="B390" s="12">
        <v>1</v>
      </c>
      <c r="C390" s="12" t="str">
        <f>B363</f>
        <v>CH</v>
      </c>
      <c r="D390" s="12" t="s">
        <v>172</v>
      </c>
      <c r="E390" s="12"/>
      <c r="F390" s="12" t="s">
        <v>85</v>
      </c>
      <c r="G390" s="12" t="s">
        <v>86</v>
      </c>
      <c r="H390" s="12" t="str">
        <f>B368</f>
        <v>transport, Bicycle, electric (&lt;45 km/h)</v>
      </c>
    </row>
    <row r="391" spans="1:8" x14ac:dyDescent="0.3">
      <c r="A391" s="12" t="str">
        <f>B364&amp;", "&amp;B366</f>
        <v>Bicycle, electric (&lt;45 km/h), 2030</v>
      </c>
      <c r="B391" s="12">
        <f>1/B372</f>
        <v>3.3333333333333335E-5</v>
      </c>
      <c r="C391" s="12" t="str">
        <f>B363</f>
        <v>CH</v>
      </c>
      <c r="D391" s="12" t="s">
        <v>77</v>
      </c>
      <c r="E391" s="12"/>
      <c r="F391" s="12" t="s">
        <v>91</v>
      </c>
      <c r="G391" s="12"/>
      <c r="H391" s="12" t="str">
        <f>RIGHT(H390,LEN(H390)-11)</f>
        <v>Bicycle, electric (&lt;45 km/h)</v>
      </c>
    </row>
    <row r="392" spans="1:8" s="21" customFormat="1" x14ac:dyDescent="0.3">
      <c r="A392" s="12" t="str">
        <f>INDEX('ei names mapping'!$B$4:$R$33,MATCH(B364,'ei names mapping'!$A$4:$A$33,0),MATCH(G392,'ei names mapping'!$B$3:$R$3,0))</f>
        <v>road construction</v>
      </c>
      <c r="B392" s="16">
        <f>INDEX('vehicles specifications'!$B$3:$CK$86,MATCH(B367,'vehicles specifications'!$A$3:$A$86,0),MATCH(G392,'vehicles specifications'!$B$2:$CK$2,0))*INDEX('ei names mapping'!$B$137:$BK$220,MATCH(B367,'ei names mapping'!$A$137:$A$220,0),MATCH(G392,'ei names mapping'!$B$136:$BK$136,0))</f>
        <v>5.2982209999999996E-5</v>
      </c>
      <c r="C392" s="12" t="str">
        <f>INDEX('ei names mapping'!$B$38:$R$67,MATCH(B364,'ei names mapping'!$A$4:$A$33,0),MATCH(G392,'ei names mapping'!$B$3:$R$3,0))</f>
        <v>CH</v>
      </c>
      <c r="D392" s="12" t="str">
        <f>INDEX('ei names mapping'!$B$104:$BK$133,MATCH(B364,'ei names mapping'!$A$4:$A$33,0),MATCH(G392,'ei names mapping'!$B$3:$BK$3,0))</f>
        <v>meter-year</v>
      </c>
      <c r="E392" s="12"/>
      <c r="F392" s="12" t="s">
        <v>91</v>
      </c>
      <c r="G392" s="21" t="s">
        <v>108</v>
      </c>
      <c r="H392" s="12" t="str">
        <f>INDEX('ei names mapping'!$B$71:$BK$100,MATCH(B364,'ei names mapping'!$A$4:$A$33,0),MATCH(G392,'ei names mapping'!$B$3:$BK$3,0))</f>
        <v>road</v>
      </c>
    </row>
    <row r="393" spans="1:8" x14ac:dyDescent="0.3">
      <c r="A393" s="12" t="s">
        <v>114</v>
      </c>
      <c r="B393" s="14">
        <f>INDEX('vehicles specifications'!$B$3:$CK$86,MATCH(B367,'vehicles specifications'!$A$3:$A$86,0),MATCH(G393,'vehicles specifications'!$B$2:$CK$2,0))*INDEX('ei names mapping'!$B$137:$BK$220,MATCH(B367,'ei names mapping'!$A$137:$A$220,0),MATCH(G393,'ei names mapping'!$B$136:$BK$136,0))</f>
        <v>1.3844398595922134E-2</v>
      </c>
      <c r="C393" s="12" t="str">
        <f>INDEX('ei names mapping'!$B$38:$R$67,MATCH($B$3,'ei names mapping'!$A$4:$A$33,0),MATCH(G393,'ei names mapping'!$B$3:$R$3,0))</f>
        <v>CH</v>
      </c>
      <c r="D393" s="12" t="str">
        <f>INDEX('ei names mapping'!$B$104:$R$133,MATCH($B$3,'ei names mapping'!$A$4:$A$33,0),MATCH(G393,'ei names mapping'!$B$3:$R$3,0))</f>
        <v>kilowatt hour</v>
      </c>
      <c r="E393" s="12"/>
      <c r="F393" s="12" t="s">
        <v>91</v>
      </c>
      <c r="G393" t="s">
        <v>28</v>
      </c>
      <c r="H393" s="12" t="s">
        <v>116</v>
      </c>
    </row>
    <row r="394" spans="1:8" x14ac:dyDescent="0.3">
      <c r="A394" s="12" t="str">
        <f>INDEX('ei names mapping'!$B$4:$R$33,MATCH($B$3,'ei names mapping'!$A$4:$A$33,0),MATCH(G394,'ei names mapping'!$B$3:$R$3,0))</f>
        <v>maintenance, electric bicycle, without battery</v>
      </c>
      <c r="B394" s="14">
        <f>INDEX('vehicles specifications'!$B$3:$CK$86,MATCH(B367,'vehicles specifications'!$A$3:$A$86,0),MATCH(G394,'vehicles specifications'!$B$2:$CK$2,0))*INDEX('ei names mapping'!$B$137:$BK$220,MATCH(B367,'ei names mapping'!$A$137:$A$220,0),MATCH(G394,'ei names mapping'!$B$136:$BK$136,0))</f>
        <v>2.5000000000000001E-4</v>
      </c>
      <c r="C394" s="12" t="str">
        <f>INDEX('ei names mapping'!$B$38:$R$67,MATCH($B$3,'ei names mapping'!$A$4:$A$33,0),MATCH(G394,'ei names mapping'!$B$3:$R$3,0))</f>
        <v>CH</v>
      </c>
      <c r="D394" s="12" t="str">
        <f>INDEX('ei names mapping'!$B$104:$R$133,MATCH($B$3,'ei names mapping'!$A$4:$A$33,0),MATCH(G394,'ei names mapping'!$B$3:$R$3,0))</f>
        <v>unit</v>
      </c>
      <c r="E394" s="12"/>
      <c r="F394" s="12" t="s">
        <v>91</v>
      </c>
      <c r="G394" t="s">
        <v>123</v>
      </c>
      <c r="H394" s="12" t="str">
        <f>INDEX('ei names mapping'!$B$71:$R$100,MATCH($B$3,'ei names mapping'!$A$4:$A$33,0),MATCH(G394,'ei names mapping'!$B$3:$R$3,0))</f>
        <v>maintenance, electric bicycle, without battery</v>
      </c>
    </row>
    <row r="395" spans="1:8" x14ac:dyDescent="0.3">
      <c r="A395" s="12" t="str">
        <f>INDEX('ei names mapping'!$B$4:$BK$33,MATCH($B$179,'ei names mapping'!$A$4:$A$33,0),MATCH(G395,'ei names mapping'!$B$3:$BK$3,0))</f>
        <v>treatment of road wear emissions, passenger car</v>
      </c>
      <c r="B395" s="15">
        <f>INDEX('vehicles specifications'!$B$3:$CK$86,MATCH(B367,'vehicles specifications'!$A$3:$A$86,0),MATCH(G395,'vehicles specifications'!$B$2:$CK$2,0))*INDEX('ei names mapping'!$B$137:$BK$220,MATCH(B367,'ei names mapping'!$A$137:$A$220,0),MATCH(G395,'ei names mapping'!$B$136:$BK$136,0))</f>
        <v>-3.0000000000000001E-6</v>
      </c>
      <c r="C395" s="12" t="str">
        <f>INDEX('ei names mapping'!$B$38:$BK$67,MATCH($B$179,'ei names mapping'!$A$4:$A$33,0),MATCH(G395,'ei names mapping'!$B$3:$BK$3,0))</f>
        <v>RER</v>
      </c>
      <c r="D395" s="12" t="str">
        <f>INDEX('ei names mapping'!$B$104:$BK$133,MATCH($B$179,'ei names mapping'!$A$4:$A$33,0),MATCH(G395,'ei names mapping'!$B$3:$BK$3,0))</f>
        <v>kilogram</v>
      </c>
      <c r="E395" s="12"/>
      <c r="F395" s="12" t="s">
        <v>91</v>
      </c>
      <c r="G395" t="s">
        <v>29</v>
      </c>
      <c r="H395" s="12" t="str">
        <f>INDEX('ei names mapping'!$B$71:$BK$100,MATCH(B364,'ei names mapping'!$A$4:$A$33,0),MATCH(G395,'ei names mapping'!$B$3:$BK$3,0))</f>
        <v>road wear emissions, passenger car</v>
      </c>
    </row>
    <row r="396" spans="1:8" x14ac:dyDescent="0.3">
      <c r="A396" s="12" t="str">
        <f>INDEX('ei names mapping'!$B$4:$BK$33,MATCH($B$179,'ei names mapping'!$A$4:$A$33,0),MATCH(G396,'ei names mapping'!$B$3:$BK$3,0))</f>
        <v>treatment of tyre wear emissions, passenger car</v>
      </c>
      <c r="B396" s="15">
        <f>INDEX('vehicles specifications'!$B$3:$CK$86,MATCH(B367,'vehicles specifications'!$A$3:$A$86,0),MATCH(G396,'vehicles specifications'!$B$2:$CK$2,0))*INDEX('ei names mapping'!$B$137:$BK$220,MATCH(B367,'ei names mapping'!$A$137:$A$220,0),MATCH(G396,'ei names mapping'!$B$136:$BK$136,0))</f>
        <v>-2.9189999999999999E-6</v>
      </c>
      <c r="C396" s="12" t="str">
        <f>INDEX('ei names mapping'!$B$38:$BK$67,MATCH($B$179,'ei names mapping'!$A$4:$A$33,0),MATCH(G396,'ei names mapping'!$B$3:$BK$3,0))</f>
        <v>RER</v>
      </c>
      <c r="D396" s="12" t="str">
        <f>INDEX('ei names mapping'!$B$104:$BK$133,MATCH($B$179,'ei names mapping'!$A$4:$A$33,0),MATCH(G396,'ei names mapping'!$B$3:$BK$3,0))</f>
        <v>kilogram</v>
      </c>
      <c r="E396" s="12"/>
      <c r="F396" s="12" t="s">
        <v>91</v>
      </c>
      <c r="G396" t="s">
        <v>30</v>
      </c>
      <c r="H396" s="12" t="str">
        <f>INDEX('ei names mapping'!$B$71:$BK$100,MATCH($B$179,'ei names mapping'!$A$4:$A$33,0),MATCH(G396,'ei names mapping'!$B$3:$BK$3,0))</f>
        <v>tyre wear emissions, passenger car</v>
      </c>
    </row>
    <row r="397" spans="1:8" x14ac:dyDescent="0.3">
      <c r="A397" s="12" t="str">
        <f>INDEX('ei names mapping'!$B$4:$BK$33,MATCH($B$179,'ei names mapping'!$A$4:$A$33,0),MATCH(G397,'ei names mapping'!$B$3:$BK$3,0))</f>
        <v>treatment of brake wear emissions, passenger car</v>
      </c>
      <c r="B397" s="15">
        <f>INDEX('vehicles specifications'!$B$3:$CK$86,MATCH(B367,'vehicles specifications'!$A$3:$A$86,0),MATCH(G397,'vehicles specifications'!$B$2:$CK$2,0))*INDEX('ei names mapping'!$B$137:$BK$220,MATCH(B367,'ei names mapping'!$A$137:$A$220,0),MATCH(G397,'ei names mapping'!$B$136:$BK$136,0))</f>
        <v>-1.8370000000000002E-6</v>
      </c>
      <c r="C397" s="12" t="str">
        <f>INDEX('ei names mapping'!$B$38:$BK$67,MATCH($B$179,'ei names mapping'!$A$4:$A$33,0),MATCH(G397,'ei names mapping'!$B$3:$BK$3,0))</f>
        <v>RER</v>
      </c>
      <c r="D397" s="12" t="str">
        <f>INDEX('ei names mapping'!$B$104:$BK$133,MATCH($B$179,'ei names mapping'!$A$4:$A$33,0),MATCH(G397,'ei names mapping'!$B$3:$BK$3,0))</f>
        <v>kilogram</v>
      </c>
      <c r="E397" s="12"/>
      <c r="F397" s="12" t="s">
        <v>91</v>
      </c>
      <c r="G397" t="s">
        <v>31</v>
      </c>
      <c r="H397" s="12" t="str">
        <f>INDEX('ei names mapping'!$B$71:$BK$100,MATCH($B$179,'ei names mapping'!$A$4:$A$33,0),MATCH(G397,'ei names mapping'!$B$3:$BK$3,0))</f>
        <v>brake wear emissions, passenger car</v>
      </c>
    </row>
    <row r="399" spans="1:8" ht="15.6" x14ac:dyDescent="0.3">
      <c r="A399" s="11" t="s">
        <v>72</v>
      </c>
      <c r="B399" s="9" t="str">
        <f>"transport, "&amp;B401&amp;", "&amp;B403&amp;", label-certified electricity"</f>
        <v>transport, Bicycle, electric (&lt;45 km/h), 2040, label-certified electricity</v>
      </c>
    </row>
    <row r="400" spans="1:8" x14ac:dyDescent="0.3">
      <c r="A400" t="s">
        <v>73</v>
      </c>
      <c r="B400" t="s">
        <v>37</v>
      </c>
    </row>
    <row r="401" spans="1:2" x14ac:dyDescent="0.3">
      <c r="A401" t="s">
        <v>87</v>
      </c>
      <c r="B401" s="21" t="s">
        <v>518</v>
      </c>
    </row>
    <row r="402" spans="1:2" x14ac:dyDescent="0.3">
      <c r="A402" t="s">
        <v>88</v>
      </c>
      <c r="B402" s="12"/>
    </row>
    <row r="403" spans="1:2" x14ac:dyDescent="0.3">
      <c r="A403" t="s">
        <v>89</v>
      </c>
      <c r="B403" s="12">
        <v>2040</v>
      </c>
    </row>
    <row r="404" spans="1:2" x14ac:dyDescent="0.3">
      <c r="A404" t="s">
        <v>131</v>
      </c>
      <c r="B404" s="12" t="str">
        <f>B401&amp;" - "&amp;B403&amp;" - "&amp;B400</f>
        <v>Bicycle, electric (&lt;45 km/h) - 2040 - CH</v>
      </c>
    </row>
    <row r="405" spans="1:2" x14ac:dyDescent="0.3">
      <c r="A405" t="s">
        <v>74</v>
      </c>
      <c r="B405" s="12" t="str">
        <f>"transport, "&amp;B401</f>
        <v>transport, Bicycle, electric (&lt;45 km/h)</v>
      </c>
    </row>
    <row r="406" spans="1:2" x14ac:dyDescent="0.3">
      <c r="A406" t="s">
        <v>75</v>
      </c>
      <c r="B406" t="s">
        <v>76</v>
      </c>
    </row>
    <row r="407" spans="1:2" x14ac:dyDescent="0.3">
      <c r="A407" t="s">
        <v>77</v>
      </c>
      <c r="B407" t="s">
        <v>172</v>
      </c>
    </row>
    <row r="408" spans="1:2" x14ac:dyDescent="0.3">
      <c r="A408" t="s">
        <v>79</v>
      </c>
      <c r="B408" t="s">
        <v>90</v>
      </c>
    </row>
    <row r="409" spans="1:2" x14ac:dyDescent="0.3">
      <c r="A409" t="s">
        <v>132</v>
      </c>
      <c r="B409">
        <f>INDEX('vehicles specifications'!$B$3:$CK$86,MATCH(B404,'vehicles specifications'!$A$3:$A$86,0),MATCH("Lifetime [km]",'vehicles specifications'!$B$2:$CK$2,0))</f>
        <v>30000</v>
      </c>
    </row>
    <row r="410" spans="1:2" x14ac:dyDescent="0.3">
      <c r="A410" t="s">
        <v>133</v>
      </c>
      <c r="B410">
        <f>INDEX('vehicles specifications'!$B$3:$CK$86,MATCH(B404,'vehicles specifications'!$A$3:$A$86,0),MATCH("Passengers [unit]",'vehicles specifications'!$B$2:$CK$2,0))</f>
        <v>1</v>
      </c>
    </row>
    <row r="411" spans="1:2" x14ac:dyDescent="0.3">
      <c r="A411" t="s">
        <v>134</v>
      </c>
      <c r="B411">
        <f>INDEX('vehicles specifications'!$B$3:$CK$86,MATCH(B404,'vehicles specifications'!$A$3:$A$86,0),MATCH("Servicing [unit]",'vehicles specifications'!$B$2:$CK$2,0))</f>
        <v>7.5</v>
      </c>
    </row>
    <row r="412" spans="1:2" x14ac:dyDescent="0.3">
      <c r="A412" t="s">
        <v>135</v>
      </c>
      <c r="B412">
        <f>INDEX('vehicles specifications'!$B$3:$CK$86,MATCH(B404,'vehicles specifications'!$A$3:$A$86,0),MATCH("Energy battery replacement [unit]",'vehicles specifications'!$B$2:$CK$2,0))</f>
        <v>0.25</v>
      </c>
    </row>
    <row r="413" spans="1:2" x14ac:dyDescent="0.3">
      <c r="A413" t="s">
        <v>136</v>
      </c>
      <c r="B413">
        <f>INDEX('vehicles specifications'!$B$3:$CK$86,MATCH(B404,'vehicles specifications'!$A$3:$A$86,0),MATCH("Annual kilometers [km]",'vehicles specifications'!$B$2:$CK$2,0))</f>
        <v>3000</v>
      </c>
    </row>
    <row r="414" spans="1:2" x14ac:dyDescent="0.3">
      <c r="A414" t="s">
        <v>137</v>
      </c>
      <c r="B414">
        <f>INDEX('vehicles specifications'!$B$3:$CK$86,MATCH(B404,'vehicles specifications'!$A$3:$A$86,0),MATCH("Curb mass [kg]",'vehicles specifications'!$B$2:$CK$2,0))</f>
        <v>27.625</v>
      </c>
    </row>
    <row r="415" spans="1:2" x14ac:dyDescent="0.3">
      <c r="A415" t="s">
        <v>138</v>
      </c>
      <c r="B415">
        <f>INDEX('vehicles specifications'!$B$3:$CK$86,MATCH(B404,'vehicles specifications'!$A$3:$A$86,0),MATCH("Power [kW]",'vehicles specifications'!$B$2:$CK$2,0))</f>
        <v>0.5</v>
      </c>
    </row>
    <row r="416" spans="1:2" x14ac:dyDescent="0.3">
      <c r="A416" t="s">
        <v>139</v>
      </c>
      <c r="B416">
        <f>INDEX('vehicles specifications'!$B$3:$CK$86,MATCH(B404,'vehicles specifications'!$A$3:$A$86,0),MATCH("Energy battery mass [kg]",'vehicles specifications'!$B$2:$CK$2,0))</f>
        <v>4.875</v>
      </c>
    </row>
    <row r="417" spans="1:8" x14ac:dyDescent="0.3">
      <c r="A417" t="s">
        <v>140</v>
      </c>
      <c r="B417">
        <f>INDEX('vehicles specifications'!$B$3:$CK$86,MATCH(B404,'vehicles specifications'!$A$3:$A$86,0),MATCH("Electric energy stored [kWh]",'vehicles specifications'!$B$2:$CK$2,0))</f>
        <v>1.5</v>
      </c>
    </row>
    <row r="418" spans="1:8" s="21" customFormat="1" x14ac:dyDescent="0.3">
      <c r="A418" s="21" t="s">
        <v>654</v>
      </c>
      <c r="B418" s="21">
        <f>INDEX('vehicles specifications'!$B$3:$CK$86,MATCH(B404,'vehicles specifications'!$A$3:$A$86,0),MATCH("Electric energy available [kWh]",'vehicles specifications'!$B$2:$CK$2,0))</f>
        <v>1.2000000000000002</v>
      </c>
    </row>
    <row r="419" spans="1:8" x14ac:dyDescent="0.3">
      <c r="A419" t="s">
        <v>143</v>
      </c>
      <c r="B419">
        <f>INDEX('vehicles specifications'!$B$3:$CK$86,MATCH(B404,'vehicles specifications'!$A$3:$A$86,0),MATCH("Oxydation energy stored [kWh]",'vehicles specifications'!$B$2:$CK$2,0))</f>
        <v>0</v>
      </c>
    </row>
    <row r="420" spans="1:8" x14ac:dyDescent="0.3">
      <c r="A420" t="s">
        <v>145</v>
      </c>
      <c r="B420">
        <f>INDEX('vehicles specifications'!$B$3:$CK$86,MATCH(B404,'vehicles specifications'!$A$3:$A$86,0),MATCH("Fuel mass [kg]",'vehicles specifications'!$B$2:$CK$2,0))</f>
        <v>0</v>
      </c>
    </row>
    <row r="421" spans="1:8" x14ac:dyDescent="0.3">
      <c r="A421" t="s">
        <v>141</v>
      </c>
      <c r="B421" s="2">
        <f>INDEX('vehicles specifications'!$B$3:$CK$86,MATCH(B404,'vehicles specifications'!$A$3:$A$86,0),MATCH("Range [km]",'vehicles specifications'!$B$2:$CK$2,0))</f>
        <v>95.345420088439695</v>
      </c>
    </row>
    <row r="422" spans="1:8" x14ac:dyDescent="0.3">
      <c r="A422" t="s">
        <v>142</v>
      </c>
      <c r="B422" t="str">
        <f>INDEX('vehicles specifications'!$B$3:$CK$86,MATCH(B404,'vehicles specifications'!$A$3:$A$86,0),MATCH("Emission standard",'vehicles specifications'!$B$2:$CK$2,0))</f>
        <v>None</v>
      </c>
    </row>
    <row r="423" spans="1:8" x14ac:dyDescent="0.3">
      <c r="A423" t="s">
        <v>144</v>
      </c>
      <c r="B423" s="6">
        <f>INDEX('vehicles specifications'!$B$3:$CK$86,MATCH(B404,'vehicles specifications'!$A$3:$A$86,0),MATCH("Lightweighting rate [%]",'vehicles specifications'!$B$2:$CK$2,0))</f>
        <v>0.05</v>
      </c>
    </row>
    <row r="424" spans="1:8" x14ac:dyDescent="0.3">
      <c r="A424" t="s">
        <v>84</v>
      </c>
      <c r="B424" s="21" t="str">
        <f>"Power: "&amp;B415&amp;" kW. Lifetime: "&amp;B409&amp;" km. Annual kilometers: "&amp;B413&amp;" km. Number of passengers: "&amp;B410&amp;". Curb mass: "&amp;ROUND(B414,1)&amp;" kg. Lightweighting of glider: "&amp;ROUND(B423*100,0)&amp;"%. Emission standard: "&amp;B422&amp;". Service visits throughout lifetime: "&amp;ROUND(B411,1)&amp;". Range: "&amp;ROUND(B421,0)&amp;" km. Battery capacity: "&amp;ROUND(B417,1)&amp;" kWh. Available battery capacity: "&amp;B418&amp;" kWh. Battery mass: "&amp;ROUND(B416,1)&amp; " kg. Battery replacement throughout lifetime: "&amp;ROUND(B412,1)&amp;". Fuel tank capacity: "&amp;ROUND(B419,1)&amp;" kWh. Fuel mass: "&amp;ROUND(B420,1)&amp;" kg. Documentation: "&amp;Readmefirst!$B$2&amp;", "&amp;Readmefirst!$B$3&amp;". "&amp;B408</f>
        <v>Power: 0.5 kW. Lifetime: 30000 km. Annual kilometers: 3000 km. Number of passengers: 1. Curb mass: 27.6 kg. Lightweighting of glider: 5%. Emission standard: None. Service visits throughout lifetime: 7.5. Range: 95 km. Battery capacity: 1.5 kWh. Available battery capacity: 1.2 kWh. Battery mass: 4.9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25" spans="1:8" ht="15.6" x14ac:dyDescent="0.3">
      <c r="A425" s="11" t="s">
        <v>80</v>
      </c>
    </row>
    <row r="426" spans="1:8" x14ac:dyDescent="0.3">
      <c r="A426" t="s">
        <v>81</v>
      </c>
      <c r="B426" t="s">
        <v>82</v>
      </c>
      <c r="C426" t="s">
        <v>73</v>
      </c>
      <c r="D426" t="s">
        <v>77</v>
      </c>
      <c r="E426" t="s">
        <v>83</v>
      </c>
      <c r="F426" t="s">
        <v>75</v>
      </c>
      <c r="G426" t="s">
        <v>84</v>
      </c>
      <c r="H426" t="s">
        <v>74</v>
      </c>
    </row>
    <row r="427" spans="1:8" x14ac:dyDescent="0.3">
      <c r="A427" s="12" t="str">
        <f>B399</f>
        <v>transport, Bicycle, electric (&lt;45 km/h), 2040, label-certified electricity</v>
      </c>
      <c r="B427" s="12">
        <v>1</v>
      </c>
      <c r="C427" s="12" t="str">
        <f>B400</f>
        <v>CH</v>
      </c>
      <c r="D427" s="12" t="s">
        <v>172</v>
      </c>
      <c r="E427" s="12"/>
      <c r="F427" s="12" t="s">
        <v>85</v>
      </c>
      <c r="G427" s="12" t="s">
        <v>86</v>
      </c>
      <c r="H427" s="12" t="str">
        <f>B405</f>
        <v>transport, Bicycle, electric (&lt;45 km/h)</v>
      </c>
    </row>
    <row r="428" spans="1:8" x14ac:dyDescent="0.3">
      <c r="A428" s="12" t="str">
        <f>B401&amp;", "&amp;B403</f>
        <v>Bicycle, electric (&lt;45 km/h), 2040</v>
      </c>
      <c r="B428" s="12">
        <f>1/B409</f>
        <v>3.3333333333333335E-5</v>
      </c>
      <c r="C428" s="12" t="str">
        <f>B400</f>
        <v>CH</v>
      </c>
      <c r="D428" s="12" t="s">
        <v>77</v>
      </c>
      <c r="E428" s="12"/>
      <c r="F428" s="12" t="s">
        <v>91</v>
      </c>
      <c r="G428" s="12"/>
      <c r="H428" s="12" t="str">
        <f>RIGHT(H427,LEN(H427)-11)</f>
        <v>Bicycle, electric (&lt;45 km/h)</v>
      </c>
    </row>
    <row r="429" spans="1:8" s="21" customFormat="1" x14ac:dyDescent="0.3">
      <c r="A429" s="12" t="str">
        <f>INDEX('ei names mapping'!$B$4:$R$33,MATCH(B401,'ei names mapping'!$A$4:$A$33,0),MATCH(G429,'ei names mapping'!$B$3:$R$3,0))</f>
        <v>road construction</v>
      </c>
      <c r="B429" s="16">
        <f>INDEX('vehicles specifications'!$B$3:$CK$86,MATCH(B404,'vehicles specifications'!$A$3:$A$86,0),MATCH(G429,'vehicles specifications'!$B$2:$CK$2,0))*INDEX('ei names mapping'!$B$137:$BK$220,MATCH(B404,'ei names mapping'!$A$137:$A$220,0),MATCH(G429,'ei names mapping'!$B$136:$BK$136,0))</f>
        <v>5.2961625E-5</v>
      </c>
      <c r="C429" s="12" t="str">
        <f>INDEX('ei names mapping'!$B$38:$R$67,MATCH(B401,'ei names mapping'!$A$4:$A$33,0),MATCH(G429,'ei names mapping'!$B$3:$R$3,0))</f>
        <v>CH</v>
      </c>
      <c r="D429" s="12" t="str">
        <f>INDEX('ei names mapping'!$B$104:$BK$133,MATCH(B401,'ei names mapping'!$A$4:$A$33,0),MATCH(G429,'ei names mapping'!$B$3:$BK$3,0))</f>
        <v>meter-year</v>
      </c>
      <c r="E429" s="12"/>
      <c r="F429" s="12" t="s">
        <v>91</v>
      </c>
      <c r="G429" s="21" t="s">
        <v>108</v>
      </c>
      <c r="H429" s="12" t="str">
        <f>INDEX('ei names mapping'!$B$71:$BK$100,MATCH(B401,'ei names mapping'!$A$4:$A$33,0),MATCH(G429,'ei names mapping'!$B$3:$BK$3,0))</f>
        <v>road</v>
      </c>
    </row>
    <row r="430" spans="1:8" x14ac:dyDescent="0.3">
      <c r="A430" s="12" t="s">
        <v>114</v>
      </c>
      <c r="B430" s="14">
        <f>INDEX('vehicles specifications'!$B$3:$CK$86,MATCH(B404,'vehicles specifications'!$A$3:$A$86,0),MATCH(G430,'vehicles specifications'!$B$2:$CK$2,0))*INDEX('ei names mapping'!$B$137:$BK$220,MATCH(B404,'ei names mapping'!$A$137:$A$220,0),MATCH(G430,'ei names mapping'!$B$136:$BK$136,0))</f>
        <v>1.3844398595922134E-2</v>
      </c>
      <c r="C430" s="12" t="str">
        <f>INDEX('ei names mapping'!$B$38:$R$67,MATCH($B$3,'ei names mapping'!$A$4:$A$33,0),MATCH(G430,'ei names mapping'!$B$3:$R$3,0))</f>
        <v>CH</v>
      </c>
      <c r="D430" s="12" t="str">
        <f>INDEX('ei names mapping'!$B$104:$R$133,MATCH($B$3,'ei names mapping'!$A$4:$A$33,0),MATCH(G430,'ei names mapping'!$B$3:$R$3,0))</f>
        <v>kilowatt hour</v>
      </c>
      <c r="E430" s="12"/>
      <c r="F430" s="12" t="s">
        <v>91</v>
      </c>
      <c r="G430" t="s">
        <v>28</v>
      </c>
      <c r="H430" s="12" t="s">
        <v>116</v>
      </c>
    </row>
    <row r="431" spans="1:8" x14ac:dyDescent="0.3">
      <c r="A431" s="12" t="str">
        <f>INDEX('ei names mapping'!$B$4:$R$33,MATCH($B$3,'ei names mapping'!$A$4:$A$33,0),MATCH(G431,'ei names mapping'!$B$3:$R$3,0))</f>
        <v>maintenance, electric bicycle, without battery</v>
      </c>
      <c r="B431" s="14">
        <f>INDEX('vehicles specifications'!$B$3:$CK$86,MATCH(B404,'vehicles specifications'!$A$3:$A$86,0),MATCH(G431,'vehicles specifications'!$B$2:$CK$2,0))*INDEX('ei names mapping'!$B$137:$BK$220,MATCH(B404,'ei names mapping'!$A$137:$A$220,0),MATCH(G431,'ei names mapping'!$B$136:$BK$136,0))</f>
        <v>2.5000000000000001E-4</v>
      </c>
      <c r="C431" s="12" t="str">
        <f>INDEX('ei names mapping'!$B$38:$R$67,MATCH($B$3,'ei names mapping'!$A$4:$A$33,0),MATCH(G431,'ei names mapping'!$B$3:$R$3,0))</f>
        <v>CH</v>
      </c>
      <c r="D431" s="12" t="str">
        <f>INDEX('ei names mapping'!$B$104:$R$133,MATCH($B$3,'ei names mapping'!$A$4:$A$33,0),MATCH(G431,'ei names mapping'!$B$3:$R$3,0))</f>
        <v>unit</v>
      </c>
      <c r="E431" s="12"/>
      <c r="F431" s="12" t="s">
        <v>91</v>
      </c>
      <c r="G431" t="s">
        <v>123</v>
      </c>
      <c r="H431" s="12" t="str">
        <f>INDEX('ei names mapping'!$B$71:$R$100,MATCH($B$3,'ei names mapping'!$A$4:$A$33,0),MATCH(G431,'ei names mapping'!$B$3:$R$3,0))</f>
        <v>maintenance, electric bicycle, without battery</v>
      </c>
    </row>
    <row r="432" spans="1:8" x14ac:dyDescent="0.3">
      <c r="A432" s="12" t="str">
        <f>INDEX('ei names mapping'!$B$4:$BK$33,MATCH($B$179,'ei names mapping'!$A$4:$A$33,0),MATCH(G432,'ei names mapping'!$B$3:$BK$3,0))</f>
        <v>treatment of road wear emissions, passenger car</v>
      </c>
      <c r="B432" s="15">
        <f>INDEX('vehicles specifications'!$B$3:$CK$86,MATCH(B404,'vehicles specifications'!$A$3:$A$86,0),MATCH(G432,'vehicles specifications'!$B$2:$CK$2,0))*INDEX('ei names mapping'!$B$137:$BK$220,MATCH(B404,'ei names mapping'!$A$137:$A$220,0),MATCH(G432,'ei names mapping'!$B$136:$BK$136,0))</f>
        <v>-3.0000000000000001E-6</v>
      </c>
      <c r="C432" s="12" t="str">
        <f>INDEX('ei names mapping'!$B$38:$BK$67,MATCH($B$179,'ei names mapping'!$A$4:$A$33,0),MATCH(G432,'ei names mapping'!$B$3:$BK$3,0))</f>
        <v>RER</v>
      </c>
      <c r="D432" s="12" t="str">
        <f>INDEX('ei names mapping'!$B$104:$BK$133,MATCH($B$179,'ei names mapping'!$A$4:$A$33,0),MATCH(G432,'ei names mapping'!$B$3:$BK$3,0))</f>
        <v>kilogram</v>
      </c>
      <c r="E432" s="12"/>
      <c r="F432" s="12" t="s">
        <v>91</v>
      </c>
      <c r="G432" t="s">
        <v>29</v>
      </c>
      <c r="H432" s="12" t="str">
        <f>INDEX('ei names mapping'!$B$71:$BK$100,MATCH(B401,'ei names mapping'!$A$4:$A$33,0),MATCH(G432,'ei names mapping'!$B$3:$BK$3,0))</f>
        <v>road wear emissions, passenger car</v>
      </c>
    </row>
    <row r="433" spans="1:8" x14ac:dyDescent="0.3">
      <c r="A433" s="12" t="str">
        <f>INDEX('ei names mapping'!$B$4:$BK$33,MATCH($B$179,'ei names mapping'!$A$4:$A$33,0),MATCH(G433,'ei names mapping'!$B$3:$BK$3,0))</f>
        <v>treatment of tyre wear emissions, passenger car</v>
      </c>
      <c r="B433" s="15">
        <f>INDEX('vehicles specifications'!$B$3:$CK$86,MATCH(B404,'vehicles specifications'!$A$3:$A$86,0),MATCH(G433,'vehicles specifications'!$B$2:$CK$2,0))*INDEX('ei names mapping'!$B$137:$BK$220,MATCH(B404,'ei names mapping'!$A$137:$A$220,0),MATCH(G433,'ei names mapping'!$B$136:$BK$136,0))</f>
        <v>-2.9189999999999999E-6</v>
      </c>
      <c r="C433" s="12" t="str">
        <f>INDEX('ei names mapping'!$B$38:$BK$67,MATCH($B$179,'ei names mapping'!$A$4:$A$33,0),MATCH(G433,'ei names mapping'!$B$3:$BK$3,0))</f>
        <v>RER</v>
      </c>
      <c r="D433" s="12" t="str">
        <f>INDEX('ei names mapping'!$B$104:$BK$133,MATCH($B$179,'ei names mapping'!$A$4:$A$33,0),MATCH(G433,'ei names mapping'!$B$3:$BK$3,0))</f>
        <v>kilogram</v>
      </c>
      <c r="E433" s="12"/>
      <c r="F433" s="12" t="s">
        <v>91</v>
      </c>
      <c r="G433" t="s">
        <v>30</v>
      </c>
      <c r="H433" s="12" t="str">
        <f>INDEX('ei names mapping'!$B$71:$BK$100,MATCH($B$179,'ei names mapping'!$A$4:$A$33,0),MATCH(G433,'ei names mapping'!$B$3:$BK$3,0))</f>
        <v>tyre wear emissions, passenger car</v>
      </c>
    </row>
    <row r="434" spans="1:8" x14ac:dyDescent="0.3">
      <c r="A434" s="12" t="str">
        <f>INDEX('ei names mapping'!$B$4:$BK$33,MATCH($B$179,'ei names mapping'!$A$4:$A$33,0),MATCH(G434,'ei names mapping'!$B$3:$BK$3,0))</f>
        <v>treatment of brake wear emissions, passenger car</v>
      </c>
      <c r="B434" s="15">
        <f>INDEX('vehicles specifications'!$B$3:$CK$86,MATCH(B404,'vehicles specifications'!$A$3:$A$86,0),MATCH(G434,'vehicles specifications'!$B$2:$CK$2,0))*INDEX('ei names mapping'!$B$137:$BK$220,MATCH(B404,'ei names mapping'!$A$137:$A$220,0),MATCH(G434,'ei names mapping'!$B$136:$BK$136,0))</f>
        <v>-1.8370000000000002E-6</v>
      </c>
      <c r="C434" s="12" t="str">
        <f>INDEX('ei names mapping'!$B$38:$BK$67,MATCH($B$179,'ei names mapping'!$A$4:$A$33,0),MATCH(G434,'ei names mapping'!$B$3:$BK$3,0))</f>
        <v>RER</v>
      </c>
      <c r="D434" s="12" t="str">
        <f>INDEX('ei names mapping'!$B$104:$BK$133,MATCH($B$179,'ei names mapping'!$A$4:$A$33,0),MATCH(G434,'ei names mapping'!$B$3:$BK$3,0))</f>
        <v>kilogram</v>
      </c>
      <c r="E434" s="12"/>
      <c r="F434" s="12" t="s">
        <v>91</v>
      </c>
      <c r="G434" t="s">
        <v>31</v>
      </c>
      <c r="H434" s="12" t="str">
        <f>INDEX('ei names mapping'!$B$71:$BK$100,MATCH($B$179,'ei names mapping'!$A$4:$A$33,0),MATCH(G434,'ei names mapping'!$B$3:$BK$3,0))</f>
        <v>brake wear emissions, passenger car</v>
      </c>
    </row>
    <row r="436" spans="1:8" ht="15.6" x14ac:dyDescent="0.3">
      <c r="A436" s="11" t="s">
        <v>72</v>
      </c>
      <c r="B436" s="9" t="str">
        <f>"transport, "&amp;B438&amp;", "&amp;B440&amp;", label-certified electricity"</f>
        <v>transport, Bicycle, electric (&lt;45 km/h), 2050, label-certified electricity</v>
      </c>
    </row>
    <row r="437" spans="1:8" x14ac:dyDescent="0.3">
      <c r="A437" t="s">
        <v>73</v>
      </c>
      <c r="B437" t="s">
        <v>37</v>
      </c>
    </row>
    <row r="438" spans="1:8" x14ac:dyDescent="0.3">
      <c r="A438" t="s">
        <v>87</v>
      </c>
      <c r="B438" s="21" t="s">
        <v>518</v>
      </c>
    </row>
    <row r="439" spans="1:8" x14ac:dyDescent="0.3">
      <c r="A439" t="s">
        <v>88</v>
      </c>
      <c r="B439" s="12"/>
    </row>
    <row r="440" spans="1:8" x14ac:dyDescent="0.3">
      <c r="A440" t="s">
        <v>89</v>
      </c>
      <c r="B440" s="12">
        <v>2050</v>
      </c>
    </row>
    <row r="441" spans="1:8" x14ac:dyDescent="0.3">
      <c r="A441" t="s">
        <v>131</v>
      </c>
      <c r="B441" s="12" t="str">
        <f>B438&amp;" - "&amp;B440&amp;" - "&amp;B437</f>
        <v>Bicycle, electric (&lt;45 km/h) - 2050 - CH</v>
      </c>
    </row>
    <row r="442" spans="1:8" x14ac:dyDescent="0.3">
      <c r="A442" t="s">
        <v>74</v>
      </c>
      <c r="B442" s="12" t="str">
        <f>"transport, "&amp;B438</f>
        <v>transport, Bicycle, electric (&lt;45 km/h)</v>
      </c>
    </row>
    <row r="443" spans="1:8" x14ac:dyDescent="0.3">
      <c r="A443" t="s">
        <v>75</v>
      </c>
      <c r="B443" t="s">
        <v>76</v>
      </c>
    </row>
    <row r="444" spans="1:8" x14ac:dyDescent="0.3">
      <c r="A444" t="s">
        <v>77</v>
      </c>
      <c r="B444" t="s">
        <v>172</v>
      </c>
    </row>
    <row r="445" spans="1:8" x14ac:dyDescent="0.3">
      <c r="A445" t="s">
        <v>79</v>
      </c>
      <c r="B445" t="s">
        <v>90</v>
      </c>
    </row>
    <row r="446" spans="1:8" x14ac:dyDescent="0.3">
      <c r="A446" t="s">
        <v>132</v>
      </c>
      <c r="B446">
        <f>INDEX('vehicles specifications'!$B$3:$CK$86,MATCH(B441,'vehicles specifications'!$A$3:$A$86,0),MATCH("Lifetime [km]",'vehicles specifications'!$B$2:$CK$2,0))</f>
        <v>30000</v>
      </c>
    </row>
    <row r="447" spans="1:8" x14ac:dyDescent="0.3">
      <c r="A447" t="s">
        <v>133</v>
      </c>
      <c r="B447">
        <f>INDEX('vehicles specifications'!$B$3:$CK$86,MATCH(B441,'vehicles specifications'!$A$3:$A$86,0),MATCH("Passengers [unit]",'vehicles specifications'!$B$2:$CK$2,0))</f>
        <v>1</v>
      </c>
    </row>
    <row r="448" spans="1:8" x14ac:dyDescent="0.3">
      <c r="A448" t="s">
        <v>134</v>
      </c>
      <c r="B448">
        <f>INDEX('vehicles specifications'!$B$3:$CK$86,MATCH(B441,'vehicles specifications'!$A$3:$A$86,0),MATCH("Servicing [unit]",'vehicles specifications'!$B$2:$CK$2,0))</f>
        <v>7.5</v>
      </c>
    </row>
    <row r="449" spans="1:8" x14ac:dyDescent="0.3">
      <c r="A449" t="s">
        <v>135</v>
      </c>
      <c r="B449">
        <f>INDEX('vehicles specifications'!$B$3:$CK$86,MATCH(B441,'vehicles specifications'!$A$3:$A$86,0),MATCH("Energy battery replacement [unit]",'vehicles specifications'!$B$2:$CK$2,0))</f>
        <v>0</v>
      </c>
    </row>
    <row r="450" spans="1:8" x14ac:dyDescent="0.3">
      <c r="A450" t="s">
        <v>136</v>
      </c>
      <c r="B450">
        <f>INDEX('vehicles specifications'!$B$3:$CK$86,MATCH(B441,'vehicles specifications'!$A$3:$A$86,0),MATCH("Annual kilometers [km]",'vehicles specifications'!$B$2:$CK$2,0))</f>
        <v>3000</v>
      </c>
    </row>
    <row r="451" spans="1:8" x14ac:dyDescent="0.3">
      <c r="A451" t="s">
        <v>137</v>
      </c>
      <c r="B451">
        <f>INDEX('vehicles specifications'!$B$3:$CK$86,MATCH(B441,'vehicles specifications'!$A$3:$A$86,0),MATCH("Curb mass [kg]",'vehicles specifications'!$B$2:$CK$2,0))</f>
        <v>27.989999999999995</v>
      </c>
    </row>
    <row r="452" spans="1:8" x14ac:dyDescent="0.3">
      <c r="A452" t="s">
        <v>138</v>
      </c>
      <c r="B452">
        <f>INDEX('vehicles specifications'!$B$3:$CK$86,MATCH(B441,'vehicles specifications'!$A$3:$A$86,0),MATCH("Power [kW]",'vehicles specifications'!$B$2:$CK$2,0))</f>
        <v>0.5</v>
      </c>
    </row>
    <row r="453" spans="1:8" x14ac:dyDescent="0.3">
      <c r="A453" t="s">
        <v>139</v>
      </c>
      <c r="B453">
        <f>INDEX('vehicles specifications'!$B$3:$CK$86,MATCH(B441,'vehicles specifications'!$A$3:$A$86,0),MATCH("Energy battery mass [kg]",'vehicles specifications'!$B$2:$CK$2,0))</f>
        <v>5.7200000000000006</v>
      </c>
    </row>
    <row r="454" spans="1:8" x14ac:dyDescent="0.3">
      <c r="A454" t="s">
        <v>140</v>
      </c>
      <c r="B454">
        <f>INDEX('vehicles specifications'!$B$3:$CK$86,MATCH(B441,'vehicles specifications'!$A$3:$A$86,0),MATCH("Electric energy stored [kWh]",'vehicles specifications'!$B$2:$CK$2,0))</f>
        <v>2.2000000000000002</v>
      </c>
    </row>
    <row r="455" spans="1:8" s="21" customFormat="1" x14ac:dyDescent="0.3">
      <c r="A455" s="21" t="s">
        <v>654</v>
      </c>
      <c r="B455" s="21">
        <f>INDEX('vehicles specifications'!$B$3:$CK$86,MATCH(B441,'vehicles specifications'!$A$3:$A$86,0),MATCH("Electric energy available [kWh]",'vehicles specifications'!$B$2:$CK$2,0))</f>
        <v>1.7600000000000002</v>
      </c>
    </row>
    <row r="456" spans="1:8" x14ac:dyDescent="0.3">
      <c r="A456" t="s">
        <v>143</v>
      </c>
      <c r="B456">
        <f>INDEX('vehicles specifications'!$B$3:$CK$86,MATCH(B441,'vehicles specifications'!$A$3:$A$86,0),MATCH("Oxydation energy stored [kWh]",'vehicles specifications'!$B$2:$CK$2,0))</f>
        <v>0</v>
      </c>
    </row>
    <row r="457" spans="1:8" x14ac:dyDescent="0.3">
      <c r="A457" t="s">
        <v>145</v>
      </c>
      <c r="B457">
        <f>INDEX('vehicles specifications'!$B$3:$CK$86,MATCH(B441,'vehicles specifications'!$A$3:$A$86,0),MATCH("Fuel mass [kg]",'vehicles specifications'!$B$2:$CK$2,0))</f>
        <v>0</v>
      </c>
    </row>
    <row r="458" spans="1:8" x14ac:dyDescent="0.3">
      <c r="A458" t="s">
        <v>141</v>
      </c>
      <c r="B458" s="2">
        <f>INDEX('vehicles specifications'!$B$3:$CK$86,MATCH(B441,'vehicles specifications'!$A$3:$A$86,0),MATCH("Range [km]",'vehicles specifications'!$B$2:$CK$2,0))</f>
        <v>139.83994946304489</v>
      </c>
    </row>
    <row r="459" spans="1:8" x14ac:dyDescent="0.3">
      <c r="A459" t="s">
        <v>142</v>
      </c>
      <c r="B459" t="str">
        <f>INDEX('vehicles specifications'!$B$3:$CK$86,MATCH(B441,'vehicles specifications'!$A$3:$A$86,0),MATCH("Emission standard",'vehicles specifications'!$B$2:$CK$2,0))</f>
        <v>None</v>
      </c>
    </row>
    <row r="460" spans="1:8" x14ac:dyDescent="0.3">
      <c r="A460" t="s">
        <v>144</v>
      </c>
      <c r="B460" s="6">
        <f>INDEX('vehicles specifications'!$B$3:$CK$86,MATCH(B441,'vehicles specifications'!$A$3:$A$86,0),MATCH("Lightweighting rate [%]",'vehicles specifications'!$B$2:$CK$2,0))</f>
        <v>7.0000000000000007E-2</v>
      </c>
    </row>
    <row r="461" spans="1:8" x14ac:dyDescent="0.3">
      <c r="A461" t="s">
        <v>84</v>
      </c>
      <c r="B461" s="21" t="str">
        <f>"Power: "&amp;B452&amp;" kW. Lifetime: "&amp;B446&amp;" km. Annual kilometers: "&amp;B450&amp;" km. Number of passengers: "&amp;B447&amp;". Curb mass: "&amp;ROUND(B451,1)&amp;" kg. Lightweighting of glider: "&amp;ROUND(B460*100,0)&amp;"%. Emission standard: "&amp;B459&amp;". Service visits throughout lifetime: "&amp;ROUND(B448,1)&amp;". Range: "&amp;ROUND(B458,0)&amp;" km. Battery capacity: "&amp;ROUND(B454,1)&amp;" kWh. Available battery capacity: "&amp;B455&amp;" kWh. Battery mass: "&amp;ROUND(B453,1)&amp; " kg. Battery replacement throughout lifetime: "&amp;ROUND(B449,1)&amp;". Fuel tank capacity: "&amp;ROUND(B456,1)&amp;" kWh. Fuel mass: "&amp;ROUND(B457,1)&amp;" kg. Documentation: "&amp;Readmefirst!$B$2&amp;", "&amp;Readmefirst!$B$3&amp;". "&amp;B445</f>
        <v>Power: 0.5 kW. Lifetime: 30000 km. Annual kilometers: 3000 km. Number of passengers: 1. Curb mass: 28 kg. Lightweighting of glider: 7%. Emission standard: None. Service visits throughout lifetime: 7.5. Range: 140 km. Battery capacity: 2.2 kWh. Available battery capacity: 1.76 kWh. Battery mass: 5.7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62" spans="1:8" ht="15.6" x14ac:dyDescent="0.3">
      <c r="A462" s="11" t="s">
        <v>80</v>
      </c>
    </row>
    <row r="463" spans="1:8" x14ac:dyDescent="0.3">
      <c r="A463" t="s">
        <v>81</v>
      </c>
      <c r="B463" t="s">
        <v>82</v>
      </c>
      <c r="C463" t="s">
        <v>73</v>
      </c>
      <c r="D463" t="s">
        <v>77</v>
      </c>
      <c r="E463" t="s">
        <v>83</v>
      </c>
      <c r="F463" t="s">
        <v>75</v>
      </c>
      <c r="G463" t="s">
        <v>84</v>
      </c>
      <c r="H463" t="s">
        <v>74</v>
      </c>
    </row>
    <row r="464" spans="1:8" x14ac:dyDescent="0.3">
      <c r="A464" s="12" t="str">
        <f>B436</f>
        <v>transport, Bicycle, electric (&lt;45 km/h), 2050, label-certified electricity</v>
      </c>
      <c r="B464" s="12">
        <v>1</v>
      </c>
      <c r="C464" s="12" t="str">
        <f>B437</f>
        <v>CH</v>
      </c>
      <c r="D464" s="12" t="s">
        <v>172</v>
      </c>
      <c r="E464" s="12"/>
      <c r="F464" s="12" t="s">
        <v>85</v>
      </c>
      <c r="G464" s="12" t="s">
        <v>86</v>
      </c>
      <c r="H464" s="12" t="str">
        <f>B442</f>
        <v>transport, Bicycle, electric (&lt;45 km/h)</v>
      </c>
    </row>
    <row r="465" spans="1:8" x14ac:dyDescent="0.3">
      <c r="A465" s="12" t="str">
        <f>B438&amp;", "&amp;B440</f>
        <v>Bicycle, electric (&lt;45 km/h), 2050</v>
      </c>
      <c r="B465" s="12">
        <f>1/B446</f>
        <v>3.3333333333333335E-5</v>
      </c>
      <c r="C465" s="12" t="str">
        <f>B437</f>
        <v>CH</v>
      </c>
      <c r="D465" s="12" t="s">
        <v>77</v>
      </c>
      <c r="E465" s="12"/>
      <c r="F465" s="12" t="s">
        <v>91</v>
      </c>
      <c r="G465" s="12"/>
      <c r="H465" s="12" t="str">
        <f>RIGHT(H464,LEN(H464)-11)</f>
        <v>Bicycle, electric (&lt;45 km/h)</v>
      </c>
    </row>
    <row r="466" spans="1:8" s="21" customFormat="1" x14ac:dyDescent="0.3">
      <c r="A466" s="12" t="str">
        <f>INDEX('ei names mapping'!$B$4:$R$33,MATCH(B438,'ei names mapping'!$A$4:$A$33,0),MATCH(G466,'ei names mapping'!$B$3:$R$3,0))</f>
        <v>road construction</v>
      </c>
      <c r="B466" s="16">
        <f>INDEX('vehicles specifications'!$B$3:$CK$86,MATCH(B441,'vehicles specifications'!$A$3:$A$86,0),MATCH(G466,'vehicles specifications'!$B$2:$CK$2,0))*INDEX('ei names mapping'!$B$137:$BK$220,MATCH(B441,'ei names mapping'!$A$137:$A$220,0),MATCH(G466,'ei names mapping'!$B$136:$BK$136,0))</f>
        <v>5.3157629999999996E-5</v>
      </c>
      <c r="C466" s="12" t="str">
        <f>INDEX('ei names mapping'!$B$38:$R$67,MATCH(B438,'ei names mapping'!$A$4:$A$33,0),MATCH(G466,'ei names mapping'!$B$3:$R$3,0))</f>
        <v>CH</v>
      </c>
      <c r="D466" s="12" t="str">
        <f>INDEX('ei names mapping'!$B$104:$BK$133,MATCH(B438,'ei names mapping'!$A$4:$A$33,0),MATCH(G466,'ei names mapping'!$B$3:$BK$3,0))</f>
        <v>meter-year</v>
      </c>
      <c r="E466" s="12"/>
      <c r="F466" s="12" t="s">
        <v>91</v>
      </c>
      <c r="G466" s="21" t="s">
        <v>108</v>
      </c>
      <c r="H466" s="12" t="str">
        <f>INDEX('ei names mapping'!$B$71:$BK$100,MATCH(B438,'ei names mapping'!$A$4:$A$33,0),MATCH(G466,'ei names mapping'!$B$3:$BK$3,0))</f>
        <v>road</v>
      </c>
    </row>
    <row r="467" spans="1:8" x14ac:dyDescent="0.3">
      <c r="A467" s="12" t="s">
        <v>114</v>
      </c>
      <c r="B467" s="14">
        <f>INDEX('vehicles specifications'!$B$3:$CK$86,MATCH(B441,'vehicles specifications'!$A$3:$A$86,0),MATCH(G467,'vehicles specifications'!$B$2:$CK$2,0))*INDEX('ei names mapping'!$B$137:$BK$220,MATCH(B441,'ei names mapping'!$A$137:$A$220,0),MATCH(G467,'ei names mapping'!$B$136:$BK$136,0))</f>
        <v>1.3844398595922134E-2</v>
      </c>
      <c r="C467" s="12" t="str">
        <f>INDEX('ei names mapping'!$B$38:$R$67,MATCH($B$3,'ei names mapping'!$A$4:$A$33,0),MATCH(G467,'ei names mapping'!$B$3:$R$3,0))</f>
        <v>CH</v>
      </c>
      <c r="D467" s="12" t="str">
        <f>INDEX('ei names mapping'!$B$104:$R$133,MATCH($B$3,'ei names mapping'!$A$4:$A$33,0),MATCH(G467,'ei names mapping'!$B$3:$R$3,0))</f>
        <v>kilowatt hour</v>
      </c>
      <c r="E467" s="12"/>
      <c r="F467" s="12" t="s">
        <v>91</v>
      </c>
      <c r="G467" t="s">
        <v>28</v>
      </c>
      <c r="H467" s="12" t="s">
        <v>116</v>
      </c>
    </row>
    <row r="468" spans="1:8" x14ac:dyDescent="0.3">
      <c r="A468" s="12" t="str">
        <f>INDEX('ei names mapping'!$B$4:$R$33,MATCH($B$3,'ei names mapping'!$A$4:$A$33,0),MATCH(G468,'ei names mapping'!$B$3:$R$3,0))</f>
        <v>maintenance, electric bicycle, without battery</v>
      </c>
      <c r="B468" s="14">
        <f>INDEX('vehicles specifications'!$B$3:$CK$86,MATCH(B441,'vehicles specifications'!$A$3:$A$86,0),MATCH(G468,'vehicles specifications'!$B$2:$CK$2,0))*INDEX('ei names mapping'!$B$137:$BK$220,MATCH(B441,'ei names mapping'!$A$137:$A$220,0),MATCH(G468,'ei names mapping'!$B$136:$BK$136,0))</f>
        <v>2.5000000000000001E-4</v>
      </c>
      <c r="C468" s="12" t="str">
        <f>INDEX('ei names mapping'!$B$38:$R$67,MATCH($B$3,'ei names mapping'!$A$4:$A$33,0),MATCH(G468,'ei names mapping'!$B$3:$R$3,0))</f>
        <v>CH</v>
      </c>
      <c r="D468" s="12" t="str">
        <f>INDEX('ei names mapping'!$B$104:$R$133,MATCH($B$3,'ei names mapping'!$A$4:$A$33,0),MATCH(G468,'ei names mapping'!$B$3:$R$3,0))</f>
        <v>unit</v>
      </c>
      <c r="E468" s="12"/>
      <c r="F468" s="12" t="s">
        <v>91</v>
      </c>
      <c r="G468" t="s">
        <v>123</v>
      </c>
      <c r="H468" s="12" t="str">
        <f>INDEX('ei names mapping'!$B$71:$R$100,MATCH($B$3,'ei names mapping'!$A$4:$A$33,0),MATCH(G468,'ei names mapping'!$B$3:$R$3,0))</f>
        <v>maintenance, electric bicycle, without battery</v>
      </c>
    </row>
    <row r="469" spans="1:8" x14ac:dyDescent="0.3">
      <c r="A469" s="12" t="str">
        <f>INDEX('ei names mapping'!$B$4:$BK$33,MATCH($B$179,'ei names mapping'!$A$4:$A$33,0),MATCH(G469,'ei names mapping'!$B$3:$BK$3,0))</f>
        <v>treatment of road wear emissions, passenger car</v>
      </c>
      <c r="B469" s="15">
        <f>INDEX('vehicles specifications'!$B$3:$CK$86,MATCH(B441,'vehicles specifications'!$A$3:$A$86,0),MATCH(G469,'vehicles specifications'!$B$2:$CK$2,0))*INDEX('ei names mapping'!$B$137:$BK$220,MATCH(B441,'ei names mapping'!$A$137:$A$220,0),MATCH(G469,'ei names mapping'!$B$136:$BK$136,0))</f>
        <v>-3.0000000000000001E-6</v>
      </c>
      <c r="C469" s="12" t="str">
        <f>INDEX('ei names mapping'!$B$38:$BK$67,MATCH($B$179,'ei names mapping'!$A$4:$A$33,0),MATCH(G469,'ei names mapping'!$B$3:$BK$3,0))</f>
        <v>RER</v>
      </c>
      <c r="D469" s="12" t="str">
        <f>INDEX('ei names mapping'!$B$104:$BK$133,MATCH($B$179,'ei names mapping'!$A$4:$A$33,0),MATCH(G469,'ei names mapping'!$B$3:$BK$3,0))</f>
        <v>kilogram</v>
      </c>
      <c r="E469" s="12"/>
      <c r="F469" s="12" t="s">
        <v>91</v>
      </c>
      <c r="G469" t="s">
        <v>29</v>
      </c>
      <c r="H469" s="12" t="str">
        <f>INDEX('ei names mapping'!$B$71:$BK$100,MATCH(B438,'ei names mapping'!$A$4:$A$33,0),MATCH(G469,'ei names mapping'!$B$3:$BK$3,0))</f>
        <v>road wear emissions, passenger car</v>
      </c>
    </row>
    <row r="470" spans="1:8" x14ac:dyDescent="0.3">
      <c r="A470" s="12" t="str">
        <f>INDEX('ei names mapping'!$B$4:$BK$33,MATCH($B$179,'ei names mapping'!$A$4:$A$33,0),MATCH(G470,'ei names mapping'!$B$3:$BK$3,0))</f>
        <v>treatment of tyre wear emissions, passenger car</v>
      </c>
      <c r="B470" s="15">
        <f>INDEX('vehicles specifications'!$B$3:$CK$86,MATCH(B441,'vehicles specifications'!$A$3:$A$86,0),MATCH(G470,'vehicles specifications'!$B$2:$CK$2,0))*INDEX('ei names mapping'!$B$137:$BK$220,MATCH(B441,'ei names mapping'!$A$137:$A$220,0),MATCH(G470,'ei names mapping'!$B$136:$BK$136,0))</f>
        <v>-2.9189999999999999E-6</v>
      </c>
      <c r="C470" s="12" t="str">
        <f>INDEX('ei names mapping'!$B$38:$BK$67,MATCH($B$179,'ei names mapping'!$A$4:$A$33,0),MATCH(G470,'ei names mapping'!$B$3:$BK$3,0))</f>
        <v>RER</v>
      </c>
      <c r="D470" s="12" t="str">
        <f>INDEX('ei names mapping'!$B$104:$BK$133,MATCH($B$179,'ei names mapping'!$A$4:$A$33,0),MATCH(G470,'ei names mapping'!$B$3:$BK$3,0))</f>
        <v>kilogram</v>
      </c>
      <c r="E470" s="12"/>
      <c r="F470" s="12" t="s">
        <v>91</v>
      </c>
      <c r="G470" t="s">
        <v>30</v>
      </c>
      <c r="H470" s="12" t="str">
        <f>INDEX('ei names mapping'!$B$71:$BK$100,MATCH($B$179,'ei names mapping'!$A$4:$A$33,0),MATCH(G470,'ei names mapping'!$B$3:$BK$3,0))</f>
        <v>tyre wear emissions, passenger car</v>
      </c>
    </row>
    <row r="471" spans="1:8" x14ac:dyDescent="0.3">
      <c r="A471" s="12" t="str">
        <f>INDEX('ei names mapping'!$B$4:$BK$33,MATCH($B$179,'ei names mapping'!$A$4:$A$33,0),MATCH(G471,'ei names mapping'!$B$3:$BK$3,0))</f>
        <v>treatment of brake wear emissions, passenger car</v>
      </c>
      <c r="B471" s="15">
        <f>INDEX('vehicles specifications'!$B$3:$CK$86,MATCH(B441,'vehicles specifications'!$A$3:$A$86,0),MATCH(G471,'vehicles specifications'!$B$2:$CK$2,0))*INDEX('ei names mapping'!$B$137:$BK$220,MATCH(B441,'ei names mapping'!$A$137:$A$220,0),MATCH(G471,'ei names mapping'!$B$136:$BK$136,0))</f>
        <v>-1.8370000000000002E-6</v>
      </c>
      <c r="C471" s="12" t="str">
        <f>INDEX('ei names mapping'!$B$38:$BK$67,MATCH($B$179,'ei names mapping'!$A$4:$A$33,0),MATCH(G471,'ei names mapping'!$B$3:$BK$3,0))</f>
        <v>RER</v>
      </c>
      <c r="D471" s="12" t="str">
        <f>INDEX('ei names mapping'!$B$104:$BK$133,MATCH($B$179,'ei names mapping'!$A$4:$A$33,0),MATCH(G471,'ei names mapping'!$B$3:$BK$3,0))</f>
        <v>kilogram</v>
      </c>
      <c r="E471" s="12"/>
      <c r="F471" s="12" t="s">
        <v>91</v>
      </c>
      <c r="G471" t="s">
        <v>31</v>
      </c>
      <c r="H471" s="12" t="str">
        <f>INDEX('ei names mapping'!$B$71:$BK$100,MATCH($B$179,'ei names mapping'!$A$4:$A$33,0),MATCH(G471,'ei names mapping'!$B$3:$BK$3,0))</f>
        <v>brake wear emissions, passenger car</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1"/>
  <sheetViews>
    <sheetView topLeftCell="A454" workbookViewId="0">
      <selection activeCell="F465" sqref="F465"/>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Bicycle, electric, cargo bike, 2020</v>
      </c>
    </row>
    <row r="2" spans="1:2" x14ac:dyDescent="0.3">
      <c r="A2" t="s">
        <v>73</v>
      </c>
      <c r="B2" t="s">
        <v>37</v>
      </c>
    </row>
    <row r="3" spans="1:2" x14ac:dyDescent="0.3">
      <c r="A3" t="s">
        <v>87</v>
      </c>
      <c r="B3" t="s">
        <v>524</v>
      </c>
    </row>
    <row r="4" spans="1:2" x14ac:dyDescent="0.3">
      <c r="A4" t="s">
        <v>88</v>
      </c>
      <c r="B4" s="12"/>
    </row>
    <row r="5" spans="1:2" x14ac:dyDescent="0.3">
      <c r="A5" t="s">
        <v>89</v>
      </c>
      <c r="B5" s="12">
        <v>2020</v>
      </c>
    </row>
    <row r="6" spans="1:2" x14ac:dyDescent="0.3">
      <c r="A6" t="s">
        <v>131</v>
      </c>
      <c r="B6" s="12" t="str">
        <f>B3&amp;" - "&amp;B5&amp;" - "&amp;B2</f>
        <v>Bicycle, electric, cargo bike - 2020 - CH</v>
      </c>
    </row>
    <row r="7" spans="1:2" x14ac:dyDescent="0.3">
      <c r="A7" t="s">
        <v>74</v>
      </c>
      <c r="B7" t="str">
        <f>B3</f>
        <v>Bicycle, electric, cargo bike</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20000</v>
      </c>
    </row>
    <row r="12" spans="1:2" x14ac:dyDescent="0.3">
      <c r="A12" t="s">
        <v>133</v>
      </c>
      <c r="B12">
        <f>INDEX('vehicles specifications'!$B$3:$CK$86,MATCH(B6,'vehicles specifications'!$A$3:$A$86,0),MATCH("Passengers [unit]",'vehicles specifications'!$B$2:$CK$2,0))</f>
        <v>1</v>
      </c>
    </row>
    <row r="13" spans="1:2" x14ac:dyDescent="0.3">
      <c r="A13" t="s">
        <v>134</v>
      </c>
      <c r="B13">
        <f>INDEX('vehicles specifications'!$B$3:$CK$86,MATCH(B6,'vehicles specifications'!$A$3:$A$86,0),MATCH("Servicing [unit]",'vehicles specifications'!$B$2:$CK$2,0))</f>
        <v>5</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2060</v>
      </c>
    </row>
    <row r="16" spans="1:2" x14ac:dyDescent="0.3">
      <c r="A16" t="s">
        <v>137</v>
      </c>
      <c r="B16">
        <f>INDEX('vehicles specifications'!$B$3:$CK$86,MATCH(B6,'vehicles specifications'!$A$3:$A$86,0),MATCH("Curb mass [kg]",'vehicles specifications'!$B$2:$CK$2,0))</f>
        <v>36.9</v>
      </c>
    </row>
    <row r="17" spans="1:8" x14ac:dyDescent="0.3">
      <c r="A17" t="s">
        <v>138</v>
      </c>
      <c r="B17">
        <f>INDEX('vehicles specifications'!$B$3:$CK$86,MATCH(B6,'vehicles specifications'!$A$3:$A$86,0),MATCH("Power [kW]",'vehicles specifications'!$B$2:$CK$2,0))</f>
        <v>0.5</v>
      </c>
    </row>
    <row r="18" spans="1:8" x14ac:dyDescent="0.3">
      <c r="A18" t="s">
        <v>139</v>
      </c>
      <c r="B18">
        <f>INDEX('vehicles specifications'!$B$3:$CK$86,MATCH(B6,'vehicles specifications'!$A$3:$A$86,0),MATCH("Energy battery mass [kg]",'vehicles specifications'!$B$2:$CK$2,0))</f>
        <v>3.8999999999999995</v>
      </c>
    </row>
    <row r="19" spans="1:8" x14ac:dyDescent="0.3">
      <c r="A19" t="s">
        <v>140</v>
      </c>
      <c r="B19">
        <f>INDEX('vehicles specifications'!$B$3:$CK$86,MATCH(B6,'vehicles specifications'!$A$3:$A$86,0),MATCH("Electric energy stored [kWh]",'vehicles specifications'!$B$2:$CK$2,0))</f>
        <v>0.6</v>
      </c>
    </row>
    <row r="20" spans="1:8" s="21" customFormat="1" x14ac:dyDescent="0.3">
      <c r="A20" s="21" t="s">
        <v>654</v>
      </c>
      <c r="B20" s="21">
        <f>INDEX('vehicles specifications'!$B$3:$CK$86,MATCH(B6,'vehicles specifications'!$A$3:$A$86,0),MATCH("Electric energy available [kWh]",'vehicles specifications'!$B$2:$CK$2,0))</f>
        <v>0.48</v>
      </c>
    </row>
    <row r="21" spans="1:8" x14ac:dyDescent="0.3">
      <c r="A21" t="s">
        <v>143</v>
      </c>
      <c r="B21">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49.786329113924047</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s="21" customFormat="1" x14ac:dyDescent="0.3">
      <c r="A29" s="21"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0.5 kW. Lifetime: 20000 km. Annual kilometers: 2060 km. Number of passengers: 1. Curb mass: 36.9 kg. Lightweighting of glider: 0%. Emission standard: None. Service visits throughout lifetime: 5. Range: 50 km. Battery capacity: 0.6 kWh. Available battery capacity: 0.48 kWh. Battery mass: 3.9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Bicycle, electric, cargo bike, 2020</v>
      </c>
      <c r="B32" s="12">
        <v>1</v>
      </c>
      <c r="C32" s="12" t="str">
        <f>B2</f>
        <v>CH</v>
      </c>
      <c r="D32" s="12" t="str">
        <f>B9</f>
        <v>unit</v>
      </c>
      <c r="E32" s="12"/>
      <c r="F32" s="12" t="s">
        <v>85</v>
      </c>
      <c r="G32" s="12" t="s">
        <v>86</v>
      </c>
      <c r="H32" s="12" t="str">
        <f>B3</f>
        <v>Bicycle, electric, cargo bike</v>
      </c>
    </row>
    <row r="33" spans="1:8" x14ac:dyDescent="0.3">
      <c r="A33" s="12" t="str">
        <f>INDEX('ei names mapping'!$B$4:$R$33,MATCH($B$3,'ei names mapping'!$A$4:$A$33,0),MATCH(G33,'ei names mapping'!$B$3:$R$3,0))</f>
        <v>electric bicycle production, without battery and motor</v>
      </c>
      <c r="B33" s="14">
        <f>INDEX('vehicles specifications'!$B$3:$CK$86,MATCH(B6,'vehicles specifications'!$A$3:$A$86,0),MATCH(G33,'vehicles specifications'!$B$2:$CK$2,0))*INDEX('ei names mapping'!$B$137:$BK$220,MATCH(B6,'ei names mapping'!$A$137:$A$220,0),MATCH(G33,'ei names mapping'!$B$136:$BK$136,0))</f>
        <v>1.6470588235294117</v>
      </c>
      <c r="C33" s="12" t="str">
        <f>INDEX('ei names mapping'!$B$38:$R$67,MATCH($B$3,'ei names mapping'!$A$4:$A$33,0),MATCH(G33,'ei names mapping'!$B$3:$R$3,0))</f>
        <v>RER</v>
      </c>
      <c r="D33" s="12" t="str">
        <f>INDEX('ei names mapping'!$B$104:$R$133,MATCH(B3,'ei names mapping'!$A$104:$A$133,0),MATCH(G33,'ei names mapping'!$B$3:$R$3,0))</f>
        <v>unit</v>
      </c>
      <c r="E33" s="12"/>
      <c r="F33" s="12" t="s">
        <v>91</v>
      </c>
      <c r="G33" s="21" t="s">
        <v>15</v>
      </c>
      <c r="H33" s="12" t="str">
        <f>INDEX('ei names mapping'!$B$71:$R$100,MATCH($B$3,'ei names mapping'!$A$4:$A$33,0),MATCH(G33,'ei names mapping'!$B$3:$R$3,0))</f>
        <v>electric bicycle, without battery and motor</v>
      </c>
    </row>
    <row r="34" spans="1:8" x14ac:dyDescent="0.3">
      <c r="A34" s="12" t="str">
        <f>INDEX('ei names mapping'!$B$4:$R$33,MATCH($B$3,'ei names mapping'!$A$4:$A$33,0),MATCH(G34,'ei names mapping'!$B$3:$R$3,0))</f>
        <v>market for electric motor, vehicle</v>
      </c>
      <c r="B34" s="14">
        <f>INDEX('vehicles specifications'!$B$3:$CK$86,MATCH(B6,'vehicles specifications'!$A$3:$A$86,0),MATCH(G34,'vehicles specifications'!$B$2:$CK$2,0))*INDEX('ei names mapping'!$B$137:$BK$220,MATCH(B6,'ei names mapping'!$A$137:$A$220,0),MATCH(G34,'ei names mapping'!$B$136:$BK$136,0))</f>
        <v>5</v>
      </c>
      <c r="C34" s="12" t="str">
        <f>INDEX('ei names mapping'!$B$38:$R$67,MATCH($B$3,'ei names mapping'!$A$4:$A$33,0),MATCH(G34,'ei names mapping'!$B$3:$R$3,0))</f>
        <v>GLO</v>
      </c>
      <c r="D34" s="12" t="str">
        <f>INDEX('ei names mapping'!$B$104:$R$133,MATCH(B3,'ei names mapping'!$A$104:$A$133,0),MATCH(G34,'ei names mapping'!$B$3:$R$3,0))</f>
        <v>kilogram</v>
      </c>
      <c r="E34" s="12"/>
      <c r="F34" s="12" t="s">
        <v>91</v>
      </c>
      <c r="G34" t="s">
        <v>557</v>
      </c>
      <c r="H34" s="12" t="str">
        <f>INDEX('ei names mapping'!$B$71:$R$100,MATCH($B$3,'ei names mapping'!$A$4:$A$33,0),MATCH(G34,'ei names mapping'!$B$3:$R$3,0))</f>
        <v>electric motor, vehicle</v>
      </c>
    </row>
    <row r="35" spans="1:8" s="21" customFormat="1" x14ac:dyDescent="0.3">
      <c r="A35" s="12" t="str">
        <f>INDEX('ei names mapping'!$B$4:$R$33,MATCH(B3,'ei names mapping'!$A$4:$A$33,0),MATCH(G35,'ei names mapping'!$B$3:$R$3,0))</f>
        <v>glider lightweighting</v>
      </c>
      <c r="B35" s="16">
        <f>INDEX('vehicles specifications'!$B$3:$CK$86,MATCH(B6,'vehicles specifications'!$A$3:$A$86,0),MATCH(G35,'vehicles specifications'!$B$2:$CK$2,0))*INDEX('ei names mapping'!$B$137:$BK$220,MATCH(B6,'ei names mapping'!$A$137:$A$220,0),MATCH(G35,'ei names mapping'!$B$136:$BK$136,0))</f>
        <v>0</v>
      </c>
      <c r="C35" s="12" t="str">
        <f>INDEX('ei names mapping'!$B$38:$R$67,MATCH(B3,'ei names mapping'!$A$4:$A$33,0),MATCH(G35,'ei names mapping'!$B$3:$R$3,0))</f>
        <v>GLO</v>
      </c>
      <c r="D35" s="12" t="str">
        <f>INDEX('ei names mapping'!$B$104:$R$133,MATCH(B3,'ei names mapping'!$A$104:$A$133,0),MATCH(G35,'ei names mapping'!$B$3:$R$3,0))</f>
        <v>kilogram</v>
      </c>
      <c r="E35" s="12"/>
      <c r="F35" s="12" t="s">
        <v>91</v>
      </c>
      <c r="G35" s="21" t="s">
        <v>14</v>
      </c>
      <c r="H35" s="12" t="str">
        <f>INDEX('ei names mapping'!$B$71:$R$100,MATCH(B3,'ei names mapping'!$A$4:$A$33,0),MATCH(G35,'ei names mapping'!$B$3:$R$3,0))</f>
        <v>glider lightweighting</v>
      </c>
    </row>
    <row r="36" spans="1:8" x14ac:dyDescent="0.3">
      <c r="A36" s="12" t="str">
        <f>INDEX('ei names mapping'!$B$4:$R$33,MATCH($B$3,'ei names mapping'!$A$4:$A$33,0),MATCH(G36,'ei names mapping'!$B$3:$R$3,0))</f>
        <v>Battery cell, NMC</v>
      </c>
      <c r="B36" s="14">
        <f>INDEX('vehicles specifications'!$B$3:$CK$86,MATCH(B6,'vehicles specifications'!$A$3:$A$86,0),MATCH(G36,'vehicles specifications'!$B$2:$CK$2,0))*INDEX('ei names mapping'!$B$137:$BK$220,MATCH(B6,'ei names mapping'!$A$137:$A$220,0),MATCH(G36,'ei names mapping'!$B$136:$BK$136,0))</f>
        <v>5.9999999999999991</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19</v>
      </c>
      <c r="H36" s="12" t="str">
        <f>INDEX('ei names mapping'!$B$71:$R$100,MATCH($B$3,'ei names mapping'!$A$4:$A$33,0),MATCH(G36,'ei names mapping'!$B$3:$R$3,0))</f>
        <v>Battery cell</v>
      </c>
    </row>
    <row r="37" spans="1:8" x14ac:dyDescent="0.3">
      <c r="A37" s="12" t="str">
        <f>INDEX('ei names mapping'!$B$4:$R$33,MATCH($B$3,'ei names mapping'!$A$4:$A$33,0),MATCH(G37,'ei names mapping'!$B$3:$R$3,0))</f>
        <v>Battery BoP</v>
      </c>
      <c r="B37" s="14">
        <f>INDEX('vehicles specifications'!$B$3:$CK$86,MATCH(B6,'vehicles specifications'!$A$3:$A$86,0),MATCH(G37,'vehicles specifications'!$B$2:$CK$2,0))*INDEX('ei names mapping'!$B$137:$BK$220,MATCH(B6,'ei names mapping'!$A$137:$A$220,0),MATCH(G37,'ei names mapping'!$B$136:$BK$136,0))</f>
        <v>1.7999999999999996</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20</v>
      </c>
      <c r="H37" s="12" t="str">
        <f>INDEX('ei names mapping'!$B$71:$R$100,MATCH($B$3,'ei names mapping'!$A$4:$A$33,0),MATCH(G37,'ei names mapping'!$B$3:$R$3,0))</f>
        <v>Battery BoP</v>
      </c>
    </row>
    <row r="38" spans="1:8" x14ac:dyDescent="0.3">
      <c r="A38" s="12" t="str">
        <f>INDEX('ei names mapping'!$B$4:$R$33,MATCH($B$3,'ei names mapping'!$A$4:$A$33,0),MATCH(G38,'ei names mapping'!$B$3:$R$3,0))</f>
        <v>charging station, 500W</v>
      </c>
      <c r="B38" s="14">
        <f>INDEX('vehicles specifications'!$B$3:$CK$86,MATCH(B6,'vehicles specifications'!$A$3:$A$86,0),MATCH(G38,'vehicles specifications'!$B$2:$CK$2,0))*INDEX('ei names mapping'!$B$137:$BK$220,MATCH(B6,'ei names mapping'!$A$137:$A$220,0),MATCH(G38,'ei names mapping'!$B$136:$BK$136,0))</f>
        <v>1</v>
      </c>
      <c r="C38" s="12" t="str">
        <f>INDEX('ei names mapping'!$B$38:$R$67,MATCH($B$3,'ei names mapping'!$A$4:$A$33,0),MATCH(G38,'ei names mapping'!$B$3:$R$3,0))</f>
        <v>GLO</v>
      </c>
      <c r="D38" s="12" t="str">
        <f>INDEX('ei names mapping'!$B$104:$R$133,MATCH(B3,'ei names mapping'!$A$104:$A$133,0),MATCH(G38,'ei names mapping'!$B$3:$R$3,0))</f>
        <v>unit</v>
      </c>
      <c r="E38" s="12"/>
      <c r="F38" s="12" t="s">
        <v>91</v>
      </c>
      <c r="G38" t="s">
        <v>53</v>
      </c>
      <c r="H38" s="12" t="str">
        <f>INDEX('ei names mapping'!$B$71:$R$100,MATCH($B$3,'ei names mapping'!$A$4:$A$33,0),MATCH(G38,'ei names mapping'!$B$3:$R$3,0))</f>
        <v>charging station, 500W</v>
      </c>
    </row>
    <row r="39" spans="1:8" x14ac:dyDescent="0.3">
      <c r="A39" s="12" t="str">
        <f>INDEX('ei names mapping'!$B$4:$R$33,MATCH($B$3,'ei names mapping'!$A$4:$A$33,0),MATCH(G39,'ei names mapping'!$B$3:$R$3,0))</f>
        <v>treatment of used electric bicycle</v>
      </c>
      <c r="B39" s="14">
        <f>INDEX('vehicles specifications'!$B$3:$CK$86,MATCH(B6,'vehicles specifications'!$A$3:$A$86,0),MATCH(G39,'vehicles specifications'!$B$2:$CK$2,0))*INDEX('ei names mapping'!$B$137:$BK$220,MATCH(B6,'ei names mapping'!$A$137:$A$220,0),MATCH(G39,'ei names mapping'!$B$136:$BK$136,0))</f>
        <v>-1.1666666666666665</v>
      </c>
      <c r="C39" s="12" t="str">
        <f>INDEX('ei names mapping'!$B$38:$R$67,MATCH($B$3,'ei names mapping'!$A$4:$A$33,0),MATCH(G39,'ei names mapping'!$B$3:$R$3,0))</f>
        <v>CH</v>
      </c>
      <c r="D39" s="12" t="str">
        <f>INDEX('ei names mapping'!$B$104:$R$133,MATCH(B3,'ei names mapping'!$A$104:$A$133,0),MATCH(G39,'ei names mapping'!$B$3:$R$3,0))</f>
        <v>unit</v>
      </c>
      <c r="E39" s="12"/>
      <c r="F39" s="12" t="s">
        <v>91</v>
      </c>
      <c r="G39" t="s">
        <v>150</v>
      </c>
      <c r="H39" s="12" t="str">
        <f>INDEX('ei names mapping'!$B$71:$R$100,MATCH($B$3,'ei names mapping'!$A$4:$A$33,0),MATCH(G39,'ei names mapping'!$B$3:$R$3,0))</f>
        <v>used electric bicycle</v>
      </c>
    </row>
    <row r="40" spans="1:8" x14ac:dyDescent="0.3">
      <c r="A40" s="12" t="str">
        <f>INDEX('ei names mapping'!$B$4:$R$33,MATCH($B$3,'ei names mapping'!$A$4:$A$33,0),MATCH(G40,'ei names mapping'!$B$3:$R$3,0))</f>
        <v>treatment of used electric bicycle</v>
      </c>
      <c r="B40" s="14">
        <f>INDEX('vehicles specifications'!$B$3:$CK$86,MATCH(B6,'vehicles specifications'!$A$3:$A$86,0),MATCH(G40,'vehicles specifications'!$B$2:$CK$2,0))*INDEX('ei names mapping'!$B$137:$BK$220,MATCH(B6,'ei names mapping'!$A$137:$A$220,0),MATCH(G40,'ei names mapping'!$B$136:$BK$136,0))</f>
        <v>-0.20833333333333331</v>
      </c>
      <c r="C40" s="12" t="str">
        <f>INDEX('ei names mapping'!$B$38:$R$67,MATCH($B$3,'ei names mapping'!$A$4:$A$33,0),MATCH(G40,'ei names mapping'!$B$3:$R$3,0))</f>
        <v>CH</v>
      </c>
      <c r="D40" s="12" t="str">
        <f>INDEX('ei names mapping'!$B$104:$R$133,MATCH(B3,'ei names mapping'!$A$104:$A$133,0),MATCH(G40,'ei names mapping'!$B$3:$R$3,0))</f>
        <v>unit</v>
      </c>
      <c r="E40" s="12"/>
      <c r="F40" s="12" t="s">
        <v>91</v>
      </c>
      <c r="G40" t="s">
        <v>151</v>
      </c>
      <c r="H40" s="12" t="str">
        <f>INDEX('ei names mapping'!$B$71:$R$100,MATCH($B$3,'ei names mapping'!$A$4:$A$33,0),MATCH(G40,'ei names mapping'!$B$3:$R$3,0))</f>
        <v>used electric bicycle</v>
      </c>
    </row>
    <row r="41" spans="1:8" x14ac:dyDescent="0.3">
      <c r="A41" s="12" t="str">
        <f>INDEX('ei names mapping'!$B$4:$R$33,MATCH($B$3,'ei names mapping'!$A$4:$A$33,0),MATCH(G41,'ei names mapping'!$B$3:$R$3,0))</f>
        <v>market for used Li-ion battery</v>
      </c>
      <c r="B41" s="14">
        <f>INDEX('vehicles specifications'!$B$3:$CK$86,MATCH(B6,'vehicles specifications'!$A$3:$A$86,0),MATCH(G41,'vehicles specifications'!$B$2:$CK$2,0))*INDEX('ei names mapping'!$B$137:$BK$220,MATCH(B6,'ei names mapping'!$A$137:$A$220,0),MATCH(G41,'ei names mapping'!$B$136:$BK$136,0))</f>
        <v>-7.7999999999999989</v>
      </c>
      <c r="C41" s="12" t="str">
        <f>INDEX('ei names mapping'!$B$38:$R$67,MATCH($B$3,'ei names mapping'!$A$4:$A$33,0),MATCH(G41,'ei names mapping'!$B$3:$R$3,0))</f>
        <v>GLO</v>
      </c>
      <c r="D41" s="12" t="str">
        <f>INDEX('ei names mapping'!$B$104:$R$133,MATCH(B3,'ei names mapping'!$A$104:$A$133,0),MATCH(G41,'ei names mapping'!$B$3:$R$3,0))</f>
        <v>kilogram</v>
      </c>
      <c r="E41" s="12"/>
      <c r="F41" s="12" t="s">
        <v>91</v>
      </c>
      <c r="G41" t="s">
        <v>152</v>
      </c>
      <c r="H41" s="12" t="str">
        <f>INDEX('ei names mapping'!$B$71:$R$100,MATCH($B$3,'ei names mapping'!$A$4:$A$33,0),MATCH(G41,'ei names mapping'!$B$3:$R$3,0))</f>
        <v>used Li-ion battery</v>
      </c>
    </row>
    <row r="42" spans="1:8" s="21" customFormat="1" x14ac:dyDescent="0.3">
      <c r="A42" s="22" t="s">
        <v>468</v>
      </c>
      <c r="B42" s="21">
        <f>(B16/1000)*B28</f>
        <v>36.9</v>
      </c>
      <c r="C42" s="21" t="s">
        <v>94</v>
      </c>
      <c r="D42" s="21" t="s">
        <v>243</v>
      </c>
      <c r="F42" s="21" t="s">
        <v>91</v>
      </c>
      <c r="H42" s="22" t="s">
        <v>469</v>
      </c>
    </row>
    <row r="43" spans="1:8" s="21" customFormat="1" x14ac:dyDescent="0.3">
      <c r="A43" s="22" t="s">
        <v>467</v>
      </c>
      <c r="B43" s="2">
        <f>(B16/1000)*B27</f>
        <v>586.70999999999992</v>
      </c>
      <c r="C43" s="21" t="s">
        <v>98</v>
      </c>
      <c r="D43" s="21" t="s">
        <v>243</v>
      </c>
      <c r="F43" s="21" t="s">
        <v>91</v>
      </c>
      <c r="H43" s="22" t="s">
        <v>467</v>
      </c>
    </row>
    <row r="44" spans="1:8" x14ac:dyDescent="0.3">
      <c r="A44" s="12"/>
      <c r="B44" s="16"/>
      <c r="C44" s="12"/>
      <c r="D44" s="12"/>
      <c r="E44" s="12"/>
      <c r="F44" s="12"/>
      <c r="H44" s="12"/>
    </row>
    <row r="45" spans="1:8" ht="15.6" x14ac:dyDescent="0.3">
      <c r="A45" s="11" t="s">
        <v>72</v>
      </c>
      <c r="B45" s="9" t="str">
        <f>B47&amp;", "&amp;B49</f>
        <v>Bicycle, electric, cargo bike, 2030</v>
      </c>
    </row>
    <row r="46" spans="1:8" x14ac:dyDescent="0.3">
      <c r="A46" t="s">
        <v>73</v>
      </c>
      <c r="B46" t="s">
        <v>37</v>
      </c>
    </row>
    <row r="47" spans="1:8" x14ac:dyDescent="0.3">
      <c r="A47" t="s">
        <v>87</v>
      </c>
      <c r="B47" s="21" t="s">
        <v>524</v>
      </c>
    </row>
    <row r="48" spans="1:8" x14ac:dyDescent="0.3">
      <c r="A48" t="s">
        <v>88</v>
      </c>
      <c r="B48" s="12"/>
    </row>
    <row r="49" spans="1:2" x14ac:dyDescent="0.3">
      <c r="A49" t="s">
        <v>89</v>
      </c>
      <c r="B49" s="12">
        <v>2030</v>
      </c>
    </row>
    <row r="50" spans="1:2" x14ac:dyDescent="0.3">
      <c r="A50" t="s">
        <v>131</v>
      </c>
      <c r="B50" s="12" t="str">
        <f>B47&amp;" - "&amp;B49&amp;" - "&amp;B46</f>
        <v>Bicycle, electric, cargo bike - 2030 - CH</v>
      </c>
    </row>
    <row r="51" spans="1:2" x14ac:dyDescent="0.3">
      <c r="A51" t="s">
        <v>74</v>
      </c>
      <c r="B51" t="str">
        <f>B47</f>
        <v>Bicycle, electric, cargo bike</v>
      </c>
    </row>
    <row r="52" spans="1:2" x14ac:dyDescent="0.3">
      <c r="A52" t="s">
        <v>75</v>
      </c>
      <c r="B52" t="s">
        <v>76</v>
      </c>
    </row>
    <row r="53" spans="1:2" x14ac:dyDescent="0.3">
      <c r="A53" t="s">
        <v>77</v>
      </c>
      <c r="B53" t="s">
        <v>77</v>
      </c>
    </row>
    <row r="54" spans="1:2" x14ac:dyDescent="0.3">
      <c r="A54" t="s">
        <v>79</v>
      </c>
      <c r="B54" t="s">
        <v>90</v>
      </c>
    </row>
    <row r="55" spans="1:2" x14ac:dyDescent="0.3">
      <c r="A55" t="s">
        <v>132</v>
      </c>
      <c r="B55">
        <f>INDEX('vehicles specifications'!$B$3:$CK$86,MATCH(B50,'vehicles specifications'!$A$3:$A$86,0),MATCH("Lifetime [km]",'vehicles specifications'!$B$2:$CK$2,0))</f>
        <v>20000</v>
      </c>
    </row>
    <row r="56" spans="1:2" x14ac:dyDescent="0.3">
      <c r="A56" t="s">
        <v>133</v>
      </c>
      <c r="B56">
        <f>INDEX('vehicles specifications'!$B$3:$CK$86,MATCH(B50,'vehicles specifications'!$A$3:$A$86,0),MATCH("Passengers [unit]",'vehicles specifications'!$B$2:$CK$2,0))</f>
        <v>1</v>
      </c>
    </row>
    <row r="57" spans="1:2" x14ac:dyDescent="0.3">
      <c r="A57" t="s">
        <v>134</v>
      </c>
      <c r="B57">
        <f>INDEX('vehicles specifications'!$B$3:$CK$86,MATCH(B50,'vehicles specifications'!$A$3:$A$86,0),MATCH("Servicing [unit]",'vehicles specifications'!$B$2:$CK$2,0))</f>
        <v>5</v>
      </c>
    </row>
    <row r="58" spans="1:2" x14ac:dyDescent="0.3">
      <c r="A58" t="s">
        <v>135</v>
      </c>
      <c r="B58">
        <f>INDEX('vehicles specifications'!$B$3:$CK$86,MATCH(B50,'vehicles specifications'!$A$3:$A$86,0),MATCH("Energy battery replacement [unit]",'vehicles specifications'!$B$2:$CK$2,0))</f>
        <v>0.5</v>
      </c>
    </row>
    <row r="59" spans="1:2" x14ac:dyDescent="0.3">
      <c r="A59" t="s">
        <v>136</v>
      </c>
      <c r="B59">
        <f>INDEX('vehicles specifications'!$B$3:$CK$86,MATCH(B50,'vehicles specifications'!$A$3:$A$86,0),MATCH("Annual kilometers [km]",'vehicles specifications'!$B$2:$CK$2,0))</f>
        <v>2060</v>
      </c>
    </row>
    <row r="60" spans="1:2" x14ac:dyDescent="0.3">
      <c r="A60" t="s">
        <v>137</v>
      </c>
      <c r="B60">
        <f>INDEX('vehicles specifications'!$B$3:$CK$86,MATCH(B50,'vehicles specifications'!$A$3:$A$86,0),MATCH("Curb mass [kg]",'vehicles specifications'!$B$2:$CK$2,0))</f>
        <v>37.260000000000005</v>
      </c>
    </row>
    <row r="61" spans="1:2" x14ac:dyDescent="0.3">
      <c r="A61" t="s">
        <v>138</v>
      </c>
      <c r="B61">
        <f>INDEX('vehicles specifications'!$B$3:$CK$86,MATCH(B50,'vehicles specifications'!$A$3:$A$86,0),MATCH("Power [kW]",'vehicles specifications'!$B$2:$CK$2,0))</f>
        <v>0.5</v>
      </c>
    </row>
    <row r="62" spans="1:2" x14ac:dyDescent="0.3">
      <c r="A62" t="s">
        <v>139</v>
      </c>
      <c r="B62">
        <f>INDEX('vehicles specifications'!$B$3:$CK$86,MATCH(B50,'vehicles specifications'!$A$3:$A$86,0),MATCH("Energy battery mass [kg]",'vehicles specifications'!$B$2:$CK$2,0))</f>
        <v>5.2</v>
      </c>
    </row>
    <row r="63" spans="1:2" x14ac:dyDescent="0.3">
      <c r="A63" t="s">
        <v>140</v>
      </c>
      <c r="B63">
        <f>INDEX('vehicles specifications'!$B$3:$CK$86,MATCH(B50,'vehicles specifications'!$A$3:$A$86,0),MATCH("Electric energy stored [kWh]",'vehicles specifications'!$B$2:$CK$2,0))</f>
        <v>1.2</v>
      </c>
    </row>
    <row r="64" spans="1:2" s="21" customFormat="1" x14ac:dyDescent="0.3">
      <c r="A64" s="21" t="s">
        <v>654</v>
      </c>
      <c r="B64" s="21">
        <f>INDEX('vehicles specifications'!$B$3:$CK$86,MATCH(B50,'vehicles specifications'!$A$3:$A$86,0),MATCH("Electric energy available [kWh]",'vehicles specifications'!$B$2:$CK$2,0))</f>
        <v>0.96</v>
      </c>
    </row>
    <row r="65" spans="1:8" x14ac:dyDescent="0.3">
      <c r="A65" t="s">
        <v>143</v>
      </c>
      <c r="B65">
        <f>INDEX('vehicles specifications'!$B$3:$CK$86,MATCH(B50,'vehicles specifications'!$A$3:$A$86,0),MATCH("Oxydation energy stored [kWh]",'vehicles specifications'!$B$2:$CK$2,0))</f>
        <v>0</v>
      </c>
    </row>
    <row r="66" spans="1:8" x14ac:dyDescent="0.3">
      <c r="A66" t="s">
        <v>145</v>
      </c>
      <c r="B66">
        <f>INDEX('vehicles specifications'!$B$3:$CK$86,MATCH(B50,'vehicles specifications'!$A$3:$A$86,0),MATCH("Fuel mass [kg]",'vehicles specifications'!$B$2:$CK$2,0))</f>
        <v>0</v>
      </c>
    </row>
    <row r="67" spans="1:8" x14ac:dyDescent="0.3">
      <c r="A67" t="s">
        <v>141</v>
      </c>
      <c r="B67" s="2">
        <f>INDEX('vehicles specifications'!$B$3:$CK$86,MATCH(B50,'vehicles specifications'!$A$3:$A$86,0),MATCH("Range [km]",'vehicles specifications'!$B$2:$CK$2,0))</f>
        <v>99.572658227848095</v>
      </c>
    </row>
    <row r="68" spans="1:8" x14ac:dyDescent="0.3">
      <c r="A68" t="s">
        <v>142</v>
      </c>
      <c r="B68" t="str">
        <f>INDEX('vehicles specifications'!$B$3:$CK$86,MATCH(B50,'vehicles specifications'!$A$3:$A$86,0),MATCH("Emission standard",'vehicles specifications'!$B$2:$CK$2,0))</f>
        <v>None</v>
      </c>
    </row>
    <row r="69" spans="1:8" x14ac:dyDescent="0.3">
      <c r="A69" t="s">
        <v>144</v>
      </c>
      <c r="B69" s="6">
        <f>INDEX('vehicles specifications'!$B$3:$CK$86,MATCH(B50,'vehicles specifications'!$A$3:$A$86,0),MATCH("Lightweighting rate [%]",'vehicles specifications'!$B$2:$CK$2,0))</f>
        <v>0.03</v>
      </c>
    </row>
    <row r="70" spans="1:8" s="21" customFormat="1" x14ac:dyDescent="0.3">
      <c r="A70" s="21" t="s">
        <v>513</v>
      </c>
      <c r="B70" s="6" t="s">
        <v>514</v>
      </c>
    </row>
    <row r="71" spans="1:8" s="21" customFormat="1" x14ac:dyDescent="0.3">
      <c r="A71" s="21" t="s">
        <v>515</v>
      </c>
      <c r="B71" s="2">
        <v>15900</v>
      </c>
    </row>
    <row r="72" spans="1:8" s="21" customFormat="1" x14ac:dyDescent="0.3">
      <c r="A72" s="21" t="s">
        <v>516</v>
      </c>
      <c r="B72" s="2">
        <v>1000</v>
      </c>
    </row>
    <row r="73" spans="1:8" s="21" customFormat="1" x14ac:dyDescent="0.3">
      <c r="A73" s="21" t="s">
        <v>84</v>
      </c>
      <c r="B73" s="21" t="str">
        <f>"Power: "&amp;B61&amp;" kW. Lifetime: "&amp;B55&amp;" km. Annual kilometers: "&amp;ROUND(B59,0)&amp;" km. Number of passengers: "&amp;ROUND(B56,1)&amp;". Curb mass: "&amp;ROUND(B60,1)&amp;" kg. Lightweighting of glider: "&amp;ROUND(B69*100,0)&amp;"%. Emission standard: "&amp;B68&amp;". Service visits throughout lifetime: "&amp;ROUND(B57,1)&amp;". Range: "&amp;ROUND(B67,0)&amp;" km. Battery capacity: "&amp;ROUND(B63,1)&amp;" kWh. Available battery capacity: "&amp;B64&amp;" kWh. Battery mass: "&amp;ROUND(B62,1)&amp; " kg. Battery replacement throughout lifetime: "&amp;ROUND(B58,1)&amp;". Fuel tank capacity: "&amp;ROUND(B65,1)&amp;" kWh. Fuel mass: "&amp;ROUND(B66,1)&amp;" kg. Origin of manufacture: "&amp;B70&amp;". Shipping distance: "&amp;B71&amp;" km. Lorry distribution distance: "&amp;B72&amp;" km. Documentation: "&amp;Readmefirst!$B$2&amp;", "&amp;Readmefirst!$B$3&amp;". "&amp;'lci-kick scooter'!B54</f>
        <v>Power: 0.5 kW. Lifetime: 20000 km. Annual kilometers: 2060 km. Number of passengers: 1. Curb mass: 37.3 kg. Lightweighting of glider: 3%. Emission standard: None. Service visits throughout lifetime: 5. Range: 100 km. Battery capacity: 1.2 kWh. Available battery capacity: 0.96 kWh. Battery mass: 5.2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unit</v>
      </c>
    </row>
    <row r="74" spans="1:8" ht="15.6" x14ac:dyDescent="0.3">
      <c r="A74" s="11" t="s">
        <v>80</v>
      </c>
    </row>
    <row r="75" spans="1:8" x14ac:dyDescent="0.3">
      <c r="A75" t="s">
        <v>81</v>
      </c>
      <c r="B75" t="s">
        <v>82</v>
      </c>
      <c r="C75" t="s">
        <v>73</v>
      </c>
      <c r="D75" t="s">
        <v>77</v>
      </c>
      <c r="E75" t="s">
        <v>83</v>
      </c>
      <c r="F75" t="s">
        <v>75</v>
      </c>
      <c r="G75" t="s">
        <v>84</v>
      </c>
      <c r="H75" t="s">
        <v>74</v>
      </c>
    </row>
    <row r="76" spans="1:8" x14ac:dyDescent="0.3">
      <c r="A76" s="12" t="str">
        <f>B45</f>
        <v>Bicycle, electric, cargo bike, 2030</v>
      </c>
      <c r="B76" s="12">
        <v>1</v>
      </c>
      <c r="C76" s="12" t="str">
        <f>B46</f>
        <v>CH</v>
      </c>
      <c r="D76" s="12" t="str">
        <f>B53</f>
        <v>unit</v>
      </c>
      <c r="E76" s="12"/>
      <c r="F76" s="12" t="s">
        <v>85</v>
      </c>
      <c r="G76" s="12" t="s">
        <v>86</v>
      </c>
      <c r="H76" s="12" t="str">
        <f>B47</f>
        <v>Bicycle, electric, cargo bike</v>
      </c>
    </row>
    <row r="77" spans="1:8" x14ac:dyDescent="0.3">
      <c r="A77" s="12" t="str">
        <f>INDEX('ei names mapping'!$B$4:$R$33,MATCH($B$3,'ei names mapping'!$A$4:$A$33,0),MATCH(G77,'ei names mapping'!$B$3:$R$3,0))</f>
        <v>electric bicycle production, without battery and motor</v>
      </c>
      <c r="B77" s="14">
        <f>INDEX('vehicles specifications'!$B$3:$CK$86,MATCH(B50,'vehicles specifications'!$A$3:$A$86,0),MATCH(G77,'vehicles specifications'!$B$2:$CK$2,0))*INDEX('ei names mapping'!$B$137:$BK$220,MATCH(B50,'ei names mapping'!$A$137:$A$220,0),MATCH(G77,'ei names mapping'!$B$136:$BK$136,0))</f>
        <v>1.6470588235294117</v>
      </c>
      <c r="C77" s="12" t="str">
        <f>INDEX('ei names mapping'!$B$38:$R$67,MATCH($B$3,'ei names mapping'!$A$4:$A$33,0),MATCH(G77,'ei names mapping'!$B$3:$R$3,0))</f>
        <v>RER</v>
      </c>
      <c r="D77" s="12" t="str">
        <f>INDEX('ei names mapping'!$B$104:$R$133,MATCH(B47,'ei names mapping'!$A$104:$A$133,0),MATCH(G77,'ei names mapping'!$B$3:$R$3,0))</f>
        <v>unit</v>
      </c>
      <c r="E77" s="12"/>
      <c r="F77" s="12" t="s">
        <v>91</v>
      </c>
      <c r="G77" s="21" t="s">
        <v>15</v>
      </c>
      <c r="H77" s="12" t="str">
        <f>INDEX('ei names mapping'!$B$71:$R$100,MATCH($B$3,'ei names mapping'!$A$4:$A$33,0),MATCH(G77,'ei names mapping'!$B$3:$R$3,0))</f>
        <v>electric bicycle, without battery and motor</v>
      </c>
    </row>
    <row r="78" spans="1:8" x14ac:dyDescent="0.3">
      <c r="A78" s="12" t="str">
        <f>INDEX('ei names mapping'!$B$4:$R$33,MATCH($B$3,'ei names mapping'!$A$4:$A$33,0),MATCH(G78,'ei names mapping'!$B$3:$R$3,0))</f>
        <v>market for electric motor, vehicle</v>
      </c>
      <c r="B78" s="14">
        <f>INDEX('vehicles specifications'!$B$3:$CK$86,MATCH(B50,'vehicles specifications'!$A$3:$A$86,0),MATCH(G78,'vehicles specifications'!$B$2:$CK$2,0))*INDEX('ei names mapping'!$B$137:$BK$220,MATCH(B50,'ei names mapping'!$A$137:$A$220,0),MATCH(G78,'ei names mapping'!$B$136:$BK$136,0))</f>
        <v>4.9000000000000004</v>
      </c>
      <c r="C78" s="12" t="str">
        <f>INDEX('ei names mapping'!$B$38:$R$67,MATCH($B$3,'ei names mapping'!$A$4:$A$33,0),MATCH(G78,'ei names mapping'!$B$3:$R$3,0))</f>
        <v>GLO</v>
      </c>
      <c r="D78" s="12" t="str">
        <f>INDEX('ei names mapping'!$B$104:$R$133,MATCH(B47,'ei names mapping'!$A$104:$A$133,0),MATCH(G78,'ei names mapping'!$B$3:$R$3,0))</f>
        <v>kilogram</v>
      </c>
      <c r="E78" s="12"/>
      <c r="F78" s="12" t="s">
        <v>91</v>
      </c>
      <c r="G78" t="s">
        <v>557</v>
      </c>
      <c r="H78" s="12" t="str">
        <f>INDEX('ei names mapping'!$B$71:$R$100,MATCH($B$3,'ei names mapping'!$A$4:$A$33,0),MATCH(G78,'ei names mapping'!$B$3:$R$3,0))</f>
        <v>electric motor, vehicle</v>
      </c>
    </row>
    <row r="79" spans="1:8" s="21" customFormat="1" x14ac:dyDescent="0.3">
      <c r="A79" s="12" t="str">
        <f>INDEX('ei names mapping'!$B$4:$R$33,MATCH(B47,'ei names mapping'!$A$4:$A$33,0),MATCH(G79,'ei names mapping'!$B$3:$R$3,0))</f>
        <v>glider lightweighting</v>
      </c>
      <c r="B79" s="16">
        <f>INDEX('vehicles specifications'!$B$3:$CK$86,MATCH(B50,'vehicles specifications'!$A$3:$A$86,0),MATCH(G79,'vehicles specifications'!$B$2:$CK$2,0))*INDEX('ei names mapping'!$B$137:$BK$220,MATCH(B50,'ei names mapping'!$A$137:$A$220,0),MATCH(G79,'ei names mapping'!$B$136:$BK$136,0))</f>
        <v>0.84</v>
      </c>
      <c r="C79" s="12" t="str">
        <f>INDEX('ei names mapping'!$B$38:$R$67,MATCH(B47,'ei names mapping'!$A$4:$A$33,0),MATCH(G79,'ei names mapping'!$B$3:$R$3,0))</f>
        <v>GLO</v>
      </c>
      <c r="D79" s="12" t="str">
        <f>INDEX('ei names mapping'!$B$104:$R$133,MATCH(B47,'ei names mapping'!$A$104:$A$133,0),MATCH(G79,'ei names mapping'!$B$3:$R$3,0))</f>
        <v>kilogram</v>
      </c>
      <c r="E79" s="12"/>
      <c r="F79" s="12" t="s">
        <v>91</v>
      </c>
      <c r="G79" s="21" t="s">
        <v>14</v>
      </c>
      <c r="H79" s="12" t="str">
        <f>INDEX('ei names mapping'!$B$71:$R$100,MATCH(B47,'ei names mapping'!$A$4:$A$33,0),MATCH(G79,'ei names mapping'!$B$3:$R$3,0))</f>
        <v>glider lightweighting</v>
      </c>
    </row>
    <row r="80" spans="1:8" x14ac:dyDescent="0.3">
      <c r="A80" s="12" t="str">
        <f>INDEX('ei names mapping'!$B$4:$R$33,MATCH($B$3,'ei names mapping'!$A$4:$A$33,0),MATCH(G80,'ei names mapping'!$B$3:$R$3,0))</f>
        <v>Battery cell, NMC</v>
      </c>
      <c r="B80" s="14">
        <f>INDEX('vehicles specifications'!$B$3:$CK$86,MATCH(B50,'vehicles specifications'!$A$3:$A$86,0),MATCH(G80,'vehicles specifications'!$B$2:$CK$2,0))*INDEX('ei names mapping'!$B$137:$BK$220,MATCH(B50,'ei names mapping'!$A$137:$A$220,0),MATCH(G80,'ei names mapping'!$B$136:$BK$136,0))</f>
        <v>6</v>
      </c>
      <c r="C80" s="12" t="str">
        <f>INDEX('ei names mapping'!$B$38:$R$67,MATCH($B$3,'ei names mapping'!$A$4:$A$33,0),MATCH(G80,'ei names mapping'!$B$3:$R$3,0))</f>
        <v>GLO</v>
      </c>
      <c r="D80" s="12" t="str">
        <f>INDEX('ei names mapping'!$B$104:$R$133,MATCH(B47,'ei names mapping'!$A$104:$A$133,0),MATCH(G80,'ei names mapping'!$B$3:$R$3,0))</f>
        <v>kilogram</v>
      </c>
      <c r="E80" s="12"/>
      <c r="F80" s="12" t="s">
        <v>91</v>
      </c>
      <c r="G80" t="s">
        <v>19</v>
      </c>
      <c r="H80" s="12" t="str">
        <f>INDEX('ei names mapping'!$B$71:$R$100,MATCH($B$3,'ei names mapping'!$A$4:$A$33,0),MATCH(G80,'ei names mapping'!$B$3:$R$3,0))</f>
        <v>Battery cell</v>
      </c>
    </row>
    <row r="81" spans="1:8" x14ac:dyDescent="0.3">
      <c r="A81" s="12" t="str">
        <f>INDEX('ei names mapping'!$B$4:$R$33,MATCH($B$3,'ei names mapping'!$A$4:$A$33,0),MATCH(G81,'ei names mapping'!$B$3:$R$3,0))</f>
        <v>Battery BoP</v>
      </c>
      <c r="B81" s="14">
        <f>INDEX('vehicles specifications'!$B$3:$CK$86,MATCH(B50,'vehicles specifications'!$A$3:$A$86,0),MATCH(G81,'vehicles specifications'!$B$2:$CK$2,0))*INDEX('ei names mapping'!$B$137:$BK$220,MATCH(B50,'ei names mapping'!$A$137:$A$220,0),MATCH(G81,'ei names mapping'!$B$136:$BK$136,0))</f>
        <v>1.7999999999999998</v>
      </c>
      <c r="C81" s="12" t="str">
        <f>INDEX('ei names mapping'!$B$38:$R$67,MATCH($B$3,'ei names mapping'!$A$4:$A$33,0),MATCH(G81,'ei names mapping'!$B$3:$R$3,0))</f>
        <v>GLO</v>
      </c>
      <c r="D81" s="12" t="str">
        <f>INDEX('ei names mapping'!$B$104:$R$133,MATCH(B47,'ei names mapping'!$A$104:$A$133,0),MATCH(G81,'ei names mapping'!$B$3:$R$3,0))</f>
        <v>kilogram</v>
      </c>
      <c r="E81" s="12"/>
      <c r="F81" s="12" t="s">
        <v>91</v>
      </c>
      <c r="G81" t="s">
        <v>20</v>
      </c>
      <c r="H81" s="12" t="str">
        <f>INDEX('ei names mapping'!$B$71:$R$100,MATCH($B$3,'ei names mapping'!$A$4:$A$33,0),MATCH(G81,'ei names mapping'!$B$3:$R$3,0))</f>
        <v>Battery BoP</v>
      </c>
    </row>
    <row r="82" spans="1:8" x14ac:dyDescent="0.3">
      <c r="A82" s="12" t="str">
        <f>INDEX('ei names mapping'!$B$4:$R$33,MATCH($B$3,'ei names mapping'!$A$4:$A$33,0),MATCH(G82,'ei names mapping'!$B$3:$R$3,0))</f>
        <v>charging station, 500W</v>
      </c>
      <c r="B82" s="14">
        <f>INDEX('vehicles specifications'!$B$3:$CK$86,MATCH(B50,'vehicles specifications'!$A$3:$A$86,0),MATCH(G82,'vehicles specifications'!$B$2:$CK$2,0))*INDEX('ei names mapping'!$B$137:$BK$220,MATCH(B50,'ei names mapping'!$A$137:$A$220,0),MATCH(G82,'ei names mapping'!$B$136:$BK$136,0))</f>
        <v>1</v>
      </c>
      <c r="C82" s="12" t="str">
        <f>INDEX('ei names mapping'!$B$38:$R$67,MATCH($B$3,'ei names mapping'!$A$4:$A$33,0),MATCH(G82,'ei names mapping'!$B$3:$R$3,0))</f>
        <v>GLO</v>
      </c>
      <c r="D82" s="12" t="str">
        <f>INDEX('ei names mapping'!$B$104:$R$133,MATCH(B47,'ei names mapping'!$A$104:$A$133,0),MATCH(G82,'ei names mapping'!$B$3:$R$3,0))</f>
        <v>unit</v>
      </c>
      <c r="E82" s="12"/>
      <c r="F82" s="12" t="s">
        <v>91</v>
      </c>
      <c r="G82" t="s">
        <v>53</v>
      </c>
      <c r="H82" s="12" t="str">
        <f>INDEX('ei names mapping'!$B$71:$R$100,MATCH($B$3,'ei names mapping'!$A$4:$A$33,0),MATCH(G82,'ei names mapping'!$B$3:$R$3,0))</f>
        <v>charging station, 500W</v>
      </c>
    </row>
    <row r="83" spans="1:8" x14ac:dyDescent="0.3">
      <c r="A83" s="12" t="str">
        <f>INDEX('ei names mapping'!$B$4:$R$33,MATCH($B$3,'ei names mapping'!$A$4:$A$33,0),MATCH(G83,'ei names mapping'!$B$3:$R$3,0))</f>
        <v>treatment of used electric bicycle</v>
      </c>
      <c r="B83" s="14">
        <f>INDEX('vehicles specifications'!$B$3:$CK$86,MATCH(B50,'vehicles specifications'!$A$3:$A$86,0),MATCH(G83,'vehicles specifications'!$B$2:$CK$2,0))*INDEX('ei names mapping'!$B$137:$BK$220,MATCH(B50,'ei names mapping'!$A$137:$A$220,0),MATCH(G83,'ei names mapping'!$B$136:$BK$136,0))</f>
        <v>-1.1316666666666666</v>
      </c>
      <c r="C83" s="12" t="str">
        <f>INDEX('ei names mapping'!$B$38:$R$67,MATCH($B$3,'ei names mapping'!$A$4:$A$33,0),MATCH(G83,'ei names mapping'!$B$3:$R$3,0))</f>
        <v>CH</v>
      </c>
      <c r="D83" s="12" t="str">
        <f>INDEX('ei names mapping'!$B$104:$R$133,MATCH(B47,'ei names mapping'!$A$104:$A$133,0),MATCH(G83,'ei names mapping'!$B$3:$R$3,0))</f>
        <v>unit</v>
      </c>
      <c r="E83" s="12"/>
      <c r="F83" s="12" t="s">
        <v>91</v>
      </c>
      <c r="G83" t="s">
        <v>150</v>
      </c>
      <c r="H83" s="12" t="str">
        <f>INDEX('ei names mapping'!$B$71:$R$100,MATCH($B$3,'ei names mapping'!$A$4:$A$33,0),MATCH(G83,'ei names mapping'!$B$3:$R$3,0))</f>
        <v>used electric bicycle</v>
      </c>
    </row>
    <row r="84" spans="1:8" x14ac:dyDescent="0.3">
      <c r="A84" s="12" t="str">
        <f>INDEX('ei names mapping'!$B$4:$R$33,MATCH($B$3,'ei names mapping'!$A$4:$A$33,0),MATCH(G84,'ei names mapping'!$B$3:$R$3,0))</f>
        <v>treatment of used electric bicycle</v>
      </c>
      <c r="B84" s="14">
        <f>INDEX('vehicles specifications'!$B$3:$CK$86,MATCH(B50,'vehicles specifications'!$A$3:$A$86,0),MATCH(G84,'vehicles specifications'!$B$2:$CK$2,0))*INDEX('ei names mapping'!$B$137:$BK$220,MATCH(B50,'ei names mapping'!$A$137:$A$220,0),MATCH(G84,'ei names mapping'!$B$136:$BK$136,0))</f>
        <v>-0.20416666666666666</v>
      </c>
      <c r="C84" s="12" t="str">
        <f>INDEX('ei names mapping'!$B$38:$R$67,MATCH($B$3,'ei names mapping'!$A$4:$A$33,0),MATCH(G84,'ei names mapping'!$B$3:$R$3,0))</f>
        <v>CH</v>
      </c>
      <c r="D84" s="12" t="str">
        <f>INDEX('ei names mapping'!$B$104:$R$133,MATCH(B47,'ei names mapping'!$A$104:$A$133,0),MATCH(G84,'ei names mapping'!$B$3:$R$3,0))</f>
        <v>unit</v>
      </c>
      <c r="E84" s="12"/>
      <c r="F84" s="12" t="s">
        <v>91</v>
      </c>
      <c r="G84" t="s">
        <v>151</v>
      </c>
      <c r="H84" s="12" t="str">
        <f>INDEX('ei names mapping'!$B$71:$R$100,MATCH($B$3,'ei names mapping'!$A$4:$A$33,0),MATCH(G84,'ei names mapping'!$B$3:$R$3,0))</f>
        <v>used electric bicycle</v>
      </c>
    </row>
    <row r="85" spans="1:8" x14ac:dyDescent="0.3">
      <c r="A85" s="12" t="str">
        <f>INDEX('ei names mapping'!$B$4:$R$33,MATCH($B$3,'ei names mapping'!$A$4:$A$33,0),MATCH(G85,'ei names mapping'!$B$3:$R$3,0))</f>
        <v>market for used Li-ion battery</v>
      </c>
      <c r="B85" s="14">
        <f>INDEX('vehicles specifications'!$B$3:$CK$86,MATCH(B50,'vehicles specifications'!$A$3:$A$86,0),MATCH(G85,'vehicles specifications'!$B$2:$CK$2,0))*INDEX('ei names mapping'!$B$137:$BK$220,MATCH(B50,'ei names mapping'!$A$137:$A$220,0),MATCH(G85,'ei names mapping'!$B$136:$BK$136,0))</f>
        <v>-7.8000000000000007</v>
      </c>
      <c r="C85" s="12" t="str">
        <f>INDEX('ei names mapping'!$B$38:$R$67,MATCH($B$3,'ei names mapping'!$A$4:$A$33,0),MATCH(G85,'ei names mapping'!$B$3:$R$3,0))</f>
        <v>GLO</v>
      </c>
      <c r="D85" s="12" t="str">
        <f>INDEX('ei names mapping'!$B$104:$R$133,MATCH(B47,'ei names mapping'!$A$104:$A$133,0),MATCH(G85,'ei names mapping'!$B$3:$R$3,0))</f>
        <v>kilogram</v>
      </c>
      <c r="E85" s="12"/>
      <c r="F85" s="12" t="s">
        <v>91</v>
      </c>
      <c r="G85" t="s">
        <v>152</v>
      </c>
      <c r="H85" s="12" t="str">
        <f>INDEX('ei names mapping'!$B$71:$R$100,MATCH($B$3,'ei names mapping'!$A$4:$A$33,0),MATCH(G85,'ei names mapping'!$B$3:$R$3,0))</f>
        <v>used Li-ion battery</v>
      </c>
    </row>
    <row r="86" spans="1:8" s="21" customFormat="1" x14ac:dyDescent="0.3">
      <c r="A86" s="22" t="s">
        <v>468</v>
      </c>
      <c r="B86" s="21">
        <f>(B60/1000)*B72</f>
        <v>37.260000000000005</v>
      </c>
      <c r="C86" s="21" t="s">
        <v>94</v>
      </c>
      <c r="D86" s="21" t="s">
        <v>243</v>
      </c>
      <c r="F86" s="21" t="s">
        <v>91</v>
      </c>
      <c r="H86" s="22" t="s">
        <v>469</v>
      </c>
    </row>
    <row r="87" spans="1:8" s="21" customFormat="1" x14ac:dyDescent="0.3">
      <c r="A87" s="22" t="s">
        <v>467</v>
      </c>
      <c r="B87" s="2">
        <f>(B60/1000)*B71</f>
        <v>592.43400000000008</v>
      </c>
      <c r="C87" s="21" t="s">
        <v>98</v>
      </c>
      <c r="D87" s="21" t="s">
        <v>243</v>
      </c>
      <c r="F87" s="21" t="s">
        <v>91</v>
      </c>
      <c r="H87" s="22" t="s">
        <v>467</v>
      </c>
    </row>
    <row r="88" spans="1:8" x14ac:dyDescent="0.3">
      <c r="B88" s="12"/>
    </row>
    <row r="89" spans="1:8" ht="15.6" x14ac:dyDescent="0.3">
      <c r="A89" s="11" t="s">
        <v>72</v>
      </c>
      <c r="B89" s="9" t="str">
        <f>B91&amp;", "&amp;B93</f>
        <v>Bicycle, electric, cargo bike, 2040</v>
      </c>
    </row>
    <row r="90" spans="1:8" x14ac:dyDescent="0.3">
      <c r="A90" t="s">
        <v>73</v>
      </c>
      <c r="B90" t="s">
        <v>37</v>
      </c>
    </row>
    <row r="91" spans="1:8" x14ac:dyDescent="0.3">
      <c r="A91" t="s">
        <v>87</v>
      </c>
      <c r="B91" s="21" t="s">
        <v>524</v>
      </c>
    </row>
    <row r="92" spans="1:8" x14ac:dyDescent="0.3">
      <c r="A92" t="s">
        <v>88</v>
      </c>
      <c r="B92" s="12"/>
    </row>
    <row r="93" spans="1:8" x14ac:dyDescent="0.3">
      <c r="A93" t="s">
        <v>89</v>
      </c>
      <c r="B93" s="12">
        <v>2040</v>
      </c>
    </row>
    <row r="94" spans="1:8" x14ac:dyDescent="0.3">
      <c r="A94" t="s">
        <v>131</v>
      </c>
      <c r="B94" s="12" t="str">
        <f>B91&amp;" - "&amp;B93&amp;" - "&amp;B90</f>
        <v>Bicycle, electric, cargo bike - 2040 - CH</v>
      </c>
    </row>
    <row r="95" spans="1:8" x14ac:dyDescent="0.3">
      <c r="A95" t="s">
        <v>74</v>
      </c>
      <c r="B95" t="str">
        <f>B91</f>
        <v>Bicycle, electric, cargo bike</v>
      </c>
    </row>
    <row r="96" spans="1:8" x14ac:dyDescent="0.3">
      <c r="A96" t="s">
        <v>75</v>
      </c>
      <c r="B96" t="s">
        <v>76</v>
      </c>
    </row>
    <row r="97" spans="1:2" x14ac:dyDescent="0.3">
      <c r="A97" t="s">
        <v>77</v>
      </c>
      <c r="B97" t="s">
        <v>77</v>
      </c>
    </row>
    <row r="98" spans="1:2" x14ac:dyDescent="0.3">
      <c r="A98" t="s">
        <v>79</v>
      </c>
      <c r="B98" t="s">
        <v>90</v>
      </c>
    </row>
    <row r="99" spans="1:2" x14ac:dyDescent="0.3">
      <c r="A99" t="s">
        <v>132</v>
      </c>
      <c r="B99">
        <f>INDEX('vehicles specifications'!$B$3:$CK$86,MATCH(B94,'vehicles specifications'!$A$3:$A$86,0),MATCH("Lifetime [km]",'vehicles specifications'!$B$2:$CK$2,0))</f>
        <v>20000</v>
      </c>
    </row>
    <row r="100" spans="1:2" x14ac:dyDescent="0.3">
      <c r="A100" t="s">
        <v>133</v>
      </c>
      <c r="B100">
        <f>INDEX('vehicles specifications'!$B$3:$CK$86,MATCH(B94,'vehicles specifications'!$A$3:$A$86,0),MATCH("Passengers [unit]",'vehicles specifications'!$B$2:$CK$2,0))</f>
        <v>1</v>
      </c>
    </row>
    <row r="101" spans="1:2" x14ac:dyDescent="0.3">
      <c r="A101" t="s">
        <v>134</v>
      </c>
      <c r="B101">
        <f>INDEX('vehicles specifications'!$B$3:$CK$86,MATCH(B94,'vehicles specifications'!$A$3:$A$86,0),MATCH("Servicing [unit]",'vehicles specifications'!$B$2:$CK$2,0))</f>
        <v>5</v>
      </c>
    </row>
    <row r="102" spans="1:2" x14ac:dyDescent="0.3">
      <c r="A102" t="s">
        <v>135</v>
      </c>
      <c r="B102">
        <f>INDEX('vehicles specifications'!$B$3:$CK$86,MATCH(B94,'vehicles specifications'!$A$3:$A$86,0),MATCH("Energy battery replacement [unit]",'vehicles specifications'!$B$2:$CK$2,0))</f>
        <v>0.25</v>
      </c>
    </row>
    <row r="103" spans="1:2" x14ac:dyDescent="0.3">
      <c r="A103" t="s">
        <v>136</v>
      </c>
      <c r="B103">
        <f>INDEX('vehicles specifications'!$B$3:$CK$86,MATCH(B94,'vehicles specifications'!$A$3:$A$86,0),MATCH("Annual kilometers [km]",'vehicles specifications'!$B$2:$CK$2,0))</f>
        <v>2060</v>
      </c>
    </row>
    <row r="104" spans="1:2" x14ac:dyDescent="0.3">
      <c r="A104" t="s">
        <v>137</v>
      </c>
      <c r="B104">
        <f>INDEX('vehicles specifications'!$B$3:$CK$86,MATCH(B94,'vehicles specifications'!$A$3:$A$86,0),MATCH("Curb mass [kg]",'vehicles specifications'!$B$2:$CK$2,0))</f>
        <v>36.5</v>
      </c>
    </row>
    <row r="105" spans="1:2" x14ac:dyDescent="0.3">
      <c r="A105" t="s">
        <v>138</v>
      </c>
      <c r="B105">
        <f>INDEX('vehicles specifications'!$B$3:$CK$86,MATCH(B94,'vehicles specifications'!$A$3:$A$86,0),MATCH("Power [kW]",'vehicles specifications'!$B$2:$CK$2,0))</f>
        <v>0.5</v>
      </c>
    </row>
    <row r="106" spans="1:2" x14ac:dyDescent="0.3">
      <c r="A106" t="s">
        <v>139</v>
      </c>
      <c r="B106">
        <f>INDEX('vehicles specifications'!$B$3:$CK$86,MATCH(B94,'vehicles specifications'!$A$3:$A$86,0),MATCH("Energy battery mass [kg]",'vehicles specifications'!$B$2:$CK$2,0))</f>
        <v>5.2</v>
      </c>
    </row>
    <row r="107" spans="1:2" x14ac:dyDescent="0.3">
      <c r="A107" t="s">
        <v>140</v>
      </c>
      <c r="B107">
        <f>INDEX('vehicles specifications'!$B$3:$CK$86,MATCH(B94,'vehicles specifications'!$A$3:$A$86,0),MATCH("Electric energy stored [kWh]",'vehicles specifications'!$B$2:$CK$2,0))</f>
        <v>1.6</v>
      </c>
    </row>
    <row r="108" spans="1:2" s="21" customFormat="1" x14ac:dyDescent="0.3">
      <c r="A108" s="21" t="s">
        <v>654</v>
      </c>
      <c r="B108" s="21">
        <f>INDEX('vehicles specifications'!$B$3:$CK$86,MATCH(B94,'vehicles specifications'!$A$3:$A$86,0),MATCH("Electric energy available [kWh]",'vehicles specifications'!$B$2:$CK$2,0))</f>
        <v>1.2800000000000002</v>
      </c>
    </row>
    <row r="109" spans="1:2" x14ac:dyDescent="0.3">
      <c r="A109" t="s">
        <v>143</v>
      </c>
      <c r="B109">
        <f>INDEX('vehicles specifications'!$B$3:$CK$86,MATCH(B94,'vehicles specifications'!$A$3:$A$86,0),MATCH("Oxydation energy stored [kWh]",'vehicles specifications'!$B$2:$CK$2,0))</f>
        <v>0</v>
      </c>
    </row>
    <row r="110" spans="1:2" x14ac:dyDescent="0.3">
      <c r="A110" t="s">
        <v>145</v>
      </c>
      <c r="B110">
        <f>INDEX('vehicles specifications'!$B$3:$CK$86,MATCH(B94,'vehicles specifications'!$A$3:$A$86,0),MATCH("Fuel mass [kg]",'vehicles specifications'!$B$2:$CK$2,0))</f>
        <v>0</v>
      </c>
    </row>
    <row r="111" spans="1:2" x14ac:dyDescent="0.3">
      <c r="A111" t="s">
        <v>141</v>
      </c>
      <c r="B111" s="2">
        <f>INDEX('vehicles specifications'!$B$3:$CK$86,MATCH(B94,'vehicles specifications'!$A$3:$A$86,0),MATCH("Range [km]",'vehicles specifications'!$B$2:$CK$2,0))</f>
        <v>132.76354430379749</v>
      </c>
    </row>
    <row r="112" spans="1:2" x14ac:dyDescent="0.3">
      <c r="A112" t="s">
        <v>142</v>
      </c>
      <c r="B112" t="str">
        <f>INDEX('vehicles specifications'!$B$3:$CK$86,MATCH(B94,'vehicles specifications'!$A$3:$A$86,0),MATCH("Emission standard",'vehicles specifications'!$B$2:$CK$2,0))</f>
        <v>None</v>
      </c>
    </row>
    <row r="113" spans="1:8" x14ac:dyDescent="0.3">
      <c r="A113" t="s">
        <v>144</v>
      </c>
      <c r="B113" s="6">
        <f>INDEX('vehicles specifications'!$B$3:$CK$86,MATCH(B94,'vehicles specifications'!$A$3:$A$86,0),MATCH("Lightweighting rate [%]",'vehicles specifications'!$B$2:$CK$2,0))</f>
        <v>0.05</v>
      </c>
    </row>
    <row r="114" spans="1:8" s="21" customFormat="1" x14ac:dyDescent="0.3">
      <c r="A114" s="21" t="s">
        <v>513</v>
      </c>
      <c r="B114" s="6" t="s">
        <v>514</v>
      </c>
    </row>
    <row r="115" spans="1:8" s="21" customFormat="1" x14ac:dyDescent="0.3">
      <c r="A115" s="21" t="s">
        <v>515</v>
      </c>
      <c r="B115" s="2">
        <v>15900</v>
      </c>
    </row>
    <row r="116" spans="1:8" s="21" customFormat="1" x14ac:dyDescent="0.3">
      <c r="A116" s="21" t="s">
        <v>516</v>
      </c>
      <c r="B116" s="2">
        <v>1000</v>
      </c>
    </row>
    <row r="117" spans="1:8" s="21" customFormat="1" x14ac:dyDescent="0.3">
      <c r="A117" s="21" t="s">
        <v>84</v>
      </c>
      <c r="B117" s="21" t="str">
        <f>"Power: "&amp;B105&amp;" kW. Lifetime: "&amp;B99&amp;" km. Annual kilometers: "&amp;ROUND(B103,0)&amp;" km. Number of passengers: "&amp;ROUND(B100,1)&amp;". Curb mass: "&amp;ROUND(B104,1)&amp;" kg. Lightweighting of glider: "&amp;ROUND(B113*100,0)&amp;"%. Emission standard: "&amp;B112&amp;". Service visits throughout lifetime: "&amp;ROUND(B101,1)&amp;". Range: "&amp;ROUND(B111,0)&amp;" km. Battery capacity: "&amp;ROUND(B107,1)&amp;" kWh. Available battery capacity: "&amp;B108&amp;" kWh. Battery mass: "&amp;ROUND(B106,1)&amp; " kg. Battery replacement throughout lifetime: "&amp;ROUND(B102,1)&amp;". Fuel tank capacity: "&amp;ROUND(B109,1)&amp;" kWh. Fuel mass: "&amp;ROUND(B110,1)&amp;" kg. Origin of manufacture: "&amp;B114&amp;". Shipping distance: "&amp;B115&amp;" km. Lorry distribution distance: "&amp;B116&amp;" km. Documentation: "&amp;Readmefirst!$B$2&amp;", "&amp;Readmefirst!$B$3&amp;". "&amp;'lci-kick scooter'!B98</f>
        <v>Power: 0.5 kW. Lifetime: 20000 km. Annual kilometers: 2060 km. Number of passengers: 1. Curb mass: 36.5 kg. Lightweighting of glider: 5%. Emission standard: None. Service visits throughout lifetime: 5. Range: 133 km. Battery capacity: 1.6 kWh. Available battery capacity: 1.28 kWh. Battery mass: 5.2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18" spans="1:8" ht="15.6" x14ac:dyDescent="0.3">
      <c r="A118" s="11" t="s">
        <v>80</v>
      </c>
    </row>
    <row r="119" spans="1:8" x14ac:dyDescent="0.3">
      <c r="A119" t="s">
        <v>81</v>
      </c>
      <c r="B119" t="s">
        <v>82</v>
      </c>
      <c r="C119" t="s">
        <v>73</v>
      </c>
      <c r="D119" t="s">
        <v>77</v>
      </c>
      <c r="E119" t="s">
        <v>83</v>
      </c>
      <c r="F119" t="s">
        <v>75</v>
      </c>
      <c r="G119" t="s">
        <v>84</v>
      </c>
      <c r="H119" t="s">
        <v>74</v>
      </c>
    </row>
    <row r="120" spans="1:8" x14ac:dyDescent="0.3">
      <c r="A120" s="12" t="str">
        <f>B89</f>
        <v>Bicycle, electric, cargo bike, 2040</v>
      </c>
      <c r="B120" s="12">
        <v>1</v>
      </c>
      <c r="C120" s="12" t="str">
        <f>B90</f>
        <v>CH</v>
      </c>
      <c r="D120" s="12" t="str">
        <f>B97</f>
        <v>unit</v>
      </c>
      <c r="E120" s="12"/>
      <c r="F120" s="12" t="s">
        <v>85</v>
      </c>
      <c r="G120" s="12" t="s">
        <v>86</v>
      </c>
      <c r="H120" s="12" t="str">
        <f>B91</f>
        <v>Bicycle, electric, cargo bike</v>
      </c>
    </row>
    <row r="121" spans="1:8" x14ac:dyDescent="0.3">
      <c r="A121" s="12" t="str">
        <f>INDEX('ei names mapping'!$B$4:$R$33,MATCH($B$3,'ei names mapping'!$A$4:$A$33,0),MATCH(G121,'ei names mapping'!$B$3:$R$3,0))</f>
        <v>electric bicycle production, without battery and motor</v>
      </c>
      <c r="B121" s="14">
        <f>INDEX('vehicles specifications'!$B$3:$CK$86,MATCH(B94,'vehicles specifications'!$A$3:$A$86,0),MATCH(G121,'vehicles specifications'!$B$2:$CK$2,0))*INDEX('ei names mapping'!$B$137:$BK$220,MATCH(B94,'ei names mapping'!$A$137:$A$220,0),MATCH(G121,'ei names mapping'!$B$136:$BK$136,0))</f>
        <v>1.6470588235294117</v>
      </c>
      <c r="C121" s="12" t="str">
        <f>INDEX('ei names mapping'!$B$38:$R$67,MATCH($B$3,'ei names mapping'!$A$4:$A$33,0),MATCH(G121,'ei names mapping'!$B$3:$R$3,0))</f>
        <v>RER</v>
      </c>
      <c r="D121" s="12" t="str">
        <f>INDEX('ei names mapping'!$B$104:$R$133,MATCH(B91,'ei names mapping'!$A$104:$A$133,0),MATCH(G121,'ei names mapping'!$B$3:$R$3,0))</f>
        <v>unit</v>
      </c>
      <c r="E121" s="12"/>
      <c r="F121" s="12" t="s">
        <v>91</v>
      </c>
      <c r="G121" s="21" t="s">
        <v>15</v>
      </c>
      <c r="H121" s="12" t="str">
        <f>INDEX('ei names mapping'!$B$71:$R$100,MATCH($B$3,'ei names mapping'!$A$4:$A$33,0),MATCH(G121,'ei names mapping'!$B$3:$R$3,0))</f>
        <v>electric bicycle, without battery and motor</v>
      </c>
    </row>
    <row r="122" spans="1:8" x14ac:dyDescent="0.3">
      <c r="A122" s="12" t="str">
        <f>INDEX('ei names mapping'!$B$4:$R$33,MATCH($B$3,'ei names mapping'!$A$4:$A$33,0),MATCH(G122,'ei names mapping'!$B$3:$R$3,0))</f>
        <v>market for electric motor, vehicle</v>
      </c>
      <c r="B122" s="14">
        <f>INDEX('vehicles specifications'!$B$3:$CK$86,MATCH(B94,'vehicles specifications'!$A$3:$A$86,0),MATCH(G122,'vehicles specifications'!$B$2:$CK$2,0))*INDEX('ei names mapping'!$B$137:$BK$220,MATCH(B94,'ei names mapping'!$A$137:$A$220,0),MATCH(G122,'ei names mapping'!$B$136:$BK$136,0))</f>
        <v>4.7</v>
      </c>
      <c r="C122" s="12" t="str">
        <f>INDEX('ei names mapping'!$B$38:$R$67,MATCH($B$3,'ei names mapping'!$A$4:$A$33,0),MATCH(G122,'ei names mapping'!$B$3:$R$3,0))</f>
        <v>GLO</v>
      </c>
      <c r="D122" s="12" t="str">
        <f>INDEX('ei names mapping'!$B$104:$R$133,MATCH(B91,'ei names mapping'!$A$104:$A$133,0),MATCH(G122,'ei names mapping'!$B$3:$R$3,0))</f>
        <v>kilogram</v>
      </c>
      <c r="E122" s="12"/>
      <c r="F122" s="12" t="s">
        <v>91</v>
      </c>
      <c r="G122" t="s">
        <v>557</v>
      </c>
      <c r="H122" s="12" t="str">
        <f>INDEX('ei names mapping'!$B$71:$R$100,MATCH($B$3,'ei names mapping'!$A$4:$A$33,0),MATCH(G122,'ei names mapping'!$B$3:$R$3,0))</f>
        <v>electric motor, vehicle</v>
      </c>
    </row>
    <row r="123" spans="1:8" s="21" customFormat="1" x14ac:dyDescent="0.3">
      <c r="A123" s="12" t="str">
        <f>INDEX('ei names mapping'!$B$4:$R$33,MATCH(B91,'ei names mapping'!$A$4:$A$33,0),MATCH(G123,'ei names mapping'!$B$3:$R$3,0))</f>
        <v>glider lightweighting</v>
      </c>
      <c r="B123" s="16">
        <f>INDEX('vehicles specifications'!$B$3:$CK$86,MATCH(B94,'vehicles specifications'!$A$3:$A$86,0),MATCH(G123,'vehicles specifications'!$B$2:$CK$2,0))*INDEX('ei names mapping'!$B$137:$BK$220,MATCH(B94,'ei names mapping'!$A$137:$A$220,0),MATCH(G123,'ei names mapping'!$B$136:$BK$136,0))</f>
        <v>1.4000000000000001</v>
      </c>
      <c r="C123" s="12" t="str">
        <f>INDEX('ei names mapping'!$B$38:$R$67,MATCH(B91,'ei names mapping'!$A$4:$A$33,0),MATCH(G123,'ei names mapping'!$B$3:$R$3,0))</f>
        <v>GLO</v>
      </c>
      <c r="D123" s="12" t="str">
        <f>INDEX('ei names mapping'!$B$104:$R$133,MATCH(B91,'ei names mapping'!$A$104:$A$133,0),MATCH(G123,'ei names mapping'!$B$3:$R$3,0))</f>
        <v>kilogram</v>
      </c>
      <c r="E123" s="12"/>
      <c r="F123" s="12" t="s">
        <v>91</v>
      </c>
      <c r="G123" s="21" t="s">
        <v>14</v>
      </c>
      <c r="H123" s="12" t="str">
        <f>INDEX('ei names mapping'!$B$71:$R$100,MATCH(B91,'ei names mapping'!$A$4:$A$33,0),MATCH(G123,'ei names mapping'!$B$3:$R$3,0))</f>
        <v>glider lightweighting</v>
      </c>
    </row>
    <row r="124" spans="1:8" x14ac:dyDescent="0.3">
      <c r="A124" s="12" t="str">
        <f>INDEX('ei names mapping'!$B$4:$R$33,MATCH($B$3,'ei names mapping'!$A$4:$A$33,0),MATCH(G124,'ei names mapping'!$B$3:$R$3,0))</f>
        <v>Battery cell, NMC</v>
      </c>
      <c r="B124" s="14">
        <f>INDEX('vehicles specifications'!$B$3:$CK$86,MATCH(B94,'vehicles specifications'!$A$3:$A$86,0),MATCH(G124,'vehicles specifications'!$B$2:$CK$2,0))*INDEX('ei names mapping'!$B$137:$BK$220,MATCH(B94,'ei names mapping'!$A$137:$A$220,0),MATCH(G124,'ei names mapping'!$B$136:$BK$136,0))</f>
        <v>5</v>
      </c>
      <c r="C124" s="12" t="str">
        <f>INDEX('ei names mapping'!$B$38:$R$67,MATCH($B$3,'ei names mapping'!$A$4:$A$33,0),MATCH(G124,'ei names mapping'!$B$3:$R$3,0))</f>
        <v>GLO</v>
      </c>
      <c r="D124" s="12" t="str">
        <f>INDEX('ei names mapping'!$B$104:$R$133,MATCH(B91,'ei names mapping'!$A$104:$A$133,0),MATCH(G124,'ei names mapping'!$B$3:$R$3,0))</f>
        <v>kilogram</v>
      </c>
      <c r="E124" s="12"/>
      <c r="F124" s="12" t="s">
        <v>91</v>
      </c>
      <c r="G124" t="s">
        <v>19</v>
      </c>
      <c r="H124" s="12" t="str">
        <f>INDEX('ei names mapping'!$B$71:$R$100,MATCH($B$3,'ei names mapping'!$A$4:$A$33,0),MATCH(G124,'ei names mapping'!$B$3:$R$3,0))</f>
        <v>Battery cell</v>
      </c>
    </row>
    <row r="125" spans="1:8" x14ac:dyDescent="0.3">
      <c r="A125" s="12" t="str">
        <f>INDEX('ei names mapping'!$B$4:$R$33,MATCH($B$3,'ei names mapping'!$A$4:$A$33,0),MATCH(G125,'ei names mapping'!$B$3:$R$3,0))</f>
        <v>Battery BoP</v>
      </c>
      <c r="B125" s="14">
        <f>INDEX('vehicles specifications'!$B$3:$CK$86,MATCH(B94,'vehicles specifications'!$A$3:$A$86,0),MATCH(G125,'vehicles specifications'!$B$2:$CK$2,0))*INDEX('ei names mapping'!$B$137:$BK$220,MATCH(B94,'ei names mapping'!$A$137:$A$220,0),MATCH(G125,'ei names mapping'!$B$136:$BK$136,0))</f>
        <v>1.5</v>
      </c>
      <c r="C125" s="12" t="str">
        <f>INDEX('ei names mapping'!$B$38:$R$67,MATCH($B$3,'ei names mapping'!$A$4:$A$33,0),MATCH(G125,'ei names mapping'!$B$3:$R$3,0))</f>
        <v>GLO</v>
      </c>
      <c r="D125" s="12" t="str">
        <f>INDEX('ei names mapping'!$B$104:$R$133,MATCH(B91,'ei names mapping'!$A$104:$A$133,0),MATCH(G125,'ei names mapping'!$B$3:$R$3,0))</f>
        <v>kilogram</v>
      </c>
      <c r="E125" s="12"/>
      <c r="F125" s="12" t="s">
        <v>91</v>
      </c>
      <c r="G125" t="s">
        <v>20</v>
      </c>
      <c r="H125" s="12" t="str">
        <f>INDEX('ei names mapping'!$B$71:$R$100,MATCH($B$3,'ei names mapping'!$A$4:$A$33,0),MATCH(G125,'ei names mapping'!$B$3:$R$3,0))</f>
        <v>Battery BoP</v>
      </c>
    </row>
    <row r="126" spans="1:8" x14ac:dyDescent="0.3">
      <c r="A126" s="12" t="str">
        <f>INDEX('ei names mapping'!$B$4:$R$33,MATCH($B$3,'ei names mapping'!$A$4:$A$33,0),MATCH(G126,'ei names mapping'!$B$3:$R$3,0))</f>
        <v>charging station, 500W</v>
      </c>
      <c r="B126" s="14">
        <f>INDEX('vehicles specifications'!$B$3:$CK$86,MATCH(B94,'vehicles specifications'!$A$3:$A$86,0),MATCH(G126,'vehicles specifications'!$B$2:$CK$2,0))*INDEX('ei names mapping'!$B$137:$BK$220,MATCH(B94,'ei names mapping'!$A$137:$A$220,0),MATCH(G126,'ei names mapping'!$B$136:$BK$136,0))</f>
        <v>1</v>
      </c>
      <c r="C126" s="12" t="str">
        <f>INDEX('ei names mapping'!$B$38:$R$67,MATCH($B$3,'ei names mapping'!$A$4:$A$33,0),MATCH(G126,'ei names mapping'!$B$3:$R$3,0))</f>
        <v>GLO</v>
      </c>
      <c r="D126" s="12" t="str">
        <f>INDEX('ei names mapping'!$B$104:$R$133,MATCH(B91,'ei names mapping'!$A$104:$A$133,0),MATCH(G126,'ei names mapping'!$B$3:$R$3,0))</f>
        <v>unit</v>
      </c>
      <c r="E126" s="12"/>
      <c r="F126" s="12" t="s">
        <v>91</v>
      </c>
      <c r="G126" t="s">
        <v>53</v>
      </c>
      <c r="H126" s="12" t="str">
        <f>INDEX('ei names mapping'!$B$71:$R$100,MATCH($B$3,'ei names mapping'!$A$4:$A$33,0),MATCH(G126,'ei names mapping'!$B$3:$R$3,0))</f>
        <v>charging station, 500W</v>
      </c>
    </row>
    <row r="127" spans="1:8" x14ac:dyDescent="0.3">
      <c r="A127" s="12" t="str">
        <f>INDEX('ei names mapping'!$B$4:$R$33,MATCH($B$3,'ei names mapping'!$A$4:$A$33,0),MATCH(G127,'ei names mapping'!$B$3:$R$3,0))</f>
        <v>treatment of used electric bicycle</v>
      </c>
      <c r="B127" s="14">
        <f>INDEX('vehicles specifications'!$B$3:$CK$86,MATCH(B94,'vehicles specifications'!$A$3:$A$86,0),MATCH(G127,'vehicles specifications'!$B$2:$CK$2,0))*INDEX('ei names mapping'!$B$137:$BK$220,MATCH(B94,'ei names mapping'!$A$137:$A$220,0),MATCH(G127,'ei names mapping'!$B$136:$BK$136,0))</f>
        <v>-1.1083333333333332</v>
      </c>
      <c r="C127" s="12" t="str">
        <f>INDEX('ei names mapping'!$B$38:$R$67,MATCH($B$3,'ei names mapping'!$A$4:$A$33,0),MATCH(G127,'ei names mapping'!$B$3:$R$3,0))</f>
        <v>CH</v>
      </c>
      <c r="D127" s="12" t="str">
        <f>INDEX('ei names mapping'!$B$104:$R$133,MATCH(B91,'ei names mapping'!$A$104:$A$133,0),MATCH(G127,'ei names mapping'!$B$3:$R$3,0))</f>
        <v>unit</v>
      </c>
      <c r="E127" s="12"/>
      <c r="F127" s="12" t="s">
        <v>91</v>
      </c>
      <c r="G127" t="s">
        <v>150</v>
      </c>
      <c r="H127" s="12" t="str">
        <f>INDEX('ei names mapping'!$B$71:$R$100,MATCH($B$3,'ei names mapping'!$A$4:$A$33,0),MATCH(G127,'ei names mapping'!$B$3:$R$3,0))</f>
        <v>used electric bicycle</v>
      </c>
    </row>
    <row r="128" spans="1:8" x14ac:dyDescent="0.3">
      <c r="A128" s="12" t="str">
        <f>INDEX('ei names mapping'!$B$4:$R$33,MATCH($B$3,'ei names mapping'!$A$4:$A$33,0),MATCH(G128,'ei names mapping'!$B$3:$R$3,0))</f>
        <v>treatment of used electric bicycle</v>
      </c>
      <c r="B128" s="14">
        <f>INDEX('vehicles specifications'!$B$3:$CK$86,MATCH(B94,'vehicles specifications'!$A$3:$A$86,0),MATCH(G128,'vehicles specifications'!$B$2:$CK$2,0))*INDEX('ei names mapping'!$B$137:$BK$220,MATCH(B94,'ei names mapping'!$A$137:$A$220,0),MATCH(G128,'ei names mapping'!$B$136:$BK$136,0))</f>
        <v>-0.19583333333333333</v>
      </c>
      <c r="C128" s="12" t="str">
        <f>INDEX('ei names mapping'!$B$38:$R$67,MATCH($B$3,'ei names mapping'!$A$4:$A$33,0),MATCH(G128,'ei names mapping'!$B$3:$R$3,0))</f>
        <v>CH</v>
      </c>
      <c r="D128" s="12" t="str">
        <f>INDEX('ei names mapping'!$B$104:$R$133,MATCH(B91,'ei names mapping'!$A$104:$A$133,0),MATCH(G128,'ei names mapping'!$B$3:$R$3,0))</f>
        <v>unit</v>
      </c>
      <c r="E128" s="12"/>
      <c r="F128" s="12" t="s">
        <v>91</v>
      </c>
      <c r="G128" t="s">
        <v>151</v>
      </c>
      <c r="H128" s="12" t="str">
        <f>INDEX('ei names mapping'!$B$71:$R$100,MATCH($B$3,'ei names mapping'!$A$4:$A$33,0),MATCH(G128,'ei names mapping'!$B$3:$R$3,0))</f>
        <v>used electric bicycle</v>
      </c>
    </row>
    <row r="129" spans="1:8" x14ac:dyDescent="0.3">
      <c r="A129" s="12" t="str">
        <f>INDEX('ei names mapping'!$B$4:$R$33,MATCH($B$3,'ei names mapping'!$A$4:$A$33,0),MATCH(G129,'ei names mapping'!$B$3:$R$3,0))</f>
        <v>market for used Li-ion battery</v>
      </c>
      <c r="B129" s="14">
        <f>INDEX('vehicles specifications'!$B$3:$CK$86,MATCH(B94,'vehicles specifications'!$A$3:$A$86,0),MATCH(G129,'vehicles specifications'!$B$2:$CK$2,0))*INDEX('ei names mapping'!$B$137:$BK$220,MATCH(B94,'ei names mapping'!$A$137:$A$220,0),MATCH(G129,'ei names mapping'!$B$136:$BK$136,0))</f>
        <v>-6.5</v>
      </c>
      <c r="C129" s="12" t="str">
        <f>INDEX('ei names mapping'!$B$38:$R$67,MATCH($B$3,'ei names mapping'!$A$4:$A$33,0),MATCH(G129,'ei names mapping'!$B$3:$R$3,0))</f>
        <v>GLO</v>
      </c>
      <c r="D129" s="12" t="str">
        <f>INDEX('ei names mapping'!$B$104:$R$133,MATCH(B91,'ei names mapping'!$A$104:$A$133,0),MATCH(G129,'ei names mapping'!$B$3:$R$3,0))</f>
        <v>kilogram</v>
      </c>
      <c r="E129" s="12"/>
      <c r="F129" s="12" t="s">
        <v>91</v>
      </c>
      <c r="G129" t="s">
        <v>152</v>
      </c>
      <c r="H129" s="12" t="str">
        <f>INDEX('ei names mapping'!$B$71:$R$100,MATCH($B$3,'ei names mapping'!$A$4:$A$33,0),MATCH(G129,'ei names mapping'!$B$3:$R$3,0))</f>
        <v>used Li-ion battery</v>
      </c>
    </row>
    <row r="130" spans="1:8" s="21" customFormat="1" x14ac:dyDescent="0.3">
      <c r="A130" s="22" t="s">
        <v>468</v>
      </c>
      <c r="B130" s="21">
        <f>(B104/1000)*B116</f>
        <v>36.5</v>
      </c>
      <c r="C130" s="21" t="s">
        <v>94</v>
      </c>
      <c r="D130" s="21" t="s">
        <v>243</v>
      </c>
      <c r="F130" s="21" t="s">
        <v>91</v>
      </c>
      <c r="H130" s="22" t="s">
        <v>469</v>
      </c>
    </row>
    <row r="131" spans="1:8" s="21" customFormat="1" x14ac:dyDescent="0.3">
      <c r="A131" s="22" t="s">
        <v>467</v>
      </c>
      <c r="B131" s="2">
        <f>(B104/1000)*B115</f>
        <v>580.34999999999991</v>
      </c>
      <c r="C131" s="21" t="s">
        <v>98</v>
      </c>
      <c r="D131" s="21" t="s">
        <v>243</v>
      </c>
      <c r="F131" s="21" t="s">
        <v>91</v>
      </c>
      <c r="H131" s="22" t="s">
        <v>467</v>
      </c>
    </row>
    <row r="133" spans="1:8" ht="15.6" x14ac:dyDescent="0.3">
      <c r="A133" s="11" t="s">
        <v>72</v>
      </c>
      <c r="B133" s="9" t="str">
        <f>B135&amp;", "&amp;B137</f>
        <v>Bicycle, electric, cargo bike, 2050</v>
      </c>
    </row>
    <row r="134" spans="1:8" x14ac:dyDescent="0.3">
      <c r="A134" t="s">
        <v>73</v>
      </c>
      <c r="B134" t="s">
        <v>37</v>
      </c>
    </row>
    <row r="135" spans="1:8" x14ac:dyDescent="0.3">
      <c r="A135" t="s">
        <v>87</v>
      </c>
      <c r="B135" s="21" t="s">
        <v>524</v>
      </c>
    </row>
    <row r="136" spans="1:8" x14ac:dyDescent="0.3">
      <c r="A136" t="s">
        <v>88</v>
      </c>
      <c r="B136" s="12"/>
    </row>
    <row r="137" spans="1:8" x14ac:dyDescent="0.3">
      <c r="A137" t="s">
        <v>89</v>
      </c>
      <c r="B137" s="12">
        <v>2050</v>
      </c>
    </row>
    <row r="138" spans="1:8" x14ac:dyDescent="0.3">
      <c r="A138" t="s">
        <v>131</v>
      </c>
      <c r="B138" s="12" t="str">
        <f>B135&amp;" - "&amp;B137&amp;" - "&amp;B134</f>
        <v>Bicycle, electric, cargo bike - 2050 - CH</v>
      </c>
    </row>
    <row r="139" spans="1:8" x14ac:dyDescent="0.3">
      <c r="A139" t="s">
        <v>74</v>
      </c>
      <c r="B139" t="str">
        <f>B135</f>
        <v>Bicycle, electric, cargo bike</v>
      </c>
    </row>
    <row r="140" spans="1:8" x14ac:dyDescent="0.3">
      <c r="A140" t="s">
        <v>75</v>
      </c>
      <c r="B140" t="s">
        <v>76</v>
      </c>
    </row>
    <row r="141" spans="1:8" x14ac:dyDescent="0.3">
      <c r="A141" t="s">
        <v>77</v>
      </c>
      <c r="B141" t="s">
        <v>77</v>
      </c>
    </row>
    <row r="142" spans="1:8" x14ac:dyDescent="0.3">
      <c r="A142" t="s">
        <v>79</v>
      </c>
      <c r="B142" t="s">
        <v>90</v>
      </c>
    </row>
    <row r="143" spans="1:8" x14ac:dyDescent="0.3">
      <c r="A143" t="s">
        <v>132</v>
      </c>
      <c r="B143">
        <f>INDEX('vehicles specifications'!$B$3:$CK$86,MATCH(B138,'vehicles specifications'!$A$3:$A$86,0),MATCH("Lifetime [km]",'vehicles specifications'!$B$2:$CK$2,0))</f>
        <v>20000</v>
      </c>
    </row>
    <row r="144" spans="1:8" x14ac:dyDescent="0.3">
      <c r="A144" t="s">
        <v>133</v>
      </c>
      <c r="B144">
        <f>INDEX('vehicles specifications'!$B$3:$CK$86,MATCH(B138,'vehicles specifications'!$A$3:$A$86,0),MATCH("Passengers [unit]",'vehicles specifications'!$B$2:$CK$2,0))</f>
        <v>1</v>
      </c>
    </row>
    <row r="145" spans="1:2" x14ac:dyDescent="0.3">
      <c r="A145" t="s">
        <v>134</v>
      </c>
      <c r="B145">
        <f>INDEX('vehicles specifications'!$B$3:$CK$86,MATCH(B138,'vehicles specifications'!$A$3:$A$86,0),MATCH("Servicing [unit]",'vehicles specifications'!$B$2:$CK$2,0))</f>
        <v>5</v>
      </c>
    </row>
    <row r="146" spans="1:2" x14ac:dyDescent="0.3">
      <c r="A146" t="s">
        <v>135</v>
      </c>
      <c r="B146">
        <f>INDEX('vehicles specifications'!$B$3:$CK$86,MATCH(B138,'vehicles specifications'!$A$3:$A$86,0),MATCH("Energy battery replacement [unit]",'vehicles specifications'!$B$2:$CK$2,0))</f>
        <v>0</v>
      </c>
    </row>
    <row r="147" spans="1:2" x14ac:dyDescent="0.3">
      <c r="A147" t="s">
        <v>136</v>
      </c>
      <c r="B147">
        <f>INDEX('vehicles specifications'!$B$3:$CK$86,MATCH(B138,'vehicles specifications'!$A$3:$A$86,0),MATCH("Annual kilometers [km]",'vehicles specifications'!$B$2:$CK$2,0))</f>
        <v>2060</v>
      </c>
    </row>
    <row r="148" spans="1:2" x14ac:dyDescent="0.3">
      <c r="A148" t="s">
        <v>137</v>
      </c>
      <c r="B148">
        <f>INDEX('vehicles specifications'!$B$3:$CK$86,MATCH(B138,'vehicles specifications'!$A$3:$A$86,0),MATCH("Curb mass [kg]",'vehicles specifications'!$B$2:$CK$2,0))</f>
        <v>36.619999999999997</v>
      </c>
    </row>
    <row r="149" spans="1:2" x14ac:dyDescent="0.3">
      <c r="A149" t="s">
        <v>138</v>
      </c>
      <c r="B149">
        <f>INDEX('vehicles specifications'!$B$3:$CK$86,MATCH(B138,'vehicles specifications'!$A$3:$A$86,0),MATCH("Power [kW]",'vehicles specifications'!$B$2:$CK$2,0))</f>
        <v>0.5</v>
      </c>
    </row>
    <row r="150" spans="1:2" x14ac:dyDescent="0.3">
      <c r="A150" t="s">
        <v>139</v>
      </c>
      <c r="B150">
        <f>INDEX('vehicles specifications'!$B$3:$CK$86,MATCH(B138,'vehicles specifications'!$A$3:$A$86,0),MATCH("Energy battery mass [kg]",'vehicles specifications'!$B$2:$CK$2,0))</f>
        <v>5.9799999999999995</v>
      </c>
    </row>
    <row r="151" spans="1:2" x14ac:dyDescent="0.3">
      <c r="A151" t="s">
        <v>140</v>
      </c>
      <c r="B151">
        <f>INDEX('vehicles specifications'!$B$3:$CK$86,MATCH(B138,'vehicles specifications'!$A$3:$A$86,0),MATCH("Electric energy stored [kWh]",'vehicles specifications'!$B$2:$CK$2,0))</f>
        <v>2.2999999999999998</v>
      </c>
    </row>
    <row r="152" spans="1:2" s="21" customFormat="1" x14ac:dyDescent="0.3">
      <c r="A152" s="21" t="s">
        <v>654</v>
      </c>
      <c r="B152" s="21">
        <f>INDEX('vehicles specifications'!$B$3:$CK$86,MATCH(B138,'vehicles specifications'!$A$3:$A$86,0),MATCH("Electric energy available [kWh]",'vehicles specifications'!$B$2:$CK$2,0))</f>
        <v>1.8399999999999999</v>
      </c>
    </row>
    <row r="153" spans="1:2" x14ac:dyDescent="0.3">
      <c r="A153" t="s">
        <v>143</v>
      </c>
      <c r="B153">
        <f>INDEX('vehicles specifications'!$B$3:$CK$86,MATCH(B138,'vehicles specifications'!$A$3:$A$86,0),MATCH("Oxydation energy stored [kWh]",'vehicles specifications'!$B$2:$CK$2,0))</f>
        <v>0</v>
      </c>
    </row>
    <row r="154" spans="1:2" x14ac:dyDescent="0.3">
      <c r="A154" t="s">
        <v>145</v>
      </c>
      <c r="B154">
        <f>INDEX('vehicles specifications'!$B$3:$CK$86,MATCH(B138,'vehicles specifications'!$A$3:$A$86,0),MATCH("Fuel mass [kg]",'vehicles specifications'!$B$2:$CK$2,0))</f>
        <v>0</v>
      </c>
    </row>
    <row r="155" spans="1:2" x14ac:dyDescent="0.3">
      <c r="A155" t="s">
        <v>141</v>
      </c>
      <c r="B155" s="2">
        <f>INDEX('vehicles specifications'!$B$3:$CK$86,MATCH(B138,'vehicles specifications'!$A$3:$A$86,0),MATCH("Range [km]",'vehicles specifications'!$B$2:$CK$2,0))</f>
        <v>190.84759493670884</v>
      </c>
    </row>
    <row r="156" spans="1:2" x14ac:dyDescent="0.3">
      <c r="A156" t="s">
        <v>142</v>
      </c>
      <c r="B156" t="str">
        <f>INDEX('vehicles specifications'!$B$3:$CK$86,MATCH(B138,'vehicles specifications'!$A$3:$A$86,0),MATCH("Emission standard",'vehicles specifications'!$B$2:$CK$2,0))</f>
        <v>None</v>
      </c>
    </row>
    <row r="157" spans="1:2" x14ac:dyDescent="0.3">
      <c r="A157" t="s">
        <v>144</v>
      </c>
      <c r="B157" s="6">
        <f>INDEX('vehicles specifications'!$B$3:$CK$86,MATCH(B138,'vehicles specifications'!$A$3:$A$86,0),MATCH("Lightweighting rate [%]",'vehicles specifications'!$B$2:$CK$2,0))</f>
        <v>7.0000000000000007E-2</v>
      </c>
    </row>
    <row r="158" spans="1:2" s="21" customFormat="1" x14ac:dyDescent="0.3">
      <c r="A158" s="21" t="s">
        <v>513</v>
      </c>
      <c r="B158" s="6" t="s">
        <v>514</v>
      </c>
    </row>
    <row r="159" spans="1:2" s="21" customFormat="1" x14ac:dyDescent="0.3">
      <c r="A159" s="21" t="s">
        <v>515</v>
      </c>
      <c r="B159" s="2">
        <v>15900</v>
      </c>
    </row>
    <row r="160" spans="1:2" s="21" customFormat="1" x14ac:dyDescent="0.3">
      <c r="A160" s="21" t="s">
        <v>516</v>
      </c>
      <c r="B160" s="2">
        <v>1000</v>
      </c>
    </row>
    <row r="161" spans="1:8" s="21" customFormat="1" x14ac:dyDescent="0.3">
      <c r="A161" s="21" t="s">
        <v>84</v>
      </c>
      <c r="B161" s="21" t="str">
        <f>"Power: "&amp;B149&amp;" kW. Lifetime: "&amp;B143&amp;" km. Annual kilometers: "&amp;ROUND(B147,0)&amp;" km. Number of passengers: "&amp;ROUND(B144,1)&amp;". Curb mass: "&amp;ROUND(B148,1)&amp;" kg. Lightweighting of glider: "&amp;ROUND(B157*100,0)&amp;"%. Emission standard: "&amp;B156&amp;". Service visits throughout lifetime: "&amp;ROUND(B145,1)&amp;". Range: "&amp;ROUND(B155,0)&amp;" km. Battery capacity: "&amp;ROUND(B151,1)&amp;" kWh. Available battery capacity: "&amp;B152&amp;" kWh. Battery mass: "&amp;ROUND(B150,1)&amp; " kg. Battery replacement throughout lifetime: "&amp;ROUND(B146,1)&amp;". Fuel tank capacity: "&amp;ROUND(B153,1)&amp;" kWh. Fuel mass: "&amp;ROUND(B154,1)&amp;" kg. Origin of manufacture: "&amp;B158&amp;". Shipping distance: "&amp;B159&amp;" km. Lorry distribution distance: "&amp;B160&amp;" km. Documentation: "&amp;Readmefirst!$B$2&amp;", "&amp;Readmefirst!$B$3&amp;". "&amp;'lci-kick scooter'!B142</f>
        <v>Power: 0.5 kW. Lifetime: 20000 km. Annual kilometers: 2060 km. Number of passengers: 1. Curb mass: 36.6 kg. Lightweighting of glider: 7%. Emission standard: None. Service visits throughout lifetime: 5. Range: 191 km. Battery capacity: 2.3 kWh. Available battery capacity: 1.84 kWh. Battery mass: 6 kg. Battery replacement throughout lifetime: 0. Fuel tank capacity: 0 kWh. Fuel mass: 0 kg. Origin of manufacture: China. Shipping distance: 15900 km. Lorry distribution distance: 1000 km. Documentation: 2021 UVEK life-cycle inventories update of on-road vehicles, Sacchi R. (PSI), Bauer C. (PSI), 2021. 1785</v>
      </c>
    </row>
    <row r="162" spans="1:8" ht="15.6" x14ac:dyDescent="0.3">
      <c r="A162" s="11" t="s">
        <v>80</v>
      </c>
    </row>
    <row r="163" spans="1:8" x14ac:dyDescent="0.3">
      <c r="A163" t="s">
        <v>81</v>
      </c>
      <c r="B163" t="s">
        <v>82</v>
      </c>
      <c r="C163" t="s">
        <v>73</v>
      </c>
      <c r="D163" t="s">
        <v>77</v>
      </c>
      <c r="E163" t="s">
        <v>83</v>
      </c>
      <c r="F163" t="s">
        <v>75</v>
      </c>
      <c r="G163" t="s">
        <v>84</v>
      </c>
      <c r="H163" t="s">
        <v>74</v>
      </c>
    </row>
    <row r="164" spans="1:8" x14ac:dyDescent="0.3">
      <c r="A164" s="12" t="str">
        <f>B133</f>
        <v>Bicycle, electric, cargo bike, 2050</v>
      </c>
      <c r="B164" s="12">
        <v>1</v>
      </c>
      <c r="C164" s="12" t="str">
        <f>B134</f>
        <v>CH</v>
      </c>
      <c r="D164" s="12" t="str">
        <f>B141</f>
        <v>unit</v>
      </c>
      <c r="E164" s="12"/>
      <c r="F164" s="12" t="s">
        <v>85</v>
      </c>
      <c r="G164" s="12" t="s">
        <v>86</v>
      </c>
      <c r="H164" s="12" t="str">
        <f>B135</f>
        <v>Bicycle, electric, cargo bike</v>
      </c>
    </row>
    <row r="165" spans="1:8" x14ac:dyDescent="0.3">
      <c r="A165" s="12" t="str">
        <f>INDEX('ei names mapping'!$B$4:$R$33,MATCH($B$3,'ei names mapping'!$A$4:$A$33,0),MATCH(G165,'ei names mapping'!$B$3:$R$3,0))</f>
        <v>electric bicycle production, without battery and motor</v>
      </c>
      <c r="B165" s="14">
        <f>INDEX('vehicles specifications'!$B$3:$CK$86,MATCH(B138,'vehicles specifications'!$A$3:$A$86,0),MATCH(G165,'vehicles specifications'!$B$2:$CK$2,0))*INDEX('ei names mapping'!$B$137:$BK$220,MATCH(B138,'ei names mapping'!$A$137:$A$220,0),MATCH(G165,'ei names mapping'!$B$136:$BK$136,0))</f>
        <v>1.6470588235294117</v>
      </c>
      <c r="C165" s="12" t="str">
        <f>INDEX('ei names mapping'!$B$38:$R$67,MATCH($B$3,'ei names mapping'!$A$4:$A$33,0),MATCH(G165,'ei names mapping'!$B$3:$R$3,0))</f>
        <v>RER</v>
      </c>
      <c r="D165" s="12" t="str">
        <f>INDEX('ei names mapping'!$B$104:$R$133,MATCH(B135,'ei names mapping'!$A$104:$A$133,0),MATCH(G165,'ei names mapping'!$B$3:$R$3,0))</f>
        <v>unit</v>
      </c>
      <c r="E165" s="12"/>
      <c r="F165" s="12" t="s">
        <v>91</v>
      </c>
      <c r="G165" s="21" t="s">
        <v>15</v>
      </c>
      <c r="H165" s="12" t="str">
        <f>INDEX('ei names mapping'!$B$71:$R$100,MATCH($B$3,'ei names mapping'!$A$4:$A$33,0),MATCH(G165,'ei names mapping'!$B$3:$R$3,0))</f>
        <v>electric bicycle, without battery and motor</v>
      </c>
    </row>
    <row r="166" spans="1:8" x14ac:dyDescent="0.3">
      <c r="A166" s="12" t="str">
        <f>INDEX('ei names mapping'!$B$4:$R$33,MATCH($B$3,'ei names mapping'!$A$4:$A$33,0),MATCH(G166,'ei names mapping'!$B$3:$R$3,0))</f>
        <v>market for electric motor, vehicle</v>
      </c>
      <c r="B166" s="14">
        <f>INDEX('vehicles specifications'!$B$3:$CK$86,MATCH(B138,'vehicles specifications'!$A$3:$A$86,0),MATCH(G166,'vehicles specifications'!$B$2:$CK$2,0))*INDEX('ei names mapping'!$B$137:$BK$220,MATCH(B138,'ei names mapping'!$A$137:$A$220,0),MATCH(G166,'ei names mapping'!$B$136:$BK$136,0))</f>
        <v>4.5999999999999996</v>
      </c>
      <c r="C166" s="12" t="str">
        <f>INDEX('ei names mapping'!$B$38:$R$67,MATCH($B$3,'ei names mapping'!$A$4:$A$33,0),MATCH(G166,'ei names mapping'!$B$3:$R$3,0))</f>
        <v>GLO</v>
      </c>
      <c r="D166" s="12" t="str">
        <f>INDEX('ei names mapping'!$B$104:$R$133,MATCH(B135,'ei names mapping'!$A$104:$A$133,0),MATCH(G166,'ei names mapping'!$B$3:$R$3,0))</f>
        <v>kilogram</v>
      </c>
      <c r="E166" s="12"/>
      <c r="F166" s="12" t="s">
        <v>91</v>
      </c>
      <c r="G166" t="s">
        <v>557</v>
      </c>
      <c r="H166" s="12" t="str">
        <f>INDEX('ei names mapping'!$B$71:$R$100,MATCH($B$3,'ei names mapping'!$A$4:$A$33,0),MATCH(G166,'ei names mapping'!$B$3:$R$3,0))</f>
        <v>electric motor, vehicle</v>
      </c>
    </row>
    <row r="167" spans="1:8" s="21" customFormat="1" x14ac:dyDescent="0.3">
      <c r="A167" s="12" t="str">
        <f>INDEX('ei names mapping'!$B$4:$R$33,MATCH(B135,'ei names mapping'!$A$4:$A$33,0),MATCH(G167,'ei names mapping'!$B$3:$R$3,0))</f>
        <v>glider lightweighting</v>
      </c>
      <c r="B167" s="16">
        <f>INDEX('vehicles specifications'!$B$3:$CK$86,MATCH(B138,'vehicles specifications'!$A$3:$A$86,0),MATCH(G167,'vehicles specifications'!$B$2:$CK$2,0))*INDEX('ei names mapping'!$B$137:$BK$220,MATCH(B138,'ei names mapping'!$A$137:$A$220,0),MATCH(G167,'ei names mapping'!$B$136:$BK$136,0))</f>
        <v>1.9600000000000002</v>
      </c>
      <c r="C167" s="12" t="str">
        <f>INDEX('ei names mapping'!$B$38:$R$67,MATCH(B135,'ei names mapping'!$A$4:$A$33,0),MATCH(G167,'ei names mapping'!$B$3:$R$3,0))</f>
        <v>GLO</v>
      </c>
      <c r="D167" s="12" t="str">
        <f>INDEX('ei names mapping'!$B$104:$R$133,MATCH(B135,'ei names mapping'!$A$104:$A$133,0),MATCH(G167,'ei names mapping'!$B$3:$R$3,0))</f>
        <v>kilogram</v>
      </c>
      <c r="E167" s="12"/>
      <c r="F167" s="12" t="s">
        <v>91</v>
      </c>
      <c r="G167" s="21" t="s">
        <v>14</v>
      </c>
      <c r="H167" s="12" t="str">
        <f>INDEX('ei names mapping'!$B$71:$R$100,MATCH(B135,'ei names mapping'!$A$4:$A$33,0),MATCH(G167,'ei names mapping'!$B$3:$R$3,0))</f>
        <v>glider lightweighting</v>
      </c>
    </row>
    <row r="168" spans="1:8" x14ac:dyDescent="0.3">
      <c r="A168" s="12" t="str">
        <f>INDEX('ei names mapping'!$B$4:$R$33,MATCH($B$3,'ei names mapping'!$A$4:$A$33,0),MATCH(G168,'ei names mapping'!$B$3:$R$3,0))</f>
        <v>Battery cell, NMC</v>
      </c>
      <c r="B168" s="14">
        <f>INDEX('vehicles specifications'!$B$3:$CK$86,MATCH(B138,'vehicles specifications'!$A$3:$A$86,0),MATCH(G168,'vehicles specifications'!$B$2:$CK$2,0))*INDEX('ei names mapping'!$B$137:$BK$220,MATCH(B138,'ei names mapping'!$A$137:$A$220,0),MATCH(G168,'ei names mapping'!$B$136:$BK$136,0))</f>
        <v>4.5999999999999996</v>
      </c>
      <c r="C168" s="12" t="str">
        <f>INDEX('ei names mapping'!$B$38:$R$67,MATCH($B$3,'ei names mapping'!$A$4:$A$33,0),MATCH(G168,'ei names mapping'!$B$3:$R$3,0))</f>
        <v>GLO</v>
      </c>
      <c r="D168" s="12" t="str">
        <f>INDEX('ei names mapping'!$B$104:$R$133,MATCH(B135,'ei names mapping'!$A$104:$A$133,0),MATCH(G168,'ei names mapping'!$B$3:$R$3,0))</f>
        <v>kilogram</v>
      </c>
      <c r="E168" s="12"/>
      <c r="F168" s="12" t="s">
        <v>91</v>
      </c>
      <c r="G168" t="s">
        <v>19</v>
      </c>
      <c r="H168" s="12" t="str">
        <f>INDEX('ei names mapping'!$B$71:$R$100,MATCH($B$3,'ei names mapping'!$A$4:$A$33,0),MATCH(G168,'ei names mapping'!$B$3:$R$3,0))</f>
        <v>Battery cell</v>
      </c>
    </row>
    <row r="169" spans="1:8" x14ac:dyDescent="0.3">
      <c r="A169" s="12" t="str">
        <f>INDEX('ei names mapping'!$B$4:$R$33,MATCH($B$3,'ei names mapping'!$A$4:$A$33,0),MATCH(G169,'ei names mapping'!$B$3:$R$3,0))</f>
        <v>Battery BoP</v>
      </c>
      <c r="B169" s="14">
        <f>INDEX('vehicles specifications'!$B$3:$CK$86,MATCH(B138,'vehicles specifications'!$A$3:$A$86,0),MATCH(G169,'vehicles specifications'!$B$2:$CK$2,0))*INDEX('ei names mapping'!$B$137:$BK$220,MATCH(B138,'ei names mapping'!$A$137:$A$220,0),MATCH(G169,'ei names mapping'!$B$136:$BK$136,0))</f>
        <v>1.38</v>
      </c>
      <c r="C169" s="12" t="str">
        <f>INDEX('ei names mapping'!$B$38:$R$67,MATCH($B$3,'ei names mapping'!$A$4:$A$33,0),MATCH(G169,'ei names mapping'!$B$3:$R$3,0))</f>
        <v>GLO</v>
      </c>
      <c r="D169" s="12" t="str">
        <f>INDEX('ei names mapping'!$B$104:$R$133,MATCH(B135,'ei names mapping'!$A$104:$A$133,0),MATCH(G169,'ei names mapping'!$B$3:$R$3,0))</f>
        <v>kilogram</v>
      </c>
      <c r="E169" s="12"/>
      <c r="F169" s="12" t="s">
        <v>91</v>
      </c>
      <c r="G169" t="s">
        <v>20</v>
      </c>
      <c r="H169" s="12" t="str">
        <f>INDEX('ei names mapping'!$B$71:$R$100,MATCH($B$3,'ei names mapping'!$A$4:$A$33,0),MATCH(G169,'ei names mapping'!$B$3:$R$3,0))</f>
        <v>Battery BoP</v>
      </c>
    </row>
    <row r="170" spans="1:8" x14ac:dyDescent="0.3">
      <c r="A170" s="12" t="str">
        <f>INDEX('ei names mapping'!$B$4:$R$33,MATCH($B$3,'ei names mapping'!$A$4:$A$33,0),MATCH(G170,'ei names mapping'!$B$3:$R$3,0))</f>
        <v>charging station, 500W</v>
      </c>
      <c r="B170" s="14">
        <f>INDEX('vehicles specifications'!$B$3:$CK$86,MATCH(B138,'vehicles specifications'!$A$3:$A$86,0),MATCH(G170,'vehicles specifications'!$B$2:$CK$2,0))*INDEX('ei names mapping'!$B$137:$BK$220,MATCH(B138,'ei names mapping'!$A$137:$A$220,0),MATCH(G170,'ei names mapping'!$B$136:$BK$136,0))</f>
        <v>1</v>
      </c>
      <c r="C170" s="12" t="str">
        <f>INDEX('ei names mapping'!$B$38:$R$67,MATCH($B$3,'ei names mapping'!$A$4:$A$33,0),MATCH(G170,'ei names mapping'!$B$3:$R$3,0))</f>
        <v>GLO</v>
      </c>
      <c r="D170" s="12" t="str">
        <f>INDEX('ei names mapping'!$B$104:$R$133,MATCH(B135,'ei names mapping'!$A$104:$A$133,0),MATCH(G170,'ei names mapping'!$B$3:$R$3,0))</f>
        <v>unit</v>
      </c>
      <c r="E170" s="12"/>
      <c r="F170" s="12" t="s">
        <v>91</v>
      </c>
      <c r="G170" t="s">
        <v>53</v>
      </c>
      <c r="H170" s="12" t="str">
        <f>INDEX('ei names mapping'!$B$71:$R$100,MATCH($B$3,'ei names mapping'!$A$4:$A$33,0),MATCH(G170,'ei names mapping'!$B$3:$R$3,0))</f>
        <v>charging station, 500W</v>
      </c>
    </row>
    <row r="171" spans="1:8" x14ac:dyDescent="0.3">
      <c r="A171" s="12" t="str">
        <f>INDEX('ei names mapping'!$B$4:$R$33,MATCH($B$3,'ei names mapping'!$A$4:$A$33,0),MATCH(G171,'ei names mapping'!$B$3:$R$3,0))</f>
        <v>treatment of used electric bicycle</v>
      </c>
      <c r="B171" s="14">
        <f>INDEX('vehicles specifications'!$B$3:$CK$86,MATCH(B138,'vehicles specifications'!$A$3:$A$86,0),MATCH(G171,'vehicles specifications'!$B$2:$CK$2,0))*INDEX('ei names mapping'!$B$137:$BK$220,MATCH(B138,'ei names mapping'!$A$137:$A$220,0),MATCH(G171,'ei names mapping'!$B$136:$BK$136,0))</f>
        <v>-1.085</v>
      </c>
      <c r="C171" s="12" t="str">
        <f>INDEX('ei names mapping'!$B$38:$R$67,MATCH($B$3,'ei names mapping'!$A$4:$A$33,0),MATCH(G171,'ei names mapping'!$B$3:$R$3,0))</f>
        <v>CH</v>
      </c>
      <c r="D171" s="12" t="str">
        <f>INDEX('ei names mapping'!$B$104:$R$133,MATCH(B135,'ei names mapping'!$A$104:$A$133,0),MATCH(G171,'ei names mapping'!$B$3:$R$3,0))</f>
        <v>unit</v>
      </c>
      <c r="E171" s="12"/>
      <c r="F171" s="12" t="s">
        <v>91</v>
      </c>
      <c r="G171" t="s">
        <v>150</v>
      </c>
      <c r="H171" s="12" t="str">
        <f>INDEX('ei names mapping'!$B$71:$R$100,MATCH($B$3,'ei names mapping'!$A$4:$A$33,0),MATCH(G171,'ei names mapping'!$B$3:$R$3,0))</f>
        <v>used electric bicycle</v>
      </c>
    </row>
    <row r="172" spans="1:8" x14ac:dyDescent="0.3">
      <c r="A172" s="12" t="str">
        <f>INDEX('ei names mapping'!$B$4:$R$33,MATCH($B$3,'ei names mapping'!$A$4:$A$33,0),MATCH(G172,'ei names mapping'!$B$3:$R$3,0))</f>
        <v>treatment of used electric bicycle</v>
      </c>
      <c r="B172" s="14">
        <f>INDEX('vehicles specifications'!$B$3:$CK$86,MATCH(B138,'vehicles specifications'!$A$3:$A$86,0),MATCH(G172,'vehicles specifications'!$B$2:$CK$2,0))*INDEX('ei names mapping'!$B$137:$BK$220,MATCH(B138,'ei names mapping'!$A$137:$A$220,0),MATCH(G172,'ei names mapping'!$B$136:$BK$136,0))</f>
        <v>-0.19166666666666665</v>
      </c>
      <c r="C172" s="12" t="str">
        <f>INDEX('ei names mapping'!$B$38:$R$67,MATCH($B$3,'ei names mapping'!$A$4:$A$33,0),MATCH(G172,'ei names mapping'!$B$3:$R$3,0))</f>
        <v>CH</v>
      </c>
      <c r="D172" s="12" t="str">
        <f>INDEX('ei names mapping'!$B$104:$R$133,MATCH(B135,'ei names mapping'!$A$104:$A$133,0),MATCH(G172,'ei names mapping'!$B$3:$R$3,0))</f>
        <v>unit</v>
      </c>
      <c r="E172" s="12"/>
      <c r="F172" s="12" t="s">
        <v>91</v>
      </c>
      <c r="G172" t="s">
        <v>151</v>
      </c>
      <c r="H172" s="12" t="str">
        <f>INDEX('ei names mapping'!$B$71:$R$100,MATCH($B$3,'ei names mapping'!$A$4:$A$33,0),MATCH(G172,'ei names mapping'!$B$3:$R$3,0))</f>
        <v>used electric bicycle</v>
      </c>
    </row>
    <row r="173" spans="1:8" x14ac:dyDescent="0.3">
      <c r="A173" s="12" t="str">
        <f>INDEX('ei names mapping'!$B$4:$R$33,MATCH($B$3,'ei names mapping'!$A$4:$A$33,0),MATCH(G173,'ei names mapping'!$B$3:$R$3,0))</f>
        <v>market for used Li-ion battery</v>
      </c>
      <c r="B173" s="14">
        <f>INDEX('vehicles specifications'!$B$3:$CK$86,MATCH(B138,'vehicles specifications'!$A$3:$A$86,0),MATCH(G173,'vehicles specifications'!$B$2:$CK$2,0))*INDEX('ei names mapping'!$B$137:$BK$220,MATCH(B138,'ei names mapping'!$A$137:$A$220,0),MATCH(G173,'ei names mapping'!$B$136:$BK$136,0))</f>
        <v>-5.9799999999999995</v>
      </c>
      <c r="C173" s="12" t="str">
        <f>INDEX('ei names mapping'!$B$38:$R$67,MATCH($B$3,'ei names mapping'!$A$4:$A$33,0),MATCH(G173,'ei names mapping'!$B$3:$R$3,0))</f>
        <v>GLO</v>
      </c>
      <c r="D173" s="12" t="str">
        <f>INDEX('ei names mapping'!$B$104:$R$133,MATCH(B135,'ei names mapping'!$A$104:$A$133,0),MATCH(G173,'ei names mapping'!$B$3:$R$3,0))</f>
        <v>kilogram</v>
      </c>
      <c r="E173" s="12"/>
      <c r="F173" s="12" t="s">
        <v>91</v>
      </c>
      <c r="G173" t="s">
        <v>152</v>
      </c>
      <c r="H173" s="12" t="str">
        <f>INDEX('ei names mapping'!$B$71:$R$100,MATCH($B$3,'ei names mapping'!$A$4:$A$33,0),MATCH(G173,'ei names mapping'!$B$3:$R$3,0))</f>
        <v>used Li-ion battery</v>
      </c>
    </row>
    <row r="174" spans="1:8" s="21" customFormat="1" x14ac:dyDescent="0.3">
      <c r="A174" s="22" t="s">
        <v>468</v>
      </c>
      <c r="B174" s="21">
        <f>(B148/1000)*B160</f>
        <v>36.619999999999997</v>
      </c>
      <c r="C174" s="21" t="s">
        <v>94</v>
      </c>
      <c r="D174" s="21" t="s">
        <v>243</v>
      </c>
      <c r="F174" s="21" t="s">
        <v>91</v>
      </c>
      <c r="H174" s="22" t="s">
        <v>469</v>
      </c>
    </row>
    <row r="175" spans="1:8" s="21" customFormat="1" x14ac:dyDescent="0.3">
      <c r="A175" s="22" t="s">
        <v>467</v>
      </c>
      <c r="B175" s="2">
        <f>(B148/1000)*B159</f>
        <v>582.25800000000004</v>
      </c>
      <c r="C175" s="21" t="s">
        <v>98</v>
      </c>
      <c r="D175" s="21" t="s">
        <v>243</v>
      </c>
      <c r="F175" s="21" t="s">
        <v>91</v>
      </c>
      <c r="H175" s="22" t="s">
        <v>467</v>
      </c>
    </row>
    <row r="177" spans="1:2" ht="15.6" x14ac:dyDescent="0.3">
      <c r="A177" s="11" t="s">
        <v>72</v>
      </c>
      <c r="B177" s="9" t="str">
        <f>"transport, "&amp;B179&amp;", "&amp;B181</f>
        <v>transport, Bicycle, electric, cargo bike, 2020</v>
      </c>
    </row>
    <row r="178" spans="1:2" x14ac:dyDescent="0.3">
      <c r="A178" t="s">
        <v>73</v>
      </c>
      <c r="B178" t="s">
        <v>37</v>
      </c>
    </row>
    <row r="179" spans="1:2" x14ac:dyDescent="0.3">
      <c r="A179" t="s">
        <v>87</v>
      </c>
      <c r="B179" s="21" t="s">
        <v>524</v>
      </c>
    </row>
    <row r="180" spans="1:2" x14ac:dyDescent="0.3">
      <c r="A180" t="s">
        <v>88</v>
      </c>
      <c r="B180" s="12"/>
    </row>
    <row r="181" spans="1:2" x14ac:dyDescent="0.3">
      <c r="A181" t="s">
        <v>89</v>
      </c>
      <c r="B181" s="12">
        <v>2020</v>
      </c>
    </row>
    <row r="182" spans="1:2" x14ac:dyDescent="0.3">
      <c r="A182" t="s">
        <v>131</v>
      </c>
      <c r="B182" s="12" t="str">
        <f>B179&amp;" - "&amp;B181&amp;" - "&amp;B178</f>
        <v>Bicycle, electric, cargo bike - 2020 - CH</v>
      </c>
    </row>
    <row r="183" spans="1:2" x14ac:dyDescent="0.3">
      <c r="A183" t="s">
        <v>74</v>
      </c>
      <c r="B183" s="12" t="str">
        <f>"transport, "&amp;B179</f>
        <v>transport, Bicycle, electric, cargo bike</v>
      </c>
    </row>
    <row r="184" spans="1:2" x14ac:dyDescent="0.3">
      <c r="A184" t="s">
        <v>75</v>
      </c>
      <c r="B184" t="s">
        <v>76</v>
      </c>
    </row>
    <row r="185" spans="1:2" x14ac:dyDescent="0.3">
      <c r="A185" t="s">
        <v>77</v>
      </c>
      <c r="B185" t="s">
        <v>172</v>
      </c>
    </row>
    <row r="186" spans="1:2" x14ac:dyDescent="0.3">
      <c r="A186" t="s">
        <v>79</v>
      </c>
      <c r="B186" t="s">
        <v>90</v>
      </c>
    </row>
    <row r="187" spans="1:2" x14ac:dyDescent="0.3">
      <c r="A187" t="s">
        <v>132</v>
      </c>
      <c r="B187">
        <f>INDEX('vehicles specifications'!$B$3:$CK$86,MATCH(B182,'vehicles specifications'!$A$3:$A$86,0),MATCH("Lifetime [km]",'vehicles specifications'!$B$2:$CK$2,0))</f>
        <v>20000</v>
      </c>
    </row>
    <row r="188" spans="1:2" x14ac:dyDescent="0.3">
      <c r="A188" t="s">
        <v>133</v>
      </c>
      <c r="B188">
        <f>INDEX('vehicles specifications'!$B$3:$CK$86,MATCH(B182,'vehicles specifications'!$A$3:$A$86,0),MATCH("Passengers [unit]",'vehicles specifications'!$B$2:$CK$2,0))</f>
        <v>1</v>
      </c>
    </row>
    <row r="189" spans="1:2" x14ac:dyDescent="0.3">
      <c r="A189" t="s">
        <v>134</v>
      </c>
      <c r="B189">
        <f>INDEX('vehicles specifications'!$B$3:$CK$86,MATCH(B182,'vehicles specifications'!$A$3:$A$86,0),MATCH("Servicing [unit]",'vehicles specifications'!$B$2:$CK$2,0))</f>
        <v>5</v>
      </c>
    </row>
    <row r="190" spans="1:2" x14ac:dyDescent="0.3">
      <c r="A190" t="s">
        <v>135</v>
      </c>
      <c r="B190">
        <f>INDEX('vehicles specifications'!$B$3:$CK$86,MATCH(B182,'vehicles specifications'!$A$3:$A$86,0),MATCH("Energy battery replacement [unit]",'vehicles specifications'!$B$2:$CK$2,0))</f>
        <v>1</v>
      </c>
    </row>
    <row r="191" spans="1:2" x14ac:dyDescent="0.3">
      <c r="A191" t="s">
        <v>136</v>
      </c>
      <c r="B191">
        <f>INDEX('vehicles specifications'!$B$3:$CK$86,MATCH(B182,'vehicles specifications'!$A$3:$A$86,0),MATCH("Annual kilometers [km]",'vehicles specifications'!$B$2:$CK$2,0))</f>
        <v>2060</v>
      </c>
    </row>
    <row r="192" spans="1:2" x14ac:dyDescent="0.3">
      <c r="A192" t="s">
        <v>137</v>
      </c>
      <c r="B192">
        <f>INDEX('vehicles specifications'!$B$3:$CK$86,MATCH(B182,'vehicles specifications'!$A$3:$A$86,0),MATCH("Curb mass [kg]",'vehicles specifications'!$B$2:$CK$2,0))</f>
        <v>36.9</v>
      </c>
    </row>
    <row r="193" spans="1:8" x14ac:dyDescent="0.3">
      <c r="A193" t="s">
        <v>138</v>
      </c>
      <c r="B193">
        <f>INDEX('vehicles specifications'!$B$3:$CK$86,MATCH(B182,'vehicles specifications'!$A$3:$A$86,0),MATCH("Power [kW]",'vehicles specifications'!$B$2:$CK$2,0))</f>
        <v>0.5</v>
      </c>
    </row>
    <row r="194" spans="1:8" x14ac:dyDescent="0.3">
      <c r="A194" t="s">
        <v>139</v>
      </c>
      <c r="B194">
        <f>INDEX('vehicles specifications'!$B$3:$CK$86,MATCH(B182,'vehicles specifications'!$A$3:$A$86,0),MATCH("Energy battery mass [kg]",'vehicles specifications'!$B$2:$CK$2,0))</f>
        <v>3.8999999999999995</v>
      </c>
    </row>
    <row r="195" spans="1:8" x14ac:dyDescent="0.3">
      <c r="A195" t="s">
        <v>140</v>
      </c>
      <c r="B195">
        <f>INDEX('vehicles specifications'!$B$3:$CK$86,MATCH(B182,'vehicles specifications'!$A$3:$A$86,0),MATCH("Electric energy stored [kWh]",'vehicles specifications'!$B$2:$CK$2,0))</f>
        <v>0.6</v>
      </c>
    </row>
    <row r="196" spans="1:8" s="21" customFormat="1" x14ac:dyDescent="0.3">
      <c r="A196" s="21" t="s">
        <v>654</v>
      </c>
      <c r="B196" s="21">
        <f>INDEX('vehicles specifications'!$B$3:$CK$86,MATCH(B182,'vehicles specifications'!$A$3:$A$86,0),MATCH("Electric energy available [kWh]",'vehicles specifications'!$B$2:$CK$2,0))</f>
        <v>0.48</v>
      </c>
    </row>
    <row r="197" spans="1:8" x14ac:dyDescent="0.3">
      <c r="A197" t="s">
        <v>143</v>
      </c>
      <c r="B197">
        <f>INDEX('vehicles specifications'!$B$3:$CK$86,MATCH(B182,'vehicles specifications'!$A$3:$A$86,0),MATCH("Oxydation energy stored [kWh]",'vehicles specifications'!$B$2:$CK$2,0))</f>
        <v>0</v>
      </c>
    </row>
    <row r="198" spans="1:8" x14ac:dyDescent="0.3">
      <c r="A198" t="s">
        <v>145</v>
      </c>
      <c r="B198">
        <f>INDEX('vehicles specifications'!$B$3:$CK$86,MATCH(B182,'vehicles specifications'!$A$3:$A$86,0),MATCH("Fuel mass [kg]",'vehicles specifications'!$B$2:$CK$2,0))</f>
        <v>0</v>
      </c>
    </row>
    <row r="199" spans="1:8" x14ac:dyDescent="0.3">
      <c r="A199" t="s">
        <v>141</v>
      </c>
      <c r="B199">
        <f>INDEX('vehicles specifications'!$B$3:$CK$86,MATCH(B182,'vehicles specifications'!$A$3:$A$86,0),MATCH("Range [km]",'vehicles specifications'!$B$2:$CK$2,0))</f>
        <v>49.786329113924047</v>
      </c>
    </row>
    <row r="200" spans="1:8" x14ac:dyDescent="0.3">
      <c r="A200" t="s">
        <v>142</v>
      </c>
      <c r="B200" t="str">
        <f>INDEX('vehicles specifications'!$B$3:$CK$86,MATCH(B182,'vehicles specifications'!$A$3:$A$86,0),MATCH("Emission standard",'vehicles specifications'!$B$2:$CK$2,0))</f>
        <v>None</v>
      </c>
    </row>
    <row r="201" spans="1:8" x14ac:dyDescent="0.3">
      <c r="A201" t="s">
        <v>144</v>
      </c>
      <c r="B201" s="6">
        <f>INDEX('vehicles specifications'!$B$3:$CK$86,MATCH(B182,'vehicles specifications'!$A$3:$A$86,0),MATCH("Lightweighting rate [%]",'vehicles specifications'!$B$2:$CK$2,0))</f>
        <v>0</v>
      </c>
    </row>
    <row r="202" spans="1:8" x14ac:dyDescent="0.3">
      <c r="A202" t="s">
        <v>84</v>
      </c>
      <c r="B202" s="21" t="str">
        <f>"Power: "&amp;B193&amp;" kW. Lifetime: "&amp;B187&amp;" km. Annual kilometers: "&amp;B191&amp;" km. Number of passengers: "&amp;B188&amp;". Curb mass: "&amp;ROUND(B192,1)&amp;" kg. Lightweighting of glider: "&amp;ROUND(B201*100,0)&amp;"%. Emission standard: "&amp;B200&amp;". Service visits throughout lifetime: "&amp;ROUND(B189,1)&amp;". Range: "&amp;ROUND(B199,0)&amp;" km. Battery capacity: "&amp;ROUND(B195,1)&amp;" kWh. Available battery capacity: "&amp;B196&amp;" kWh. Battery mass: "&amp;ROUND(B194,1)&amp; " kg. Battery replacement throughout lifetime: "&amp;ROUND(B190,1)&amp;". Fuel tank capacity: "&amp;ROUND(B197,1)&amp;" kWh. Fuel mass: "&amp;ROUND(B198,1)&amp;" kg. Documentation: "&amp;Readmefirst!$B$2&amp;", "&amp;Readmefirst!$B$3&amp;". "&amp;B186</f>
        <v>Power: 0.5 kW. Lifetime: 20000 km. Annual kilometers: 2060 km. Number of passengers: 1. Curb mass: 36.9 kg. Lightweighting of glider: 0%. Emission standard: None. Service visits throughout lifetime: 5. Range: 50 km. Battery capacity: 0.6 kWh. Available battery capacity: 0.48 kWh. Battery mass: 3.9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03" spans="1:8" ht="15.6" x14ac:dyDescent="0.3">
      <c r="A203" s="11" t="s">
        <v>80</v>
      </c>
    </row>
    <row r="204" spans="1:8" x14ac:dyDescent="0.3">
      <c r="A204" t="s">
        <v>81</v>
      </c>
      <c r="B204" t="s">
        <v>82</v>
      </c>
      <c r="C204" t="s">
        <v>73</v>
      </c>
      <c r="D204" t="s">
        <v>77</v>
      </c>
      <c r="E204" t="s">
        <v>83</v>
      </c>
      <c r="F204" t="s">
        <v>75</v>
      </c>
      <c r="G204" t="s">
        <v>84</v>
      </c>
      <c r="H204" t="s">
        <v>74</v>
      </c>
    </row>
    <row r="205" spans="1:8" x14ac:dyDescent="0.3">
      <c r="A205" s="12" t="str">
        <f>B177</f>
        <v>transport, Bicycle, electric, cargo bike, 2020</v>
      </c>
      <c r="B205" s="12">
        <v>1</v>
      </c>
      <c r="C205" s="12" t="str">
        <f>B178</f>
        <v>CH</v>
      </c>
      <c r="D205" s="12" t="s">
        <v>172</v>
      </c>
      <c r="E205" s="12"/>
      <c r="F205" s="12" t="s">
        <v>85</v>
      </c>
      <c r="G205" s="12" t="s">
        <v>86</v>
      </c>
      <c r="H205" s="12" t="str">
        <f>B183</f>
        <v>transport, Bicycle, electric, cargo bike</v>
      </c>
    </row>
    <row r="206" spans="1:8" x14ac:dyDescent="0.3">
      <c r="A206" s="12" t="str">
        <f>RIGHT(A205,LEN(A205)-11)</f>
        <v>Bicycle, electric, cargo bike, 2020</v>
      </c>
      <c r="B206" s="12">
        <f>1/B187</f>
        <v>5.0000000000000002E-5</v>
      </c>
      <c r="C206" s="12" t="str">
        <f>B178</f>
        <v>CH</v>
      </c>
      <c r="D206" s="12" t="s">
        <v>77</v>
      </c>
      <c r="E206" s="12"/>
      <c r="F206" s="12" t="s">
        <v>91</v>
      </c>
      <c r="G206" s="12"/>
      <c r="H206" s="12" t="str">
        <f>RIGHT(H205,LEN(H205)-11)</f>
        <v>Bicycle, electric, cargo bike</v>
      </c>
    </row>
    <row r="207" spans="1:8" s="21" customFormat="1" x14ac:dyDescent="0.3">
      <c r="A207" s="12" t="str">
        <f>INDEX('ei names mapping'!$B$4:$R$33,MATCH(B179,'ei names mapping'!$A$4:$A$33,0),MATCH(G207,'ei names mapping'!$B$3:$R$3,0))</f>
        <v>road construction</v>
      </c>
      <c r="B207" s="16">
        <f>INDEX('vehicles specifications'!$B$3:$CK$86,MATCH(B182,'vehicles specifications'!$A$3:$A$86,0),MATCH(G207,'vehicles specifications'!$B$2:$CK$2,0))*INDEX('ei names mapping'!$B$137:$BK$220,MATCH(B182,'ei names mapping'!$A$137:$A$220,0),MATCH(G207,'ei names mapping'!$B$136:$BK$136,0))</f>
        <v>5.7942300000000003E-5</v>
      </c>
      <c r="C207" s="12" t="str">
        <f>INDEX('ei names mapping'!$B$38:$R$67,MATCH(B179,'ei names mapping'!$A$4:$A$33,0),MATCH(G207,'ei names mapping'!$B$3:$R$3,0))</f>
        <v>CH</v>
      </c>
      <c r="D207" s="12" t="str">
        <f>INDEX('ei names mapping'!$B$104:$BK$133,MATCH(B179,'ei names mapping'!$A$4:$A$33,0),MATCH(G207,'ei names mapping'!$B$3:$BK$3,0))</f>
        <v>meter-year</v>
      </c>
      <c r="E207" s="12"/>
      <c r="F207" s="12" t="s">
        <v>91</v>
      </c>
      <c r="G207" s="21" t="s">
        <v>108</v>
      </c>
      <c r="H207" s="12" t="str">
        <f>INDEX('ei names mapping'!$B$71:$BK$100,MATCH(B179,'ei names mapping'!$A$4:$A$33,0),MATCH(G207,'ei names mapping'!$B$3:$BK$3,0))</f>
        <v>road</v>
      </c>
    </row>
    <row r="208" spans="1:8" x14ac:dyDescent="0.3">
      <c r="A208" s="12" t="str">
        <f>INDEX('ei names mapping'!$B$4:$R$33,MATCH($B$3,'ei names mapping'!$A$4:$A$33,0),MATCH(G208,'ei names mapping'!$B$3:$R$3,0))</f>
        <v>market for electricity, low voltage</v>
      </c>
      <c r="B208" s="14">
        <f>INDEX('vehicles specifications'!$B$3:$CK$86,MATCH(B182,'vehicles specifications'!$A$3:$A$86,0),MATCH(G208,'vehicles specifications'!$B$2:$CK$2,0))*INDEX('ei names mapping'!$B$137:$BK$220,MATCH(B182,'ei names mapping'!$A$137:$A$220,0),MATCH(G208,'ei names mapping'!$B$136:$BK$136,0))</f>
        <v>1.0605320966560899E-2</v>
      </c>
      <c r="C208" s="12" t="str">
        <f>INDEX('ei names mapping'!$B$38:$R$67,MATCH($B$3,'ei names mapping'!$A$4:$A$33,0),MATCH(G208,'ei names mapping'!$B$3:$R$3,0))</f>
        <v>CH</v>
      </c>
      <c r="D208" s="12" t="str">
        <f>INDEX('ei names mapping'!$B$104:$R$133,MATCH($B$3,'ei names mapping'!$A$4:$A$33,0),MATCH(G208,'ei names mapping'!$B$3:$R$3,0))</f>
        <v>kilowatt hour</v>
      </c>
      <c r="E208" s="12"/>
      <c r="F208" s="12" t="s">
        <v>91</v>
      </c>
      <c r="G208" t="s">
        <v>28</v>
      </c>
      <c r="H208" s="12" t="str">
        <f>INDEX('ei names mapping'!$B$71:$R$100,MATCH($B$3,'ei names mapping'!$A$4:$A$33,0),MATCH(G208,'ei names mapping'!$B$3:$R$3,0))</f>
        <v>electricity, low voltage</v>
      </c>
    </row>
    <row r="209" spans="1:8" x14ac:dyDescent="0.3">
      <c r="A209" s="12" t="str">
        <f>INDEX('ei names mapping'!$B$4:$R$33,MATCH($B$3,'ei names mapping'!$A$4:$A$33,0),MATCH(G209,'ei names mapping'!$B$3:$R$3,0))</f>
        <v>maintenance, electric bicycle, without battery</v>
      </c>
      <c r="B209" s="14">
        <f>INDEX('vehicles specifications'!$B$3:$CK$86,MATCH(B182,'vehicles specifications'!$A$3:$A$86,0),MATCH(G209,'vehicles specifications'!$B$2:$CK$2,0))*INDEX('ei names mapping'!$B$137:$BK$220,MATCH(B182,'ei names mapping'!$A$137:$A$220,0),MATCH(G209,'ei names mapping'!$B$136:$BK$136,0))</f>
        <v>2.5000000000000001E-4</v>
      </c>
      <c r="C209" s="12" t="str">
        <f>INDEX('ei names mapping'!$B$38:$R$67,MATCH($B$3,'ei names mapping'!$A$4:$A$33,0),MATCH(G209,'ei names mapping'!$B$3:$R$3,0))</f>
        <v>CH</v>
      </c>
      <c r="D209" s="12" t="str">
        <f>INDEX('ei names mapping'!$B$104:$R$133,MATCH($B$3,'ei names mapping'!$A$4:$A$33,0),MATCH(G209,'ei names mapping'!$B$3:$R$3,0))</f>
        <v>unit</v>
      </c>
      <c r="E209" s="12"/>
      <c r="F209" s="12" t="s">
        <v>91</v>
      </c>
      <c r="G209" t="s">
        <v>123</v>
      </c>
      <c r="H209" s="12" t="str">
        <f>INDEX('ei names mapping'!$B$71:$R$100,MATCH($B$3,'ei names mapping'!$A$4:$A$33,0),MATCH(G209,'ei names mapping'!$B$3:$R$3,0))</f>
        <v>maintenance, electric bicycle, without battery</v>
      </c>
    </row>
    <row r="210" spans="1:8" x14ac:dyDescent="0.3">
      <c r="A210" s="12" t="str">
        <f>INDEX('ei names mapping'!$B$4:$BK$33,MATCH($B$179,'ei names mapping'!$A$4:$A$33,0),MATCH(G210,'ei names mapping'!$B$3:$BK$3,0))</f>
        <v>treatment of road wear emissions, passenger car</v>
      </c>
      <c r="B210" s="15">
        <f>INDEX('vehicles specifications'!$B$3:$CK$86,MATCH(B182,'vehicles specifications'!$A$3:$A$86,0),MATCH(G210,'vehicles specifications'!$B$2:$CK$2,0))*INDEX('ei names mapping'!$B$137:$BK$220,MATCH(B182,'ei names mapping'!$A$137:$A$220,0),MATCH(G210,'ei names mapping'!$B$136:$BK$136,0))</f>
        <v>-3.0000000000000001E-6</v>
      </c>
      <c r="C210" s="12" t="str">
        <f>INDEX('ei names mapping'!$B$38:$BK$67,MATCH($B$179,'ei names mapping'!$A$4:$A$33,0),MATCH(G210,'ei names mapping'!$B$3:$BK$3,0))</f>
        <v>RER</v>
      </c>
      <c r="D210" s="12" t="str">
        <f>INDEX('ei names mapping'!$B$104:$BK$133,MATCH($B$179,'ei names mapping'!$A$4:$A$33,0),MATCH(G210,'ei names mapping'!$B$3:$BK$3,0))</f>
        <v>kilogram</v>
      </c>
      <c r="E210" s="12"/>
      <c r="F210" s="12" t="s">
        <v>91</v>
      </c>
      <c r="G210" t="s">
        <v>29</v>
      </c>
      <c r="H210" s="12" t="str">
        <f>INDEX('ei names mapping'!$B$71:$BK$100,MATCH(B179,'ei names mapping'!$A$4:$A$33,0),MATCH(G210,'ei names mapping'!$B$3:$BK$3,0))</f>
        <v>road wear emissions, passenger car</v>
      </c>
    </row>
    <row r="211" spans="1:8" x14ac:dyDescent="0.3">
      <c r="A211" s="12" t="str">
        <f>INDEX('ei names mapping'!$B$4:$BK$33,MATCH($B$179,'ei names mapping'!$A$4:$A$33,0),MATCH(G211,'ei names mapping'!$B$3:$BK$3,0))</f>
        <v>treatment of tyre wear emissions, passenger car</v>
      </c>
      <c r="B211" s="15">
        <f>INDEX('vehicles specifications'!$B$3:$CK$86,MATCH(B182,'vehicles specifications'!$A$3:$A$86,0),MATCH(G211,'vehicles specifications'!$B$2:$CK$2,0))*INDEX('ei names mapping'!$B$137:$BK$220,MATCH(B182,'ei names mapping'!$A$137:$A$220,0),MATCH(G211,'ei names mapping'!$B$136:$BK$136,0))</f>
        <v>-2.9189999999999999E-6</v>
      </c>
      <c r="C211" s="12" t="str">
        <f>INDEX('ei names mapping'!$B$38:$BK$67,MATCH($B$179,'ei names mapping'!$A$4:$A$33,0),MATCH(G211,'ei names mapping'!$B$3:$BK$3,0))</f>
        <v>RER</v>
      </c>
      <c r="D211" s="12" t="str">
        <f>INDEX('ei names mapping'!$B$104:$BK$133,MATCH($B$179,'ei names mapping'!$A$4:$A$33,0),MATCH(G211,'ei names mapping'!$B$3:$BK$3,0))</f>
        <v>kilogram</v>
      </c>
      <c r="E211" s="12"/>
      <c r="F211" s="12" t="s">
        <v>91</v>
      </c>
      <c r="G211" t="s">
        <v>30</v>
      </c>
      <c r="H211" s="12" t="str">
        <f>INDEX('ei names mapping'!$B$71:$BK$100,MATCH($B$179,'ei names mapping'!$A$4:$A$33,0),MATCH(G211,'ei names mapping'!$B$3:$BK$3,0))</f>
        <v>tyre wear emissions, passenger car</v>
      </c>
    </row>
    <row r="212" spans="1:8" x14ac:dyDescent="0.3">
      <c r="A212" s="12" t="str">
        <f>INDEX('ei names mapping'!$B$4:$BK$33,MATCH($B$179,'ei names mapping'!$A$4:$A$33,0),MATCH(G212,'ei names mapping'!$B$3:$BK$3,0))</f>
        <v>treatment of brake wear emissions, passenger car</v>
      </c>
      <c r="B212" s="15">
        <f>INDEX('vehicles specifications'!$B$3:$CK$86,MATCH(B182,'vehicles specifications'!$A$3:$A$86,0),MATCH(G212,'vehicles specifications'!$B$2:$CK$2,0))*INDEX('ei names mapping'!$B$137:$BK$220,MATCH(B182,'ei names mapping'!$A$137:$A$220,0),MATCH(G212,'ei names mapping'!$B$136:$BK$136,0))</f>
        <v>-1.8370000000000002E-6</v>
      </c>
      <c r="C212" s="12" t="str">
        <f>INDEX('ei names mapping'!$B$38:$BK$67,MATCH($B$179,'ei names mapping'!$A$4:$A$33,0),MATCH(G212,'ei names mapping'!$B$3:$BK$3,0))</f>
        <v>RER</v>
      </c>
      <c r="D212" s="12" t="str">
        <f>INDEX('ei names mapping'!$B$104:$BK$133,MATCH($B$179,'ei names mapping'!$A$4:$A$33,0),MATCH(G212,'ei names mapping'!$B$3:$BK$3,0))</f>
        <v>kilogram</v>
      </c>
      <c r="E212" s="12"/>
      <c r="F212" s="12" t="s">
        <v>91</v>
      </c>
      <c r="G212" t="s">
        <v>31</v>
      </c>
      <c r="H212" s="12" t="str">
        <f>INDEX('ei names mapping'!$B$71:$BK$100,MATCH($B$179,'ei names mapping'!$A$4:$A$33,0),MATCH(G212,'ei names mapping'!$B$3:$BK$3,0))</f>
        <v>brake wear emissions, passenger car</v>
      </c>
    </row>
    <row r="214" spans="1:8" ht="15.6" x14ac:dyDescent="0.3">
      <c r="A214" s="11" t="s">
        <v>72</v>
      </c>
      <c r="B214" s="9" t="str">
        <f>"transport, "&amp;B216&amp;", "&amp;B218</f>
        <v>transport, Bicycle, electric, cargo bike, 2030</v>
      </c>
    </row>
    <row r="215" spans="1:8" x14ac:dyDescent="0.3">
      <c r="A215" t="s">
        <v>73</v>
      </c>
      <c r="B215" t="s">
        <v>37</v>
      </c>
    </row>
    <row r="216" spans="1:8" x14ac:dyDescent="0.3">
      <c r="A216" t="s">
        <v>87</v>
      </c>
      <c r="B216" s="21" t="s">
        <v>524</v>
      </c>
    </row>
    <row r="217" spans="1:8" x14ac:dyDescent="0.3">
      <c r="A217" t="s">
        <v>88</v>
      </c>
      <c r="B217" s="12"/>
    </row>
    <row r="218" spans="1:8" x14ac:dyDescent="0.3">
      <c r="A218" t="s">
        <v>89</v>
      </c>
      <c r="B218" s="12">
        <v>2030</v>
      </c>
    </row>
    <row r="219" spans="1:8" x14ac:dyDescent="0.3">
      <c r="A219" t="s">
        <v>131</v>
      </c>
      <c r="B219" s="12" t="str">
        <f>B216&amp;" - "&amp;B218&amp;" - "&amp;B215</f>
        <v>Bicycle, electric, cargo bike - 2030 - CH</v>
      </c>
    </row>
    <row r="220" spans="1:8" x14ac:dyDescent="0.3">
      <c r="A220" t="s">
        <v>74</v>
      </c>
      <c r="B220" s="12" t="str">
        <f>"transport, "&amp;B216</f>
        <v>transport, Bicycle, electric, cargo bike</v>
      </c>
    </row>
    <row r="221" spans="1:8" x14ac:dyDescent="0.3">
      <c r="A221" t="s">
        <v>75</v>
      </c>
      <c r="B221" t="s">
        <v>76</v>
      </c>
    </row>
    <row r="222" spans="1:8" x14ac:dyDescent="0.3">
      <c r="A222" t="s">
        <v>77</v>
      </c>
      <c r="B222" t="s">
        <v>172</v>
      </c>
    </row>
    <row r="223" spans="1:8" x14ac:dyDescent="0.3">
      <c r="A223" t="s">
        <v>79</v>
      </c>
      <c r="B223" t="s">
        <v>90</v>
      </c>
    </row>
    <row r="224" spans="1:8" x14ac:dyDescent="0.3">
      <c r="A224" t="s">
        <v>132</v>
      </c>
      <c r="B224">
        <f>INDEX('vehicles specifications'!$B$3:$CK$86,MATCH(B219,'vehicles specifications'!$A$3:$A$86,0),MATCH("Lifetime [km]",'vehicles specifications'!$B$2:$CK$2,0))</f>
        <v>20000</v>
      </c>
    </row>
    <row r="225" spans="1:2" x14ac:dyDescent="0.3">
      <c r="A225" t="s">
        <v>133</v>
      </c>
      <c r="B225">
        <f>INDEX('vehicles specifications'!$B$3:$CK$86,MATCH(B219,'vehicles specifications'!$A$3:$A$86,0),MATCH("Passengers [unit]",'vehicles specifications'!$B$2:$CK$2,0))</f>
        <v>1</v>
      </c>
    </row>
    <row r="226" spans="1:2" x14ac:dyDescent="0.3">
      <c r="A226" t="s">
        <v>134</v>
      </c>
      <c r="B226">
        <f>INDEX('vehicles specifications'!$B$3:$CK$86,MATCH(B219,'vehicles specifications'!$A$3:$A$86,0),MATCH("Servicing [unit]",'vehicles specifications'!$B$2:$CK$2,0))</f>
        <v>5</v>
      </c>
    </row>
    <row r="227" spans="1:2" x14ac:dyDescent="0.3">
      <c r="A227" t="s">
        <v>135</v>
      </c>
      <c r="B227">
        <f>INDEX('vehicles specifications'!$B$3:$CK$86,MATCH(B219,'vehicles specifications'!$A$3:$A$86,0),MATCH("Energy battery replacement [unit]",'vehicles specifications'!$B$2:$CK$2,0))</f>
        <v>0.5</v>
      </c>
    </row>
    <row r="228" spans="1:2" x14ac:dyDescent="0.3">
      <c r="A228" t="s">
        <v>136</v>
      </c>
      <c r="B228">
        <f>INDEX('vehicles specifications'!$B$3:$CK$86,MATCH(B219,'vehicles specifications'!$A$3:$A$86,0),MATCH("Annual kilometers [km]",'vehicles specifications'!$B$2:$CK$2,0))</f>
        <v>2060</v>
      </c>
    </row>
    <row r="229" spans="1:2" x14ac:dyDescent="0.3">
      <c r="A229" t="s">
        <v>137</v>
      </c>
      <c r="B229">
        <f>INDEX('vehicles specifications'!$B$3:$CK$86,MATCH(B219,'vehicles specifications'!$A$3:$A$86,0),MATCH("Curb mass [kg]",'vehicles specifications'!$B$2:$CK$2,0))</f>
        <v>37.260000000000005</v>
      </c>
    </row>
    <row r="230" spans="1:2" x14ac:dyDescent="0.3">
      <c r="A230" t="s">
        <v>138</v>
      </c>
      <c r="B230">
        <f>INDEX('vehicles specifications'!$B$3:$CK$86,MATCH(B219,'vehicles specifications'!$A$3:$A$86,0),MATCH("Power [kW]",'vehicles specifications'!$B$2:$CK$2,0))</f>
        <v>0.5</v>
      </c>
    </row>
    <row r="231" spans="1:2" x14ac:dyDescent="0.3">
      <c r="A231" t="s">
        <v>139</v>
      </c>
      <c r="B231">
        <f>INDEX('vehicles specifications'!$B$3:$CK$86,MATCH(B219,'vehicles specifications'!$A$3:$A$86,0),MATCH("Energy battery mass [kg]",'vehicles specifications'!$B$2:$CK$2,0))</f>
        <v>5.2</v>
      </c>
    </row>
    <row r="232" spans="1:2" x14ac:dyDescent="0.3">
      <c r="A232" t="s">
        <v>140</v>
      </c>
      <c r="B232">
        <f>INDEX('vehicles specifications'!$B$3:$CK$86,MATCH(B219,'vehicles specifications'!$A$3:$A$86,0),MATCH("Electric energy stored [kWh]",'vehicles specifications'!$B$2:$CK$2,0))</f>
        <v>1.2</v>
      </c>
    </row>
    <row r="233" spans="1:2" s="21" customFormat="1" x14ac:dyDescent="0.3">
      <c r="A233" s="21" t="s">
        <v>654</v>
      </c>
      <c r="B233" s="21">
        <f>INDEX('vehicles specifications'!$B$3:$CK$86,MATCH(B219,'vehicles specifications'!$A$3:$A$86,0),MATCH("Electric energy available [kWh]",'vehicles specifications'!$B$2:$CK$2,0))</f>
        <v>0.96</v>
      </c>
    </row>
    <row r="234" spans="1:2" x14ac:dyDescent="0.3">
      <c r="A234" t="s">
        <v>143</v>
      </c>
      <c r="B234">
        <f>INDEX('vehicles specifications'!$B$3:$CK$86,MATCH(B219,'vehicles specifications'!$A$3:$A$86,0),MATCH("Oxydation energy stored [kWh]",'vehicles specifications'!$B$2:$CK$2,0))</f>
        <v>0</v>
      </c>
    </row>
    <row r="235" spans="1:2" x14ac:dyDescent="0.3">
      <c r="A235" t="s">
        <v>145</v>
      </c>
      <c r="B235">
        <f>INDEX('vehicles specifications'!$B$3:$CK$86,MATCH(B219,'vehicles specifications'!$A$3:$A$86,0),MATCH("Fuel mass [kg]",'vehicles specifications'!$B$2:$CK$2,0))</f>
        <v>0</v>
      </c>
    </row>
    <row r="236" spans="1:2" x14ac:dyDescent="0.3">
      <c r="A236" t="s">
        <v>141</v>
      </c>
      <c r="B236">
        <f>INDEX('vehicles specifications'!$B$3:$CK$86,MATCH(B219,'vehicles specifications'!$A$3:$A$86,0),MATCH("Range [km]",'vehicles specifications'!$B$2:$CK$2,0))</f>
        <v>99.572658227848095</v>
      </c>
    </row>
    <row r="237" spans="1:2" x14ac:dyDescent="0.3">
      <c r="A237" t="s">
        <v>142</v>
      </c>
      <c r="B237" t="str">
        <f>INDEX('vehicles specifications'!$B$3:$CK$86,MATCH(B219,'vehicles specifications'!$A$3:$A$86,0),MATCH("Emission standard",'vehicles specifications'!$B$2:$CK$2,0))</f>
        <v>None</v>
      </c>
    </row>
    <row r="238" spans="1:2" x14ac:dyDescent="0.3">
      <c r="A238" t="s">
        <v>144</v>
      </c>
      <c r="B238" s="6">
        <f>INDEX('vehicles specifications'!$B$3:$CK$86,MATCH(B219,'vehicles specifications'!$A$3:$A$86,0),MATCH("Lightweighting rate [%]",'vehicles specifications'!$B$2:$CK$2,0))</f>
        <v>0.03</v>
      </c>
    </row>
    <row r="239" spans="1:2" x14ac:dyDescent="0.3">
      <c r="A239" t="s">
        <v>84</v>
      </c>
      <c r="B239" s="21" t="str">
        <f>"Power: "&amp;B230&amp;" kW. Lifetime: "&amp;B224&amp;" km. Annual kilometers: "&amp;B228&amp;" km. Number of passengers: "&amp;B225&amp;". Curb mass: "&amp;ROUND(B229,1)&amp;" kg. Lightweighting of glider: "&amp;ROUND(B238*100,0)&amp;"%. Emission standard: "&amp;B237&amp;". Service visits throughout lifetime: "&amp;ROUND(B226,1)&amp;". Range: "&amp;ROUND(B236,0)&amp;" km. Battery capacity: "&amp;ROUND(B232,1)&amp;" kWh. Available battery capacity: "&amp;B233&amp;" kWh. Battery mass: "&amp;ROUND(B231,1)&amp; " kg. Battery replacement throughout lifetime: "&amp;ROUND(B227,1)&amp;". Fuel tank capacity: "&amp;ROUND(B234,1)&amp;" kWh. Fuel mass: "&amp;ROUND(B235,1)&amp;" kg. Documentation: "&amp;Readmefirst!$B$2&amp;", "&amp;Readmefirst!$B$3&amp;". "&amp;B223</f>
        <v>Power: 0.5 kW. Lifetime: 20000 km. Annual kilometers: 2060 km. Number of passengers: 1. Curb mass: 37.3 kg. Lightweighting of glider: 3%. Emission standard: None. Service visits throughout lifetime: 5. Range: 100 km. Battery capacity: 1.2 kWh. Available battery capacity: 0.96 kWh. Battery mass: 5.2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40" spans="1:2" ht="15.6" x14ac:dyDescent="0.3">
      <c r="A240" s="11" t="s">
        <v>80</v>
      </c>
    </row>
    <row r="241" spans="1:8" x14ac:dyDescent="0.3">
      <c r="A241" t="s">
        <v>81</v>
      </c>
      <c r="B241" t="s">
        <v>82</v>
      </c>
      <c r="C241" t="s">
        <v>73</v>
      </c>
      <c r="D241" t="s">
        <v>77</v>
      </c>
      <c r="E241" t="s">
        <v>83</v>
      </c>
      <c r="F241" t="s">
        <v>75</v>
      </c>
      <c r="G241" t="s">
        <v>84</v>
      </c>
      <c r="H241" t="s">
        <v>74</v>
      </c>
    </row>
    <row r="242" spans="1:8" x14ac:dyDescent="0.3">
      <c r="A242" s="12" t="str">
        <f>B214</f>
        <v>transport, Bicycle, electric, cargo bike, 2030</v>
      </c>
      <c r="B242" s="12">
        <v>1</v>
      </c>
      <c r="C242" s="12" t="str">
        <f>B215</f>
        <v>CH</v>
      </c>
      <c r="D242" s="12" t="s">
        <v>172</v>
      </c>
      <c r="E242" s="12"/>
      <c r="F242" s="12" t="s">
        <v>85</v>
      </c>
      <c r="G242" s="12" t="s">
        <v>86</v>
      </c>
      <c r="H242" s="12" t="str">
        <f>B220</f>
        <v>transport, Bicycle, electric, cargo bike</v>
      </c>
    </row>
    <row r="243" spans="1:8" x14ac:dyDescent="0.3">
      <c r="A243" s="12" t="str">
        <f>RIGHT(A242,LEN(A242)-11)</f>
        <v>Bicycle, electric, cargo bike, 2030</v>
      </c>
      <c r="B243" s="12">
        <f>1/B224</f>
        <v>5.0000000000000002E-5</v>
      </c>
      <c r="C243" s="12" t="str">
        <f>B215</f>
        <v>CH</v>
      </c>
      <c r="D243" s="12" t="s">
        <v>77</v>
      </c>
      <c r="E243" s="12"/>
      <c r="F243" s="12" t="s">
        <v>91</v>
      </c>
      <c r="G243" s="12"/>
      <c r="H243" s="12" t="str">
        <f>RIGHT(H242,LEN(H242)-11)</f>
        <v>Bicycle, electric, cargo bike</v>
      </c>
    </row>
    <row r="244" spans="1:8" s="21" customFormat="1" x14ac:dyDescent="0.3">
      <c r="A244" s="12" t="str">
        <f>INDEX('ei names mapping'!$B$4:$R$33,MATCH(B216,'ei names mapping'!$A$4:$A$33,0),MATCH(G244,'ei names mapping'!$B$3:$R$3,0))</f>
        <v>road construction</v>
      </c>
      <c r="B244" s="16">
        <f>INDEX('vehicles specifications'!$B$3:$CK$86,MATCH(B219,'vehicles specifications'!$A$3:$A$86,0),MATCH(G244,'vehicles specifications'!$B$2:$CK$2,0))*INDEX('ei names mapping'!$B$137:$BK$220,MATCH(B219,'ei names mapping'!$A$137:$A$220,0),MATCH(G244,'ei names mapping'!$B$136:$BK$136,0))</f>
        <v>5.8135620000000001E-5</v>
      </c>
      <c r="C244" s="12" t="str">
        <f>INDEX('ei names mapping'!$B$38:$R$67,MATCH(B216,'ei names mapping'!$A$4:$A$33,0),MATCH(G244,'ei names mapping'!$B$3:$R$3,0))</f>
        <v>CH</v>
      </c>
      <c r="D244" s="12" t="str">
        <f>INDEX('ei names mapping'!$B$104:$BK$133,MATCH(B216,'ei names mapping'!$A$4:$A$33,0),MATCH(G244,'ei names mapping'!$B$3:$BK$3,0))</f>
        <v>meter-year</v>
      </c>
      <c r="E244" s="12"/>
      <c r="F244" s="12" t="s">
        <v>91</v>
      </c>
      <c r="G244" s="21" t="s">
        <v>108</v>
      </c>
      <c r="H244" s="12" t="str">
        <f>INDEX('ei names mapping'!$B$71:$BK$100,MATCH(B216,'ei names mapping'!$A$4:$A$33,0),MATCH(G244,'ei names mapping'!$B$3:$BK$3,0))</f>
        <v>road</v>
      </c>
    </row>
    <row r="245" spans="1:8" x14ac:dyDescent="0.3">
      <c r="A245" s="12" t="str">
        <f>INDEX('ei names mapping'!$B$4:$R$33,MATCH($B$3,'ei names mapping'!$A$4:$A$33,0),MATCH(G245,'ei names mapping'!$B$3:$R$3,0))</f>
        <v>market for electricity, low voltage</v>
      </c>
      <c r="B245" s="14">
        <f>INDEX('vehicles specifications'!$B$3:$CK$86,MATCH(B219,'vehicles specifications'!$A$3:$A$86,0),MATCH(G245,'vehicles specifications'!$B$2:$CK$2,0))*INDEX('ei names mapping'!$B$137:$BK$220,MATCH(B219,'ei names mapping'!$A$137:$A$220,0),MATCH(G245,'ei names mapping'!$B$136:$BK$136,0))</f>
        <v>1.0605320966560899E-2</v>
      </c>
      <c r="C245" s="12" t="str">
        <f>INDEX('ei names mapping'!$B$38:$R$67,MATCH($B$3,'ei names mapping'!$A$4:$A$33,0),MATCH(G245,'ei names mapping'!$B$3:$R$3,0))</f>
        <v>CH</v>
      </c>
      <c r="D245" s="12" t="str">
        <f>INDEX('ei names mapping'!$B$104:$R$133,MATCH($B$3,'ei names mapping'!$A$4:$A$33,0),MATCH(G245,'ei names mapping'!$B$3:$R$3,0))</f>
        <v>kilowatt hour</v>
      </c>
      <c r="E245" s="12"/>
      <c r="F245" s="12" t="s">
        <v>91</v>
      </c>
      <c r="G245" t="s">
        <v>28</v>
      </c>
      <c r="H245" s="12" t="str">
        <f>INDEX('ei names mapping'!$B$71:$R$100,MATCH($B$3,'ei names mapping'!$A$4:$A$33,0),MATCH(G245,'ei names mapping'!$B$3:$R$3,0))</f>
        <v>electricity, low voltage</v>
      </c>
    </row>
    <row r="246" spans="1:8" x14ac:dyDescent="0.3">
      <c r="A246" s="12" t="str">
        <f>INDEX('ei names mapping'!$B$4:$R$33,MATCH($B$3,'ei names mapping'!$A$4:$A$33,0),MATCH(G246,'ei names mapping'!$B$3:$R$3,0))</f>
        <v>maintenance, electric bicycle, without battery</v>
      </c>
      <c r="B246" s="14">
        <f>INDEX('vehicles specifications'!$B$3:$CK$86,MATCH(B219,'vehicles specifications'!$A$3:$A$86,0),MATCH(G246,'vehicles specifications'!$B$2:$CK$2,0))*INDEX('ei names mapping'!$B$137:$BK$220,MATCH(B219,'ei names mapping'!$A$137:$A$220,0),MATCH(G246,'ei names mapping'!$B$136:$BK$136,0))</f>
        <v>2.5000000000000001E-4</v>
      </c>
      <c r="C246" s="12" t="str">
        <f>INDEX('ei names mapping'!$B$38:$R$67,MATCH($B$3,'ei names mapping'!$A$4:$A$33,0),MATCH(G246,'ei names mapping'!$B$3:$R$3,0))</f>
        <v>CH</v>
      </c>
      <c r="D246" s="12" t="str">
        <f>INDEX('ei names mapping'!$B$104:$R$133,MATCH($B$3,'ei names mapping'!$A$4:$A$33,0),MATCH(G246,'ei names mapping'!$B$3:$R$3,0))</f>
        <v>unit</v>
      </c>
      <c r="E246" s="12"/>
      <c r="F246" s="12" t="s">
        <v>91</v>
      </c>
      <c r="G246" t="s">
        <v>123</v>
      </c>
      <c r="H246" s="12" t="str">
        <f>INDEX('ei names mapping'!$B$71:$R$100,MATCH($B$3,'ei names mapping'!$A$4:$A$33,0),MATCH(G246,'ei names mapping'!$B$3:$R$3,0))</f>
        <v>maintenance, electric bicycle, without battery</v>
      </c>
    </row>
    <row r="247" spans="1:8" x14ac:dyDescent="0.3">
      <c r="A247" s="12" t="str">
        <f>INDEX('ei names mapping'!$B$4:$BK$33,MATCH($B$179,'ei names mapping'!$A$4:$A$33,0),MATCH(G247,'ei names mapping'!$B$3:$BK$3,0))</f>
        <v>treatment of road wear emissions, passenger car</v>
      </c>
      <c r="B247" s="15">
        <f>INDEX('vehicles specifications'!$B$3:$CK$86,MATCH(B219,'vehicles specifications'!$A$3:$A$86,0),MATCH(G247,'vehicles specifications'!$B$2:$CK$2,0))*INDEX('ei names mapping'!$B$137:$BK$220,MATCH(B219,'ei names mapping'!$A$137:$A$220,0),MATCH(G247,'ei names mapping'!$B$136:$BK$136,0))</f>
        <v>-3.0000000000000001E-6</v>
      </c>
      <c r="C247" s="12" t="str">
        <f>INDEX('ei names mapping'!$B$38:$BK$67,MATCH($B$179,'ei names mapping'!$A$4:$A$33,0),MATCH(G247,'ei names mapping'!$B$3:$BK$3,0))</f>
        <v>RER</v>
      </c>
      <c r="D247" s="12" t="str">
        <f>INDEX('ei names mapping'!$B$104:$BK$133,MATCH($B$179,'ei names mapping'!$A$4:$A$33,0),MATCH(G247,'ei names mapping'!$B$3:$BK$3,0))</f>
        <v>kilogram</v>
      </c>
      <c r="E247" s="12"/>
      <c r="F247" s="12" t="s">
        <v>91</v>
      </c>
      <c r="G247" t="s">
        <v>29</v>
      </c>
      <c r="H247" s="12" t="str">
        <f>INDEX('ei names mapping'!$B$71:$BK$100,MATCH(B216,'ei names mapping'!$A$4:$A$33,0),MATCH(G247,'ei names mapping'!$B$3:$BK$3,0))</f>
        <v>road wear emissions, passenger car</v>
      </c>
    </row>
    <row r="248" spans="1:8" x14ac:dyDescent="0.3">
      <c r="A248" s="12" t="str">
        <f>INDEX('ei names mapping'!$B$4:$BK$33,MATCH($B$179,'ei names mapping'!$A$4:$A$33,0),MATCH(G248,'ei names mapping'!$B$3:$BK$3,0))</f>
        <v>treatment of tyre wear emissions, passenger car</v>
      </c>
      <c r="B248" s="15">
        <f>INDEX('vehicles specifications'!$B$3:$CK$86,MATCH(B219,'vehicles specifications'!$A$3:$A$86,0),MATCH(G248,'vehicles specifications'!$B$2:$CK$2,0))*INDEX('ei names mapping'!$B$137:$BK$220,MATCH(B219,'ei names mapping'!$A$137:$A$220,0),MATCH(G248,'ei names mapping'!$B$136:$BK$136,0))</f>
        <v>-2.9189999999999999E-6</v>
      </c>
      <c r="C248" s="12" t="str">
        <f>INDEX('ei names mapping'!$B$38:$BK$67,MATCH($B$179,'ei names mapping'!$A$4:$A$33,0),MATCH(G248,'ei names mapping'!$B$3:$BK$3,0))</f>
        <v>RER</v>
      </c>
      <c r="D248" s="12" t="str">
        <f>INDEX('ei names mapping'!$B$104:$BK$133,MATCH($B$179,'ei names mapping'!$A$4:$A$33,0),MATCH(G248,'ei names mapping'!$B$3:$BK$3,0))</f>
        <v>kilogram</v>
      </c>
      <c r="E248" s="12"/>
      <c r="F248" s="12" t="s">
        <v>91</v>
      </c>
      <c r="G248" t="s">
        <v>30</v>
      </c>
      <c r="H248" s="12" t="str">
        <f>INDEX('ei names mapping'!$B$71:$BK$100,MATCH($B$179,'ei names mapping'!$A$4:$A$33,0),MATCH(G248,'ei names mapping'!$B$3:$BK$3,0))</f>
        <v>tyre wear emissions, passenger car</v>
      </c>
    </row>
    <row r="249" spans="1:8" x14ac:dyDescent="0.3">
      <c r="A249" s="12" t="str">
        <f>INDEX('ei names mapping'!$B$4:$BK$33,MATCH($B$179,'ei names mapping'!$A$4:$A$33,0),MATCH(G249,'ei names mapping'!$B$3:$BK$3,0))</f>
        <v>treatment of brake wear emissions, passenger car</v>
      </c>
      <c r="B249" s="15">
        <f>INDEX('vehicles specifications'!$B$3:$CK$86,MATCH(B219,'vehicles specifications'!$A$3:$A$86,0),MATCH(G249,'vehicles specifications'!$B$2:$CK$2,0))*INDEX('ei names mapping'!$B$137:$BK$220,MATCH(B219,'ei names mapping'!$A$137:$A$220,0),MATCH(G249,'ei names mapping'!$B$136:$BK$136,0))</f>
        <v>-1.8370000000000002E-6</v>
      </c>
      <c r="C249" s="12" t="str">
        <f>INDEX('ei names mapping'!$B$38:$BK$67,MATCH($B$179,'ei names mapping'!$A$4:$A$33,0),MATCH(G249,'ei names mapping'!$B$3:$BK$3,0))</f>
        <v>RER</v>
      </c>
      <c r="D249" s="12" t="str">
        <f>INDEX('ei names mapping'!$B$104:$BK$133,MATCH($B$179,'ei names mapping'!$A$4:$A$33,0),MATCH(G249,'ei names mapping'!$B$3:$BK$3,0))</f>
        <v>kilogram</v>
      </c>
      <c r="E249" s="12"/>
      <c r="F249" s="12" t="s">
        <v>91</v>
      </c>
      <c r="G249" t="s">
        <v>31</v>
      </c>
      <c r="H249" s="12" t="str">
        <f>INDEX('ei names mapping'!$B$71:$BK$100,MATCH($B$179,'ei names mapping'!$A$4:$A$33,0),MATCH(G249,'ei names mapping'!$B$3:$BK$3,0))</f>
        <v>brake wear emissions, passenger car</v>
      </c>
    </row>
    <row r="251" spans="1:8" ht="15.6" x14ac:dyDescent="0.3">
      <c r="A251" s="11" t="s">
        <v>72</v>
      </c>
      <c r="B251" s="9" t="str">
        <f>"transport, "&amp;B253&amp;", "&amp;B255</f>
        <v>transport, Bicycle, electric, cargo bike, 2040</v>
      </c>
    </row>
    <row r="252" spans="1:8" x14ac:dyDescent="0.3">
      <c r="A252" t="s">
        <v>73</v>
      </c>
      <c r="B252" t="s">
        <v>37</v>
      </c>
    </row>
    <row r="253" spans="1:8" x14ac:dyDescent="0.3">
      <c r="A253" t="s">
        <v>87</v>
      </c>
      <c r="B253" s="21" t="s">
        <v>524</v>
      </c>
    </row>
    <row r="254" spans="1:8" x14ac:dyDescent="0.3">
      <c r="A254" t="s">
        <v>88</v>
      </c>
      <c r="B254" s="12"/>
    </row>
    <row r="255" spans="1:8" x14ac:dyDescent="0.3">
      <c r="A255" t="s">
        <v>89</v>
      </c>
      <c r="B255" s="12">
        <v>2040</v>
      </c>
    </row>
    <row r="256" spans="1:8" x14ac:dyDescent="0.3">
      <c r="A256" t="s">
        <v>131</v>
      </c>
      <c r="B256" s="12" t="str">
        <f>B253&amp;" - "&amp;B255&amp;" - "&amp;B252</f>
        <v>Bicycle, electric, cargo bike - 2040 - CH</v>
      </c>
    </row>
    <row r="257" spans="1:2" x14ac:dyDescent="0.3">
      <c r="A257" t="s">
        <v>74</v>
      </c>
      <c r="B257" s="12" t="str">
        <f>"transport, "&amp;B253</f>
        <v>transport, Bicycle, electric, cargo bike</v>
      </c>
    </row>
    <row r="258" spans="1:2" x14ac:dyDescent="0.3">
      <c r="A258" t="s">
        <v>75</v>
      </c>
      <c r="B258" t="s">
        <v>76</v>
      </c>
    </row>
    <row r="259" spans="1:2" x14ac:dyDescent="0.3">
      <c r="A259" t="s">
        <v>77</v>
      </c>
      <c r="B259" t="s">
        <v>172</v>
      </c>
    </row>
    <row r="260" spans="1:2" x14ac:dyDescent="0.3">
      <c r="A260" t="s">
        <v>79</v>
      </c>
      <c r="B260" t="s">
        <v>90</v>
      </c>
    </row>
    <row r="261" spans="1:2" x14ac:dyDescent="0.3">
      <c r="A261" t="s">
        <v>132</v>
      </c>
      <c r="B261">
        <f>INDEX('vehicles specifications'!$B$3:$CK$86,MATCH(B256,'vehicles specifications'!$A$3:$A$86,0),MATCH("Lifetime [km]",'vehicles specifications'!$B$2:$CK$2,0))</f>
        <v>20000</v>
      </c>
    </row>
    <row r="262" spans="1:2" x14ac:dyDescent="0.3">
      <c r="A262" t="s">
        <v>133</v>
      </c>
      <c r="B262">
        <f>INDEX('vehicles specifications'!$B$3:$CK$86,MATCH(B256,'vehicles specifications'!$A$3:$A$86,0),MATCH("Passengers [unit]",'vehicles specifications'!$B$2:$CK$2,0))</f>
        <v>1</v>
      </c>
    </row>
    <row r="263" spans="1:2" x14ac:dyDescent="0.3">
      <c r="A263" t="s">
        <v>134</v>
      </c>
      <c r="B263">
        <f>INDEX('vehicles specifications'!$B$3:$CK$86,MATCH(B256,'vehicles specifications'!$A$3:$A$86,0),MATCH("Servicing [unit]",'vehicles specifications'!$B$2:$CK$2,0))</f>
        <v>5</v>
      </c>
    </row>
    <row r="264" spans="1:2" x14ac:dyDescent="0.3">
      <c r="A264" t="s">
        <v>135</v>
      </c>
      <c r="B264">
        <f>INDEX('vehicles specifications'!$B$3:$CK$86,MATCH(B256,'vehicles specifications'!$A$3:$A$86,0),MATCH("Energy battery replacement [unit]",'vehicles specifications'!$B$2:$CK$2,0))</f>
        <v>0.25</v>
      </c>
    </row>
    <row r="265" spans="1:2" x14ac:dyDescent="0.3">
      <c r="A265" t="s">
        <v>136</v>
      </c>
      <c r="B265">
        <f>INDEX('vehicles specifications'!$B$3:$CK$86,MATCH(B256,'vehicles specifications'!$A$3:$A$86,0),MATCH("Annual kilometers [km]",'vehicles specifications'!$B$2:$CK$2,0))</f>
        <v>2060</v>
      </c>
    </row>
    <row r="266" spans="1:2" x14ac:dyDescent="0.3">
      <c r="A266" t="s">
        <v>137</v>
      </c>
      <c r="B266">
        <f>INDEX('vehicles specifications'!$B$3:$CK$86,MATCH(B256,'vehicles specifications'!$A$3:$A$86,0),MATCH("Curb mass [kg]",'vehicles specifications'!$B$2:$CK$2,0))</f>
        <v>36.5</v>
      </c>
    </row>
    <row r="267" spans="1:2" x14ac:dyDescent="0.3">
      <c r="A267" t="s">
        <v>138</v>
      </c>
      <c r="B267">
        <f>INDEX('vehicles specifications'!$B$3:$CK$86,MATCH(B256,'vehicles specifications'!$A$3:$A$86,0),MATCH("Power [kW]",'vehicles specifications'!$B$2:$CK$2,0))</f>
        <v>0.5</v>
      </c>
    </row>
    <row r="268" spans="1:2" x14ac:dyDescent="0.3">
      <c r="A268" t="s">
        <v>139</v>
      </c>
      <c r="B268">
        <f>INDEX('vehicles specifications'!$B$3:$CK$86,MATCH(B256,'vehicles specifications'!$A$3:$A$86,0),MATCH("Energy battery mass [kg]",'vehicles specifications'!$B$2:$CK$2,0))</f>
        <v>5.2</v>
      </c>
    </row>
    <row r="269" spans="1:2" x14ac:dyDescent="0.3">
      <c r="A269" t="s">
        <v>140</v>
      </c>
      <c r="B269">
        <f>INDEX('vehicles specifications'!$B$3:$CK$86,MATCH(B256,'vehicles specifications'!$A$3:$A$86,0),MATCH("Electric energy stored [kWh]",'vehicles specifications'!$B$2:$CK$2,0))</f>
        <v>1.6</v>
      </c>
    </row>
    <row r="270" spans="1:2" s="21" customFormat="1" x14ac:dyDescent="0.3">
      <c r="A270" s="21" t="s">
        <v>654</v>
      </c>
      <c r="B270" s="21">
        <f>INDEX('vehicles specifications'!$B$3:$CK$86,MATCH(B256,'vehicles specifications'!$A$3:$A$86,0),MATCH("Electric energy available [kWh]",'vehicles specifications'!$B$2:$CK$2,0))</f>
        <v>1.2800000000000002</v>
      </c>
    </row>
    <row r="271" spans="1:2" x14ac:dyDescent="0.3">
      <c r="A271" t="s">
        <v>143</v>
      </c>
      <c r="B271">
        <f>INDEX('vehicles specifications'!$B$3:$CK$86,MATCH(B256,'vehicles specifications'!$A$3:$A$86,0),MATCH("Oxydation energy stored [kWh]",'vehicles specifications'!$B$2:$CK$2,0))</f>
        <v>0</v>
      </c>
    </row>
    <row r="272" spans="1:2" x14ac:dyDescent="0.3">
      <c r="A272" t="s">
        <v>145</v>
      </c>
      <c r="B272">
        <f>INDEX('vehicles specifications'!$B$3:$CK$86,MATCH(B256,'vehicles specifications'!$A$3:$A$86,0),MATCH("Fuel mass [kg]",'vehicles specifications'!$B$2:$CK$2,0))</f>
        <v>0</v>
      </c>
    </row>
    <row r="273" spans="1:8" x14ac:dyDescent="0.3">
      <c r="A273" t="s">
        <v>141</v>
      </c>
      <c r="B273">
        <f>INDEX('vehicles specifications'!$B$3:$CK$86,MATCH(B256,'vehicles specifications'!$A$3:$A$86,0),MATCH("Range [km]",'vehicles specifications'!$B$2:$CK$2,0))</f>
        <v>132.76354430379749</v>
      </c>
    </row>
    <row r="274" spans="1:8" x14ac:dyDescent="0.3">
      <c r="A274" t="s">
        <v>142</v>
      </c>
      <c r="B274" t="str">
        <f>INDEX('vehicles specifications'!$B$3:$CK$86,MATCH(B256,'vehicles specifications'!$A$3:$A$86,0),MATCH("Emission standard",'vehicles specifications'!$B$2:$CK$2,0))</f>
        <v>None</v>
      </c>
    </row>
    <row r="275" spans="1:8" x14ac:dyDescent="0.3">
      <c r="A275" t="s">
        <v>144</v>
      </c>
      <c r="B275" s="6">
        <f>INDEX('vehicles specifications'!$B$3:$CK$86,MATCH(B256,'vehicles specifications'!$A$3:$A$86,0),MATCH("Lightweighting rate [%]",'vehicles specifications'!$B$2:$CK$2,0))</f>
        <v>0.05</v>
      </c>
    </row>
    <row r="276" spans="1:8" x14ac:dyDescent="0.3">
      <c r="A276" t="s">
        <v>84</v>
      </c>
      <c r="B276" s="21" t="str">
        <f>"Power: "&amp;B267&amp;" kW. Lifetime: "&amp;B261&amp;" km. Annual kilometers: "&amp;B265&amp;" km. Number of passengers: "&amp;B262&amp;". Curb mass: "&amp;ROUND(B266,1)&amp;" kg. Lightweighting of glider: "&amp;ROUND(B275*100,0)&amp;"%. Emission standard: "&amp;B274&amp;". Service visits throughout lifetime: "&amp;ROUND(B263,1)&amp;". Range: "&amp;ROUND(B273,0)&amp;" km. Battery capacity: "&amp;ROUND(B269,1)&amp;" kWh. Available battery capacity: "&amp;B270&amp;" kWh. Battery mass: "&amp;ROUND(B268,1)&amp; " kg. Battery replacement throughout lifetime: "&amp;ROUND(B264,1)&amp;". Fuel tank capacity: "&amp;ROUND(B271,1)&amp;" kWh. Fuel mass: "&amp;ROUND(B272,1)&amp;" kg. Documentation: "&amp;Readmefirst!$B$2&amp;", "&amp;Readmefirst!$B$3&amp;". "&amp;B260</f>
        <v>Power: 0.5 kW. Lifetime: 20000 km. Annual kilometers: 2060 km. Number of passengers: 1. Curb mass: 36.5 kg. Lightweighting of glider: 5%. Emission standard: None. Service visits throughout lifetime: 5. Range: 133 km. Battery capacity: 1.6 kWh. Available battery capacity: 1.28 kWh. Battery mass: 5.2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77" spans="1:8" ht="15.6" x14ac:dyDescent="0.3">
      <c r="A277" s="11" t="s">
        <v>80</v>
      </c>
    </row>
    <row r="278" spans="1:8" x14ac:dyDescent="0.3">
      <c r="A278" t="s">
        <v>81</v>
      </c>
      <c r="B278" t="s">
        <v>82</v>
      </c>
      <c r="C278" t="s">
        <v>73</v>
      </c>
      <c r="D278" t="s">
        <v>77</v>
      </c>
      <c r="E278" t="s">
        <v>83</v>
      </c>
      <c r="F278" t="s">
        <v>75</v>
      </c>
      <c r="G278" t="s">
        <v>84</v>
      </c>
      <c r="H278" t="s">
        <v>74</v>
      </c>
    </row>
    <row r="279" spans="1:8" x14ac:dyDescent="0.3">
      <c r="A279" s="12" t="str">
        <f>B251</f>
        <v>transport, Bicycle, electric, cargo bike, 2040</v>
      </c>
      <c r="B279" s="12">
        <v>1</v>
      </c>
      <c r="C279" s="12" t="str">
        <f>B252</f>
        <v>CH</v>
      </c>
      <c r="D279" s="12" t="s">
        <v>172</v>
      </c>
      <c r="E279" s="12"/>
      <c r="F279" s="12" t="s">
        <v>85</v>
      </c>
      <c r="G279" s="12" t="s">
        <v>86</v>
      </c>
      <c r="H279" s="12" t="str">
        <f>B257</f>
        <v>transport, Bicycle, electric, cargo bike</v>
      </c>
    </row>
    <row r="280" spans="1:8" x14ac:dyDescent="0.3">
      <c r="A280" s="12" t="str">
        <f>RIGHT(A279,LEN(A279)-11)</f>
        <v>Bicycle, electric, cargo bike, 2040</v>
      </c>
      <c r="B280" s="12">
        <f>1/B261</f>
        <v>5.0000000000000002E-5</v>
      </c>
      <c r="C280" s="12" t="str">
        <f>B252</f>
        <v>CH</v>
      </c>
      <c r="D280" s="12" t="s">
        <v>77</v>
      </c>
      <c r="E280" s="12"/>
      <c r="F280" s="12" t="s">
        <v>91</v>
      </c>
      <c r="G280" s="12"/>
      <c r="H280" s="12" t="str">
        <f>RIGHT(H279,LEN(H279)-11)</f>
        <v>Bicycle, electric, cargo bike</v>
      </c>
    </row>
    <row r="281" spans="1:8" s="21" customFormat="1" x14ac:dyDescent="0.3">
      <c r="A281" s="12" t="str">
        <f>INDEX('ei names mapping'!$B$4:$R$33,MATCH(B253,'ei names mapping'!$A$4:$A$33,0),MATCH(G281,'ei names mapping'!$B$3:$R$3,0))</f>
        <v>road construction</v>
      </c>
      <c r="B281" s="16">
        <f>INDEX('vehicles specifications'!$B$3:$CK$86,MATCH(B256,'vehicles specifications'!$A$3:$A$86,0),MATCH(G281,'vehicles specifications'!$B$2:$CK$2,0))*INDEX('ei names mapping'!$B$137:$BK$220,MATCH(B256,'ei names mapping'!$A$137:$A$220,0),MATCH(G281,'ei names mapping'!$B$136:$BK$136,0))</f>
        <v>5.7727499999999999E-5</v>
      </c>
      <c r="C281" s="12" t="str">
        <f>INDEX('ei names mapping'!$B$38:$R$67,MATCH(B253,'ei names mapping'!$A$4:$A$33,0),MATCH(G281,'ei names mapping'!$B$3:$R$3,0))</f>
        <v>CH</v>
      </c>
      <c r="D281" s="12" t="str">
        <f>INDEX('ei names mapping'!$B$104:$BK$133,MATCH(B253,'ei names mapping'!$A$4:$A$33,0),MATCH(G281,'ei names mapping'!$B$3:$BK$3,0))</f>
        <v>meter-year</v>
      </c>
      <c r="E281" s="12"/>
      <c r="F281" s="12" t="s">
        <v>91</v>
      </c>
      <c r="G281" s="21" t="s">
        <v>108</v>
      </c>
      <c r="H281" s="12" t="str">
        <f>INDEX('ei names mapping'!$B$71:$BK$100,MATCH(B253,'ei names mapping'!$A$4:$A$33,0),MATCH(G281,'ei names mapping'!$B$3:$BK$3,0))</f>
        <v>road</v>
      </c>
    </row>
    <row r="282" spans="1:8" x14ac:dyDescent="0.3">
      <c r="A282" s="12" t="str">
        <f>INDEX('ei names mapping'!$B$4:$R$33,MATCH($B$3,'ei names mapping'!$A$4:$A$33,0),MATCH(G282,'ei names mapping'!$B$3:$R$3,0))</f>
        <v>market for electricity, low voltage</v>
      </c>
      <c r="B282" s="14">
        <f>INDEX('vehicles specifications'!$B$3:$CK$86,MATCH(B256,'vehicles specifications'!$A$3:$A$86,0),MATCH(G282,'vehicles specifications'!$B$2:$CK$2,0))*INDEX('ei names mapping'!$B$137:$BK$220,MATCH(B256,'ei names mapping'!$A$137:$A$220,0),MATCH(G282,'ei names mapping'!$B$136:$BK$136,0))</f>
        <v>1.0605320966560899E-2</v>
      </c>
      <c r="C282" s="12" t="str">
        <f>INDEX('ei names mapping'!$B$38:$R$67,MATCH($B$3,'ei names mapping'!$A$4:$A$33,0),MATCH(G282,'ei names mapping'!$B$3:$R$3,0))</f>
        <v>CH</v>
      </c>
      <c r="D282" s="12" t="str">
        <f>INDEX('ei names mapping'!$B$104:$R$133,MATCH($B$3,'ei names mapping'!$A$4:$A$33,0),MATCH(G282,'ei names mapping'!$B$3:$R$3,0))</f>
        <v>kilowatt hour</v>
      </c>
      <c r="E282" s="12"/>
      <c r="F282" s="12" t="s">
        <v>91</v>
      </c>
      <c r="G282" t="s">
        <v>28</v>
      </c>
      <c r="H282" s="12" t="str">
        <f>INDEX('ei names mapping'!$B$71:$R$100,MATCH($B$3,'ei names mapping'!$A$4:$A$33,0),MATCH(G282,'ei names mapping'!$B$3:$R$3,0))</f>
        <v>electricity, low voltage</v>
      </c>
    </row>
    <row r="283" spans="1:8" x14ac:dyDescent="0.3">
      <c r="A283" s="12" t="str">
        <f>INDEX('ei names mapping'!$B$4:$R$33,MATCH($B$3,'ei names mapping'!$A$4:$A$33,0),MATCH(G283,'ei names mapping'!$B$3:$R$3,0))</f>
        <v>maintenance, electric bicycle, without battery</v>
      </c>
      <c r="B283" s="14">
        <f>INDEX('vehicles specifications'!$B$3:$CK$86,MATCH(B256,'vehicles specifications'!$A$3:$A$86,0),MATCH(G283,'vehicles specifications'!$B$2:$CK$2,0))*INDEX('ei names mapping'!$B$137:$BK$220,MATCH(B256,'ei names mapping'!$A$137:$A$220,0),MATCH(G283,'ei names mapping'!$B$136:$BK$136,0))</f>
        <v>2.5000000000000001E-4</v>
      </c>
      <c r="C283" s="12" t="str">
        <f>INDEX('ei names mapping'!$B$38:$R$67,MATCH($B$3,'ei names mapping'!$A$4:$A$33,0),MATCH(G283,'ei names mapping'!$B$3:$R$3,0))</f>
        <v>CH</v>
      </c>
      <c r="D283" s="12" t="str">
        <f>INDEX('ei names mapping'!$B$104:$R$133,MATCH($B$3,'ei names mapping'!$A$4:$A$33,0),MATCH(G283,'ei names mapping'!$B$3:$R$3,0))</f>
        <v>unit</v>
      </c>
      <c r="E283" s="12"/>
      <c r="F283" s="12" t="s">
        <v>91</v>
      </c>
      <c r="G283" t="s">
        <v>123</v>
      </c>
      <c r="H283" s="12" t="str">
        <f>INDEX('ei names mapping'!$B$71:$R$100,MATCH($B$3,'ei names mapping'!$A$4:$A$33,0),MATCH(G283,'ei names mapping'!$B$3:$R$3,0))</f>
        <v>maintenance, electric bicycle, without battery</v>
      </c>
    </row>
    <row r="284" spans="1:8" x14ac:dyDescent="0.3">
      <c r="A284" s="12" t="str">
        <f>INDEX('ei names mapping'!$B$4:$BK$33,MATCH($B$179,'ei names mapping'!$A$4:$A$33,0),MATCH(G284,'ei names mapping'!$B$3:$BK$3,0))</f>
        <v>treatment of road wear emissions, passenger car</v>
      </c>
      <c r="B284" s="15">
        <f>INDEX('vehicles specifications'!$B$3:$CK$86,MATCH(B256,'vehicles specifications'!$A$3:$A$86,0),MATCH(G284,'vehicles specifications'!$B$2:$CK$2,0))*INDEX('ei names mapping'!$B$137:$BK$220,MATCH(B256,'ei names mapping'!$A$137:$A$220,0),MATCH(G284,'ei names mapping'!$B$136:$BK$136,0))</f>
        <v>-3.0000000000000001E-6</v>
      </c>
      <c r="C284" s="12" t="str">
        <f>INDEX('ei names mapping'!$B$38:$BK$67,MATCH($B$179,'ei names mapping'!$A$4:$A$33,0),MATCH(G284,'ei names mapping'!$B$3:$BK$3,0))</f>
        <v>RER</v>
      </c>
      <c r="D284" s="12" t="str">
        <f>INDEX('ei names mapping'!$B$104:$BK$133,MATCH($B$179,'ei names mapping'!$A$4:$A$33,0),MATCH(G284,'ei names mapping'!$B$3:$BK$3,0))</f>
        <v>kilogram</v>
      </c>
      <c r="E284" s="12"/>
      <c r="F284" s="12" t="s">
        <v>91</v>
      </c>
      <c r="G284" t="s">
        <v>29</v>
      </c>
      <c r="H284" s="12" t="str">
        <f>INDEX('ei names mapping'!$B$71:$BK$100,MATCH(B253,'ei names mapping'!$A$4:$A$33,0),MATCH(G284,'ei names mapping'!$B$3:$BK$3,0))</f>
        <v>road wear emissions, passenger car</v>
      </c>
    </row>
    <row r="285" spans="1:8" x14ac:dyDescent="0.3">
      <c r="A285" s="12" t="str">
        <f>INDEX('ei names mapping'!$B$4:$BK$33,MATCH($B$179,'ei names mapping'!$A$4:$A$33,0),MATCH(G285,'ei names mapping'!$B$3:$BK$3,0))</f>
        <v>treatment of tyre wear emissions, passenger car</v>
      </c>
      <c r="B285" s="15">
        <f>INDEX('vehicles specifications'!$B$3:$CK$86,MATCH(B256,'vehicles specifications'!$A$3:$A$86,0),MATCH(G285,'vehicles specifications'!$B$2:$CK$2,0))*INDEX('ei names mapping'!$B$137:$BK$220,MATCH(B256,'ei names mapping'!$A$137:$A$220,0),MATCH(G285,'ei names mapping'!$B$136:$BK$136,0))</f>
        <v>-2.9189999999999999E-6</v>
      </c>
      <c r="C285" s="12" t="str">
        <f>INDEX('ei names mapping'!$B$38:$BK$67,MATCH($B$179,'ei names mapping'!$A$4:$A$33,0),MATCH(G285,'ei names mapping'!$B$3:$BK$3,0))</f>
        <v>RER</v>
      </c>
      <c r="D285" s="12" t="str">
        <f>INDEX('ei names mapping'!$B$104:$BK$133,MATCH($B$179,'ei names mapping'!$A$4:$A$33,0),MATCH(G285,'ei names mapping'!$B$3:$BK$3,0))</f>
        <v>kilogram</v>
      </c>
      <c r="E285" s="12"/>
      <c r="F285" s="12" t="s">
        <v>91</v>
      </c>
      <c r="G285" t="s">
        <v>30</v>
      </c>
      <c r="H285" s="12" t="str">
        <f>INDEX('ei names mapping'!$B$71:$BK$100,MATCH($B$179,'ei names mapping'!$A$4:$A$33,0),MATCH(G285,'ei names mapping'!$B$3:$BK$3,0))</f>
        <v>tyre wear emissions, passenger car</v>
      </c>
    </row>
    <row r="286" spans="1:8" x14ac:dyDescent="0.3">
      <c r="A286" s="12" t="str">
        <f>INDEX('ei names mapping'!$B$4:$BK$33,MATCH($B$179,'ei names mapping'!$A$4:$A$33,0),MATCH(G286,'ei names mapping'!$B$3:$BK$3,0))</f>
        <v>treatment of brake wear emissions, passenger car</v>
      </c>
      <c r="B286" s="15">
        <f>INDEX('vehicles specifications'!$B$3:$CK$86,MATCH(B256,'vehicles specifications'!$A$3:$A$86,0),MATCH(G286,'vehicles specifications'!$B$2:$CK$2,0))*INDEX('ei names mapping'!$B$137:$BK$220,MATCH(B256,'ei names mapping'!$A$137:$A$220,0),MATCH(G286,'ei names mapping'!$B$136:$BK$136,0))</f>
        <v>-1.8370000000000002E-6</v>
      </c>
      <c r="C286" s="12" t="str">
        <f>INDEX('ei names mapping'!$B$38:$BK$67,MATCH($B$179,'ei names mapping'!$A$4:$A$33,0),MATCH(G286,'ei names mapping'!$B$3:$BK$3,0))</f>
        <v>RER</v>
      </c>
      <c r="D286" s="12" t="str">
        <f>INDEX('ei names mapping'!$B$104:$BK$133,MATCH($B$179,'ei names mapping'!$A$4:$A$33,0),MATCH(G286,'ei names mapping'!$B$3:$BK$3,0))</f>
        <v>kilogram</v>
      </c>
      <c r="E286" s="12"/>
      <c r="F286" s="12" t="s">
        <v>91</v>
      </c>
      <c r="G286" t="s">
        <v>31</v>
      </c>
      <c r="H286" s="12" t="str">
        <f>INDEX('ei names mapping'!$B$71:$BK$100,MATCH($B$179,'ei names mapping'!$A$4:$A$33,0),MATCH(G286,'ei names mapping'!$B$3:$BK$3,0))</f>
        <v>brake wear emissions, passenger car</v>
      </c>
    </row>
    <row r="288" spans="1:8" ht="15.6" x14ac:dyDescent="0.3">
      <c r="A288" s="11" t="s">
        <v>72</v>
      </c>
      <c r="B288" s="9" t="str">
        <f>"transport, "&amp;B290&amp;", "&amp;B292</f>
        <v>transport, Bicycle, electric, cargo bike, 2050</v>
      </c>
    </row>
    <row r="289" spans="1:2" x14ac:dyDescent="0.3">
      <c r="A289" t="s">
        <v>73</v>
      </c>
      <c r="B289" t="s">
        <v>37</v>
      </c>
    </row>
    <row r="290" spans="1:2" x14ac:dyDescent="0.3">
      <c r="A290" t="s">
        <v>87</v>
      </c>
      <c r="B290" s="21" t="s">
        <v>524</v>
      </c>
    </row>
    <row r="291" spans="1:2" x14ac:dyDescent="0.3">
      <c r="A291" t="s">
        <v>88</v>
      </c>
      <c r="B291" s="12"/>
    </row>
    <row r="292" spans="1:2" x14ac:dyDescent="0.3">
      <c r="A292" t="s">
        <v>89</v>
      </c>
      <c r="B292" s="12">
        <v>2050</v>
      </c>
    </row>
    <row r="293" spans="1:2" x14ac:dyDescent="0.3">
      <c r="A293" t="s">
        <v>131</v>
      </c>
      <c r="B293" s="12" t="str">
        <f>B290&amp;" - "&amp;B292&amp;" - "&amp;B289</f>
        <v>Bicycle, electric, cargo bike - 2050 - CH</v>
      </c>
    </row>
    <row r="294" spans="1:2" x14ac:dyDescent="0.3">
      <c r="A294" t="s">
        <v>74</v>
      </c>
      <c r="B294" s="12" t="str">
        <f>"transport, "&amp;B290</f>
        <v>transport, Bicycle, electric, cargo bike</v>
      </c>
    </row>
    <row r="295" spans="1:2" x14ac:dyDescent="0.3">
      <c r="A295" t="s">
        <v>75</v>
      </c>
      <c r="B295" t="s">
        <v>76</v>
      </c>
    </row>
    <row r="296" spans="1:2" x14ac:dyDescent="0.3">
      <c r="A296" t="s">
        <v>77</v>
      </c>
      <c r="B296" t="s">
        <v>172</v>
      </c>
    </row>
    <row r="297" spans="1:2" x14ac:dyDescent="0.3">
      <c r="A297" t="s">
        <v>79</v>
      </c>
      <c r="B297" t="s">
        <v>90</v>
      </c>
    </row>
    <row r="298" spans="1:2" x14ac:dyDescent="0.3">
      <c r="A298" t="s">
        <v>132</v>
      </c>
      <c r="B298">
        <f>INDEX('vehicles specifications'!$B$3:$CK$86,MATCH(B293,'vehicles specifications'!$A$3:$A$86,0),MATCH("Lifetime [km]",'vehicles specifications'!$B$2:$CK$2,0))</f>
        <v>20000</v>
      </c>
    </row>
    <row r="299" spans="1:2" x14ac:dyDescent="0.3">
      <c r="A299" t="s">
        <v>133</v>
      </c>
      <c r="B299">
        <f>INDEX('vehicles specifications'!$B$3:$CK$86,MATCH(B293,'vehicles specifications'!$A$3:$A$86,0),MATCH("Passengers [unit]",'vehicles specifications'!$B$2:$CK$2,0))</f>
        <v>1</v>
      </c>
    </row>
    <row r="300" spans="1:2" x14ac:dyDescent="0.3">
      <c r="A300" t="s">
        <v>134</v>
      </c>
      <c r="B300">
        <f>INDEX('vehicles specifications'!$B$3:$CK$86,MATCH(B293,'vehicles specifications'!$A$3:$A$86,0),MATCH("Servicing [unit]",'vehicles specifications'!$B$2:$CK$2,0))</f>
        <v>5</v>
      </c>
    </row>
    <row r="301" spans="1:2" x14ac:dyDescent="0.3">
      <c r="A301" t="s">
        <v>135</v>
      </c>
      <c r="B301">
        <f>INDEX('vehicles specifications'!$B$3:$CK$86,MATCH(B293,'vehicles specifications'!$A$3:$A$86,0),MATCH("Energy battery replacement [unit]",'vehicles specifications'!$B$2:$CK$2,0))</f>
        <v>0</v>
      </c>
    </row>
    <row r="302" spans="1:2" x14ac:dyDescent="0.3">
      <c r="A302" t="s">
        <v>136</v>
      </c>
      <c r="B302">
        <f>INDEX('vehicles specifications'!$B$3:$CK$86,MATCH(B293,'vehicles specifications'!$A$3:$A$86,0),MATCH("Annual kilometers [km]",'vehicles specifications'!$B$2:$CK$2,0))</f>
        <v>2060</v>
      </c>
    </row>
    <row r="303" spans="1:2" x14ac:dyDescent="0.3">
      <c r="A303" t="s">
        <v>137</v>
      </c>
      <c r="B303">
        <f>INDEX('vehicles specifications'!$B$3:$CK$86,MATCH(B293,'vehicles specifications'!$A$3:$A$86,0),MATCH("Curb mass [kg]",'vehicles specifications'!$B$2:$CK$2,0))</f>
        <v>36.619999999999997</v>
      </c>
    </row>
    <row r="304" spans="1:2" x14ac:dyDescent="0.3">
      <c r="A304" t="s">
        <v>138</v>
      </c>
      <c r="B304">
        <f>INDEX('vehicles specifications'!$B$3:$CK$86,MATCH(B293,'vehicles specifications'!$A$3:$A$86,0),MATCH("Power [kW]",'vehicles specifications'!$B$2:$CK$2,0))</f>
        <v>0.5</v>
      </c>
    </row>
    <row r="305" spans="1:8" x14ac:dyDescent="0.3">
      <c r="A305" t="s">
        <v>139</v>
      </c>
      <c r="B305">
        <f>INDEX('vehicles specifications'!$B$3:$CK$86,MATCH(B293,'vehicles specifications'!$A$3:$A$86,0),MATCH("Energy battery mass [kg]",'vehicles specifications'!$B$2:$CK$2,0))</f>
        <v>5.9799999999999995</v>
      </c>
    </row>
    <row r="306" spans="1:8" x14ac:dyDescent="0.3">
      <c r="A306" t="s">
        <v>140</v>
      </c>
      <c r="B306">
        <f>INDEX('vehicles specifications'!$B$3:$CK$86,MATCH(B293,'vehicles specifications'!$A$3:$A$86,0),MATCH("Electric energy stored [kWh]",'vehicles specifications'!$B$2:$CK$2,0))</f>
        <v>2.2999999999999998</v>
      </c>
    </row>
    <row r="307" spans="1:8" s="21" customFormat="1" x14ac:dyDescent="0.3">
      <c r="A307" s="21" t="s">
        <v>654</v>
      </c>
      <c r="B307" s="21">
        <f>INDEX('vehicles specifications'!$B$3:$CK$86,MATCH(B293,'vehicles specifications'!$A$3:$A$86,0),MATCH("Electric energy available [kWh]",'vehicles specifications'!$B$2:$CK$2,0))</f>
        <v>1.8399999999999999</v>
      </c>
    </row>
    <row r="308" spans="1:8" x14ac:dyDescent="0.3">
      <c r="A308" t="s">
        <v>143</v>
      </c>
      <c r="B308">
        <f>INDEX('vehicles specifications'!$B$3:$CK$86,MATCH(B293,'vehicles specifications'!$A$3:$A$86,0),MATCH("Oxydation energy stored [kWh]",'vehicles specifications'!$B$2:$CK$2,0))</f>
        <v>0</v>
      </c>
    </row>
    <row r="309" spans="1:8" x14ac:dyDescent="0.3">
      <c r="A309" t="s">
        <v>145</v>
      </c>
      <c r="B309">
        <f>INDEX('vehicles specifications'!$B$3:$CK$86,MATCH(B293,'vehicles specifications'!$A$3:$A$86,0),MATCH("Fuel mass [kg]",'vehicles specifications'!$B$2:$CK$2,0))</f>
        <v>0</v>
      </c>
    </row>
    <row r="310" spans="1:8" x14ac:dyDescent="0.3">
      <c r="A310" t="s">
        <v>141</v>
      </c>
      <c r="B310">
        <f>INDEX('vehicles specifications'!$B$3:$CK$86,MATCH(B293,'vehicles specifications'!$A$3:$A$86,0),MATCH("Range [km]",'vehicles specifications'!$B$2:$CK$2,0))</f>
        <v>190.84759493670884</v>
      </c>
    </row>
    <row r="311" spans="1:8" x14ac:dyDescent="0.3">
      <c r="A311" t="s">
        <v>142</v>
      </c>
      <c r="B311" t="str">
        <f>INDEX('vehicles specifications'!$B$3:$CK$86,MATCH(B293,'vehicles specifications'!$A$3:$A$86,0),MATCH("Emission standard",'vehicles specifications'!$B$2:$CK$2,0))</f>
        <v>None</v>
      </c>
    </row>
    <row r="312" spans="1:8" x14ac:dyDescent="0.3">
      <c r="A312" t="s">
        <v>144</v>
      </c>
      <c r="B312" s="6">
        <f>INDEX('vehicles specifications'!$B$3:$CK$86,MATCH(B293,'vehicles specifications'!$A$3:$A$86,0),MATCH("Lightweighting rate [%]",'vehicles specifications'!$B$2:$CK$2,0))</f>
        <v>7.0000000000000007E-2</v>
      </c>
    </row>
    <row r="313" spans="1:8" x14ac:dyDescent="0.3">
      <c r="A313" t="s">
        <v>84</v>
      </c>
      <c r="B313" s="21" t="str">
        <f>"Power: "&amp;B304&amp;" kW. Lifetime: "&amp;B298&amp;" km. Annual kilometers: "&amp;B302&amp;" km. Number of passengers: "&amp;B299&amp;". Curb mass: "&amp;ROUND(B303,1)&amp;" kg. Lightweighting of glider: "&amp;ROUND(B312*100,0)&amp;"%. Emission standard: "&amp;B311&amp;". Service visits throughout lifetime: "&amp;ROUND(B300,1)&amp;". Range: "&amp;ROUND(B310,0)&amp;" km. Battery capacity: "&amp;ROUND(B306,1)&amp;" kWh. Available battery capacity: "&amp;B307&amp;" kWh. Battery mass: "&amp;ROUND(B305,1)&amp; " kg. Battery replacement throughout lifetime: "&amp;ROUND(B301,1)&amp;". Fuel tank capacity: "&amp;ROUND(B308,1)&amp;" kWh. Fuel mass: "&amp;ROUND(B309,1)&amp;" kg. Documentation: "&amp;Readmefirst!$B$2&amp;", "&amp;Readmefirst!$B$3&amp;". "&amp;B297</f>
        <v>Power: 0.5 kW. Lifetime: 20000 km. Annual kilometers: 2060 km. Number of passengers: 1. Curb mass: 36.6 kg. Lightweighting of glider: 7%. Emission standard: None. Service visits throughout lifetime: 5. Range: 191 km. Battery capacity: 2.3 kWh. Available battery capacity: 1.84 kWh. Battery mass: 6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14" spans="1:8" ht="15.6" x14ac:dyDescent="0.3">
      <c r="A314" s="11" t="s">
        <v>80</v>
      </c>
    </row>
    <row r="315" spans="1:8" x14ac:dyDescent="0.3">
      <c r="A315" t="s">
        <v>81</v>
      </c>
      <c r="B315" t="s">
        <v>82</v>
      </c>
      <c r="C315" t="s">
        <v>73</v>
      </c>
      <c r="D315" t="s">
        <v>77</v>
      </c>
      <c r="E315" t="s">
        <v>83</v>
      </c>
      <c r="F315" t="s">
        <v>75</v>
      </c>
      <c r="G315" t="s">
        <v>84</v>
      </c>
      <c r="H315" t="s">
        <v>74</v>
      </c>
    </row>
    <row r="316" spans="1:8" x14ac:dyDescent="0.3">
      <c r="A316" s="12" t="str">
        <f>B288</f>
        <v>transport, Bicycle, electric, cargo bike, 2050</v>
      </c>
      <c r="B316" s="12">
        <v>1</v>
      </c>
      <c r="C316" s="12" t="str">
        <f>B289</f>
        <v>CH</v>
      </c>
      <c r="D316" s="12" t="s">
        <v>172</v>
      </c>
      <c r="E316" s="12"/>
      <c r="F316" s="12" t="s">
        <v>85</v>
      </c>
      <c r="G316" s="12" t="s">
        <v>86</v>
      </c>
      <c r="H316" s="12" t="str">
        <f>B294</f>
        <v>transport, Bicycle, electric, cargo bike</v>
      </c>
    </row>
    <row r="317" spans="1:8" x14ac:dyDescent="0.3">
      <c r="A317" s="12" t="str">
        <f>RIGHT(A316,LEN(A316)-11)</f>
        <v>Bicycle, electric, cargo bike, 2050</v>
      </c>
      <c r="B317" s="12">
        <f>1/B298</f>
        <v>5.0000000000000002E-5</v>
      </c>
      <c r="C317" s="12" t="str">
        <f>B289</f>
        <v>CH</v>
      </c>
      <c r="D317" s="12" t="s">
        <v>77</v>
      </c>
      <c r="E317" s="12"/>
      <c r="F317" s="12" t="s">
        <v>91</v>
      </c>
      <c r="G317" s="12"/>
      <c r="H317" s="12" t="str">
        <f>RIGHT(H316,LEN(H316)-11)</f>
        <v>Bicycle, electric, cargo bike</v>
      </c>
    </row>
    <row r="318" spans="1:8" s="21" customFormat="1" x14ac:dyDescent="0.3">
      <c r="A318" s="12" t="str">
        <f>INDEX('ei names mapping'!$B$4:$R$33,MATCH(B290,'ei names mapping'!$A$4:$A$33,0),MATCH(G318,'ei names mapping'!$B$3:$R$3,0))</f>
        <v>road construction</v>
      </c>
      <c r="B318" s="16">
        <f>INDEX('vehicles specifications'!$B$3:$CK$86,MATCH(B293,'vehicles specifications'!$A$3:$A$86,0),MATCH(G318,'vehicles specifications'!$B$2:$CK$2,0))*INDEX('ei names mapping'!$B$137:$BK$220,MATCH(B293,'ei names mapping'!$A$137:$A$220,0),MATCH(G318,'ei names mapping'!$B$136:$BK$136,0))</f>
        <v>5.7791940000000001E-5</v>
      </c>
      <c r="C318" s="12" t="str">
        <f>INDEX('ei names mapping'!$B$38:$R$67,MATCH(B290,'ei names mapping'!$A$4:$A$33,0),MATCH(G318,'ei names mapping'!$B$3:$R$3,0))</f>
        <v>CH</v>
      </c>
      <c r="D318" s="12" t="str">
        <f>INDEX('ei names mapping'!$B$104:$BK$133,MATCH(B290,'ei names mapping'!$A$4:$A$33,0),MATCH(G318,'ei names mapping'!$B$3:$BK$3,0))</f>
        <v>meter-year</v>
      </c>
      <c r="E318" s="12"/>
      <c r="F318" s="12" t="s">
        <v>91</v>
      </c>
      <c r="G318" s="21" t="s">
        <v>108</v>
      </c>
      <c r="H318" s="12" t="str">
        <f>INDEX('ei names mapping'!$B$71:$BK$100,MATCH(B290,'ei names mapping'!$A$4:$A$33,0),MATCH(G318,'ei names mapping'!$B$3:$BK$3,0))</f>
        <v>road</v>
      </c>
    </row>
    <row r="319" spans="1:8" x14ac:dyDescent="0.3">
      <c r="A319" s="12" t="str">
        <f>INDEX('ei names mapping'!$B$4:$R$33,MATCH($B$3,'ei names mapping'!$A$4:$A$33,0),MATCH(G319,'ei names mapping'!$B$3:$R$3,0))</f>
        <v>market for electricity, low voltage</v>
      </c>
      <c r="B319" s="14">
        <f>INDEX('vehicles specifications'!$B$3:$CK$86,MATCH(B293,'vehicles specifications'!$A$3:$A$86,0),MATCH(G319,'vehicles specifications'!$B$2:$CK$2,0))*INDEX('ei names mapping'!$B$137:$BK$220,MATCH(B293,'ei names mapping'!$A$137:$A$220,0),MATCH(G319,'ei names mapping'!$B$136:$BK$136,0))</f>
        <v>1.0605320966560899E-2</v>
      </c>
      <c r="C319" s="12" t="str">
        <f>INDEX('ei names mapping'!$B$38:$R$67,MATCH($B$3,'ei names mapping'!$A$4:$A$33,0),MATCH(G319,'ei names mapping'!$B$3:$R$3,0))</f>
        <v>CH</v>
      </c>
      <c r="D319" s="12" t="str">
        <f>INDEX('ei names mapping'!$B$104:$R$133,MATCH($B$3,'ei names mapping'!$A$4:$A$33,0),MATCH(G319,'ei names mapping'!$B$3:$R$3,0))</f>
        <v>kilowatt hour</v>
      </c>
      <c r="E319" s="12"/>
      <c r="F319" s="12" t="s">
        <v>91</v>
      </c>
      <c r="G319" t="s">
        <v>28</v>
      </c>
      <c r="H319" s="12" t="str">
        <f>INDEX('ei names mapping'!$B$71:$R$100,MATCH($B$3,'ei names mapping'!$A$4:$A$33,0),MATCH(G319,'ei names mapping'!$B$3:$R$3,0))</f>
        <v>electricity, low voltage</v>
      </c>
    </row>
    <row r="320" spans="1:8" x14ac:dyDescent="0.3">
      <c r="A320" s="12" t="str">
        <f>INDEX('ei names mapping'!$B$4:$R$33,MATCH($B$3,'ei names mapping'!$A$4:$A$33,0),MATCH(G320,'ei names mapping'!$B$3:$R$3,0))</f>
        <v>maintenance, electric bicycle, without battery</v>
      </c>
      <c r="B320" s="14">
        <f>INDEX('vehicles specifications'!$B$3:$CK$86,MATCH(B293,'vehicles specifications'!$A$3:$A$86,0),MATCH(G320,'vehicles specifications'!$B$2:$CK$2,0))*INDEX('ei names mapping'!$B$137:$BK$220,MATCH(B293,'ei names mapping'!$A$137:$A$220,0),MATCH(G320,'ei names mapping'!$B$136:$BK$136,0))</f>
        <v>2.5000000000000001E-4</v>
      </c>
      <c r="C320" s="12" t="str">
        <f>INDEX('ei names mapping'!$B$38:$R$67,MATCH($B$3,'ei names mapping'!$A$4:$A$33,0),MATCH(G320,'ei names mapping'!$B$3:$R$3,0))</f>
        <v>CH</v>
      </c>
      <c r="D320" s="12" t="str">
        <f>INDEX('ei names mapping'!$B$104:$R$133,MATCH($B$3,'ei names mapping'!$A$4:$A$33,0),MATCH(G320,'ei names mapping'!$B$3:$R$3,0))</f>
        <v>unit</v>
      </c>
      <c r="E320" s="12"/>
      <c r="F320" s="12" t="s">
        <v>91</v>
      </c>
      <c r="G320" t="s">
        <v>123</v>
      </c>
      <c r="H320" s="12" t="str">
        <f>INDEX('ei names mapping'!$B$71:$R$100,MATCH($B$3,'ei names mapping'!$A$4:$A$33,0),MATCH(G320,'ei names mapping'!$B$3:$R$3,0))</f>
        <v>maintenance, electric bicycle, without battery</v>
      </c>
    </row>
    <row r="321" spans="1:8" x14ac:dyDescent="0.3">
      <c r="A321" s="12" t="str">
        <f>INDEX('ei names mapping'!$B$4:$BK$33,MATCH($B$179,'ei names mapping'!$A$4:$A$33,0),MATCH(G321,'ei names mapping'!$B$3:$BK$3,0))</f>
        <v>treatment of road wear emissions, passenger car</v>
      </c>
      <c r="B321" s="15">
        <f>INDEX('vehicles specifications'!$B$3:$CK$86,MATCH(B293,'vehicles specifications'!$A$3:$A$86,0),MATCH(G321,'vehicles specifications'!$B$2:$CK$2,0))*INDEX('ei names mapping'!$B$137:$BK$220,MATCH(B293,'ei names mapping'!$A$137:$A$220,0),MATCH(G321,'ei names mapping'!$B$136:$BK$136,0))</f>
        <v>-3.0000000000000001E-6</v>
      </c>
      <c r="C321" s="12" t="str">
        <f>INDEX('ei names mapping'!$B$38:$BK$67,MATCH($B$179,'ei names mapping'!$A$4:$A$33,0),MATCH(G321,'ei names mapping'!$B$3:$BK$3,0))</f>
        <v>RER</v>
      </c>
      <c r="D321" s="12" t="str">
        <f>INDEX('ei names mapping'!$B$104:$BK$133,MATCH($B$179,'ei names mapping'!$A$4:$A$33,0),MATCH(G321,'ei names mapping'!$B$3:$BK$3,0))</f>
        <v>kilogram</v>
      </c>
      <c r="E321" s="12"/>
      <c r="F321" s="12" t="s">
        <v>91</v>
      </c>
      <c r="G321" t="s">
        <v>29</v>
      </c>
      <c r="H321" s="12" t="str">
        <f>INDEX('ei names mapping'!$B$71:$BK$100,MATCH(B290,'ei names mapping'!$A$4:$A$33,0),MATCH(G321,'ei names mapping'!$B$3:$BK$3,0))</f>
        <v>road wear emissions, passenger car</v>
      </c>
    </row>
    <row r="322" spans="1:8" x14ac:dyDescent="0.3">
      <c r="A322" s="12" t="str">
        <f>INDEX('ei names mapping'!$B$4:$BK$33,MATCH($B$179,'ei names mapping'!$A$4:$A$33,0),MATCH(G322,'ei names mapping'!$B$3:$BK$3,0))</f>
        <v>treatment of tyre wear emissions, passenger car</v>
      </c>
      <c r="B322" s="15">
        <f>INDEX('vehicles specifications'!$B$3:$CK$86,MATCH(B293,'vehicles specifications'!$A$3:$A$86,0),MATCH(G322,'vehicles specifications'!$B$2:$CK$2,0))*INDEX('ei names mapping'!$B$137:$BK$220,MATCH(B293,'ei names mapping'!$A$137:$A$220,0),MATCH(G322,'ei names mapping'!$B$136:$BK$136,0))</f>
        <v>-2.9189999999999999E-6</v>
      </c>
      <c r="C322" s="12" t="str">
        <f>INDEX('ei names mapping'!$B$38:$BK$67,MATCH($B$179,'ei names mapping'!$A$4:$A$33,0),MATCH(G322,'ei names mapping'!$B$3:$BK$3,0))</f>
        <v>RER</v>
      </c>
      <c r="D322" s="12" t="str">
        <f>INDEX('ei names mapping'!$B$104:$BK$133,MATCH($B$179,'ei names mapping'!$A$4:$A$33,0),MATCH(G322,'ei names mapping'!$B$3:$BK$3,0))</f>
        <v>kilogram</v>
      </c>
      <c r="E322" s="12"/>
      <c r="F322" s="12" t="s">
        <v>91</v>
      </c>
      <c r="G322" t="s">
        <v>30</v>
      </c>
      <c r="H322" s="12" t="str">
        <f>INDEX('ei names mapping'!$B$71:$BK$100,MATCH($B$179,'ei names mapping'!$A$4:$A$33,0),MATCH(G322,'ei names mapping'!$B$3:$BK$3,0))</f>
        <v>tyre wear emissions, passenger car</v>
      </c>
    </row>
    <row r="323" spans="1:8" x14ac:dyDescent="0.3">
      <c r="A323" s="12" t="str">
        <f>INDEX('ei names mapping'!$B$4:$BK$33,MATCH($B$179,'ei names mapping'!$A$4:$A$33,0),MATCH(G323,'ei names mapping'!$B$3:$BK$3,0))</f>
        <v>treatment of brake wear emissions, passenger car</v>
      </c>
      <c r="B323" s="15">
        <f>INDEX('vehicles specifications'!$B$3:$CK$86,MATCH(B293,'vehicles specifications'!$A$3:$A$86,0),MATCH(G323,'vehicles specifications'!$B$2:$CK$2,0))*INDEX('ei names mapping'!$B$137:$BK$220,MATCH(B293,'ei names mapping'!$A$137:$A$220,0),MATCH(G323,'ei names mapping'!$B$136:$BK$136,0))</f>
        <v>-1.8370000000000002E-6</v>
      </c>
      <c r="C323" s="12" t="str">
        <f>INDEX('ei names mapping'!$B$38:$BK$67,MATCH($B$179,'ei names mapping'!$A$4:$A$33,0),MATCH(G323,'ei names mapping'!$B$3:$BK$3,0))</f>
        <v>RER</v>
      </c>
      <c r="D323" s="12" t="str">
        <f>INDEX('ei names mapping'!$B$104:$BK$133,MATCH($B$179,'ei names mapping'!$A$4:$A$33,0),MATCH(G323,'ei names mapping'!$B$3:$BK$3,0))</f>
        <v>kilogram</v>
      </c>
      <c r="E323" s="12"/>
      <c r="F323" s="12" t="s">
        <v>91</v>
      </c>
      <c r="G323" t="s">
        <v>31</v>
      </c>
      <c r="H323" s="12" t="str">
        <f>INDEX('ei names mapping'!$B$71:$BK$100,MATCH($B$179,'ei names mapping'!$A$4:$A$33,0),MATCH(G323,'ei names mapping'!$B$3:$BK$3,0))</f>
        <v>brake wear emissions, passenger car</v>
      </c>
    </row>
    <row r="325" spans="1:8" ht="15.6" x14ac:dyDescent="0.3">
      <c r="A325" s="11" t="s">
        <v>72</v>
      </c>
      <c r="B325" s="9" t="str">
        <f>"transport, "&amp;B327&amp;", "&amp;B329&amp;", label-certified electricity"</f>
        <v>transport, Bicycle, electric, cargo bike, 2020, label-certified electricity</v>
      </c>
    </row>
    <row r="326" spans="1:8" x14ac:dyDescent="0.3">
      <c r="A326" t="s">
        <v>73</v>
      </c>
      <c r="B326" t="s">
        <v>37</v>
      </c>
    </row>
    <row r="327" spans="1:8" x14ac:dyDescent="0.3">
      <c r="A327" t="s">
        <v>87</v>
      </c>
      <c r="B327" s="21" t="s">
        <v>524</v>
      </c>
    </row>
    <row r="328" spans="1:8" x14ac:dyDescent="0.3">
      <c r="A328" t="s">
        <v>88</v>
      </c>
      <c r="B328" s="12"/>
    </row>
    <row r="329" spans="1:8" x14ac:dyDescent="0.3">
      <c r="A329" t="s">
        <v>89</v>
      </c>
      <c r="B329" s="12">
        <v>2020</v>
      </c>
    </row>
    <row r="330" spans="1:8" x14ac:dyDescent="0.3">
      <c r="A330" t="s">
        <v>131</v>
      </c>
      <c r="B330" s="12" t="str">
        <f>B327&amp;" - "&amp;B329&amp;" - "&amp;B326</f>
        <v>Bicycle, electric, cargo bike - 2020 - CH</v>
      </c>
    </row>
    <row r="331" spans="1:8" x14ac:dyDescent="0.3">
      <c r="A331" t="s">
        <v>74</v>
      </c>
      <c r="B331" s="12" t="str">
        <f>"transport, "&amp;B327</f>
        <v>transport, Bicycle, electric, cargo bike</v>
      </c>
    </row>
    <row r="332" spans="1:8" x14ac:dyDescent="0.3">
      <c r="A332" t="s">
        <v>75</v>
      </c>
      <c r="B332" t="s">
        <v>76</v>
      </c>
    </row>
    <row r="333" spans="1:8" x14ac:dyDescent="0.3">
      <c r="A333" t="s">
        <v>77</v>
      </c>
      <c r="B333" t="s">
        <v>172</v>
      </c>
    </row>
    <row r="334" spans="1:8" x14ac:dyDescent="0.3">
      <c r="A334" t="s">
        <v>79</v>
      </c>
      <c r="B334" t="s">
        <v>90</v>
      </c>
    </row>
    <row r="335" spans="1:8" x14ac:dyDescent="0.3">
      <c r="A335" t="s">
        <v>132</v>
      </c>
      <c r="B335">
        <f>INDEX('vehicles specifications'!$B$3:$CK$86,MATCH(B330,'vehicles specifications'!$A$3:$A$86,0),MATCH("Lifetime [km]",'vehicles specifications'!$B$2:$CK$2,0))</f>
        <v>20000</v>
      </c>
    </row>
    <row r="336" spans="1:8" x14ac:dyDescent="0.3">
      <c r="A336" t="s">
        <v>133</v>
      </c>
      <c r="B336">
        <f>INDEX('vehicles specifications'!$B$3:$CK$86,MATCH(B330,'vehicles specifications'!$A$3:$A$86,0),MATCH("Passengers [unit]",'vehicles specifications'!$B$2:$CK$2,0))</f>
        <v>1</v>
      </c>
    </row>
    <row r="337" spans="1:8" x14ac:dyDescent="0.3">
      <c r="A337" t="s">
        <v>134</v>
      </c>
      <c r="B337">
        <f>INDEX('vehicles specifications'!$B$3:$CK$86,MATCH(B330,'vehicles specifications'!$A$3:$A$86,0),MATCH("Servicing [unit]",'vehicles specifications'!$B$2:$CK$2,0))</f>
        <v>5</v>
      </c>
    </row>
    <row r="338" spans="1:8" x14ac:dyDescent="0.3">
      <c r="A338" t="s">
        <v>135</v>
      </c>
      <c r="B338">
        <f>INDEX('vehicles specifications'!$B$3:$CK$86,MATCH(B330,'vehicles specifications'!$A$3:$A$86,0),MATCH("Energy battery replacement [unit]",'vehicles specifications'!$B$2:$CK$2,0))</f>
        <v>1</v>
      </c>
    </row>
    <row r="339" spans="1:8" x14ac:dyDescent="0.3">
      <c r="A339" t="s">
        <v>136</v>
      </c>
      <c r="B339">
        <f>INDEX('vehicles specifications'!$B$3:$CK$86,MATCH(B330,'vehicles specifications'!$A$3:$A$86,0),MATCH("Annual kilometers [km]",'vehicles specifications'!$B$2:$CK$2,0))</f>
        <v>2060</v>
      </c>
    </row>
    <row r="340" spans="1:8" x14ac:dyDescent="0.3">
      <c r="A340" t="s">
        <v>137</v>
      </c>
      <c r="B340">
        <f>INDEX('vehicles specifications'!$B$3:$CK$86,MATCH(B330,'vehicles specifications'!$A$3:$A$86,0),MATCH("Curb mass [kg]",'vehicles specifications'!$B$2:$CK$2,0))</f>
        <v>36.9</v>
      </c>
    </row>
    <row r="341" spans="1:8" x14ac:dyDescent="0.3">
      <c r="A341" t="s">
        <v>138</v>
      </c>
      <c r="B341">
        <f>INDEX('vehicles specifications'!$B$3:$CK$86,MATCH(B330,'vehicles specifications'!$A$3:$A$86,0),MATCH("Power [kW]",'vehicles specifications'!$B$2:$CK$2,0))</f>
        <v>0.5</v>
      </c>
    </row>
    <row r="342" spans="1:8" x14ac:dyDescent="0.3">
      <c r="A342" t="s">
        <v>139</v>
      </c>
      <c r="B342">
        <f>INDEX('vehicles specifications'!$B$3:$CK$86,MATCH(B330,'vehicles specifications'!$A$3:$A$86,0),MATCH("Energy battery mass [kg]",'vehicles specifications'!$B$2:$CK$2,0))</f>
        <v>3.8999999999999995</v>
      </c>
    </row>
    <row r="343" spans="1:8" x14ac:dyDescent="0.3">
      <c r="A343" t="s">
        <v>140</v>
      </c>
      <c r="B343">
        <f>INDEX('vehicles specifications'!$B$3:$CK$86,MATCH(B330,'vehicles specifications'!$A$3:$A$86,0),MATCH("Electric energy stored [kWh]",'vehicles specifications'!$B$2:$CK$2,0))</f>
        <v>0.6</v>
      </c>
    </row>
    <row r="344" spans="1:8" s="21" customFormat="1" x14ac:dyDescent="0.3">
      <c r="A344" s="21" t="s">
        <v>654</v>
      </c>
      <c r="B344" s="21">
        <f>INDEX('vehicles specifications'!$B$3:$CK$86,MATCH(B330,'vehicles specifications'!$A$3:$A$86,0),MATCH("Electric energy available [kWh]",'vehicles specifications'!$B$2:$CK$2,0))</f>
        <v>0.48</v>
      </c>
    </row>
    <row r="345" spans="1:8" x14ac:dyDescent="0.3">
      <c r="A345" t="s">
        <v>143</v>
      </c>
      <c r="B345">
        <f>INDEX('vehicles specifications'!$B$3:$CK$86,MATCH(B330,'vehicles specifications'!$A$3:$A$86,0),MATCH("Oxydation energy stored [kWh]",'vehicles specifications'!$B$2:$CK$2,0))</f>
        <v>0</v>
      </c>
    </row>
    <row r="346" spans="1:8" x14ac:dyDescent="0.3">
      <c r="A346" t="s">
        <v>145</v>
      </c>
      <c r="B346">
        <f>INDEX('vehicles specifications'!$B$3:$CK$86,MATCH(B330,'vehicles specifications'!$A$3:$A$86,0),MATCH("Fuel mass [kg]",'vehicles specifications'!$B$2:$CK$2,0))</f>
        <v>0</v>
      </c>
    </row>
    <row r="347" spans="1:8" x14ac:dyDescent="0.3">
      <c r="A347" t="s">
        <v>141</v>
      </c>
      <c r="B347">
        <f>INDEX('vehicles specifications'!$B$3:$CK$86,MATCH(B330,'vehicles specifications'!$A$3:$A$86,0),MATCH("Range [km]",'vehicles specifications'!$B$2:$CK$2,0))</f>
        <v>49.786329113924047</v>
      </c>
    </row>
    <row r="348" spans="1:8" x14ac:dyDescent="0.3">
      <c r="A348" t="s">
        <v>142</v>
      </c>
      <c r="B348" t="str">
        <f>INDEX('vehicles specifications'!$B$3:$CK$86,MATCH(B330,'vehicles specifications'!$A$3:$A$86,0),MATCH("Emission standard",'vehicles specifications'!$B$2:$CK$2,0))</f>
        <v>None</v>
      </c>
    </row>
    <row r="349" spans="1:8" x14ac:dyDescent="0.3">
      <c r="A349" t="s">
        <v>144</v>
      </c>
      <c r="B349" s="6">
        <f>INDEX('vehicles specifications'!$B$3:$CK$86,MATCH(B330,'vehicles specifications'!$A$3:$A$86,0),MATCH("Lightweighting rate [%]",'vehicles specifications'!$B$2:$CK$2,0))</f>
        <v>0</v>
      </c>
    </row>
    <row r="350" spans="1:8" x14ac:dyDescent="0.3">
      <c r="A350" t="s">
        <v>84</v>
      </c>
      <c r="B350" s="21" t="str">
        <f>"Power: "&amp;B341&amp;" kW. Lifetime: "&amp;B335&amp;" km. Annual kilometers: "&amp;B339&amp;" km. Number of passengers: "&amp;B336&amp;". Curb mass: "&amp;ROUND(B340,1)&amp;" kg. Lightweighting of glider: "&amp;ROUND(B349*100,0)&amp;"%. Emission standard: "&amp;B348&amp;". Service visits throughout lifetime: "&amp;ROUND(B337,1)&amp;". Range: "&amp;ROUND(B347,0)&amp;" km. Battery capacity: "&amp;ROUND(B343,1)&amp;" kWh. Available battery capacity: "&amp;B344&amp;" kWh. Battery mass: "&amp;ROUND(B342,1)&amp; " kg. Battery replacement throughout lifetime: "&amp;ROUND(B338,1)&amp;". Fuel tank capacity: "&amp;ROUND(B345,1)&amp;" kWh. Fuel mass: "&amp;ROUND(B346,1)&amp;" kg. Documentation: "&amp;Readmefirst!$B$2&amp;", "&amp;Readmefirst!$B$3&amp;". "&amp;B334</f>
        <v>Power: 0.5 kW. Lifetime: 20000 km. Annual kilometers: 2060 km. Number of passengers: 1. Curb mass: 36.9 kg. Lightweighting of glider: 0%. Emission standard: None. Service visits throughout lifetime: 5. Range: 50 km. Battery capacity: 0.6 kWh. Available battery capacity: 0.48 kWh. Battery mass: 3.9 kg. Battery replacement throughout lifetime: 1.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1" spans="1:8" ht="15.6" x14ac:dyDescent="0.3">
      <c r="A351" s="11" t="s">
        <v>80</v>
      </c>
    </row>
    <row r="352" spans="1:8" x14ac:dyDescent="0.3">
      <c r="A352" t="s">
        <v>81</v>
      </c>
      <c r="B352" t="s">
        <v>82</v>
      </c>
      <c r="C352" t="s">
        <v>73</v>
      </c>
      <c r="D352" t="s">
        <v>77</v>
      </c>
      <c r="E352" t="s">
        <v>83</v>
      </c>
      <c r="F352" t="s">
        <v>75</v>
      </c>
      <c r="G352" t="s">
        <v>84</v>
      </c>
      <c r="H352" t="s">
        <v>74</v>
      </c>
    </row>
    <row r="353" spans="1:8" x14ac:dyDescent="0.3">
      <c r="A353" s="12" t="str">
        <f>B325</f>
        <v>transport, Bicycle, electric, cargo bike, 2020, label-certified electricity</v>
      </c>
      <c r="B353" s="12">
        <v>1</v>
      </c>
      <c r="C353" s="12" t="str">
        <f>B326</f>
        <v>CH</v>
      </c>
      <c r="D353" s="12" t="s">
        <v>172</v>
      </c>
      <c r="E353" s="12"/>
      <c r="F353" s="12" t="s">
        <v>85</v>
      </c>
      <c r="G353" s="12" t="s">
        <v>86</v>
      </c>
      <c r="H353" s="12" t="str">
        <f>B331</f>
        <v>transport, Bicycle, electric, cargo bike</v>
      </c>
    </row>
    <row r="354" spans="1:8" x14ac:dyDescent="0.3">
      <c r="A354" s="12" t="str">
        <f>B327&amp;", "&amp;B329</f>
        <v>Bicycle, electric, cargo bike, 2020</v>
      </c>
      <c r="B354" s="12">
        <f>1/B335</f>
        <v>5.0000000000000002E-5</v>
      </c>
      <c r="C354" s="12" t="str">
        <f>B326</f>
        <v>CH</v>
      </c>
      <c r="D354" s="12" t="s">
        <v>77</v>
      </c>
      <c r="E354" s="12"/>
      <c r="F354" s="12" t="s">
        <v>91</v>
      </c>
      <c r="G354" s="12"/>
      <c r="H354" s="12" t="str">
        <f>RIGHT(H353,LEN(H353)-11)</f>
        <v>Bicycle, electric, cargo bike</v>
      </c>
    </row>
    <row r="355" spans="1:8" s="21" customFormat="1" x14ac:dyDescent="0.3">
      <c r="A355" s="12" t="str">
        <f>INDEX('ei names mapping'!$B$4:$R$33,MATCH(B327,'ei names mapping'!$A$4:$A$33,0),MATCH(G355,'ei names mapping'!$B$3:$R$3,0))</f>
        <v>road construction</v>
      </c>
      <c r="B355" s="16">
        <f>INDEX('vehicles specifications'!$B$3:$CK$86,MATCH(B330,'vehicles specifications'!$A$3:$A$86,0),MATCH(G355,'vehicles specifications'!$B$2:$CK$2,0))*INDEX('ei names mapping'!$B$137:$BK$220,MATCH(B330,'ei names mapping'!$A$137:$A$220,0),MATCH(G355,'ei names mapping'!$B$136:$BK$136,0))</f>
        <v>5.7942300000000003E-5</v>
      </c>
      <c r="C355" s="12" t="str">
        <f>INDEX('ei names mapping'!$B$38:$R$67,MATCH(B327,'ei names mapping'!$A$4:$A$33,0),MATCH(G355,'ei names mapping'!$B$3:$R$3,0))</f>
        <v>CH</v>
      </c>
      <c r="D355" s="12" t="str">
        <f>INDEX('ei names mapping'!$B$104:$BK$133,MATCH(B327,'ei names mapping'!$A$4:$A$33,0),MATCH(G355,'ei names mapping'!$B$3:$BK$3,0))</f>
        <v>meter-year</v>
      </c>
      <c r="E355" s="12"/>
      <c r="F355" s="12" t="s">
        <v>91</v>
      </c>
      <c r="G355" s="21" t="s">
        <v>108</v>
      </c>
      <c r="H355" s="12" t="str">
        <f>INDEX('ei names mapping'!$B$71:$BK$100,MATCH(B327,'ei names mapping'!$A$4:$A$33,0),MATCH(G355,'ei names mapping'!$B$3:$BK$3,0))</f>
        <v>road</v>
      </c>
    </row>
    <row r="356" spans="1:8" x14ac:dyDescent="0.3">
      <c r="A356" s="12" t="s">
        <v>114</v>
      </c>
      <c r="B356" s="14">
        <f>INDEX('vehicles specifications'!$B$3:$CK$86,MATCH(B330,'vehicles specifications'!$A$3:$A$86,0),MATCH(G356,'vehicles specifications'!$B$2:$CK$2,0))*INDEX('ei names mapping'!$B$137:$BK$220,MATCH(B330,'ei names mapping'!$A$137:$A$220,0),MATCH(G356,'ei names mapping'!$B$136:$BK$136,0))</f>
        <v>1.0605320966560899E-2</v>
      </c>
      <c r="C356" s="12" t="str">
        <f>INDEX('ei names mapping'!$B$38:$R$67,MATCH($B$3,'ei names mapping'!$A$4:$A$33,0),MATCH(G356,'ei names mapping'!$B$3:$R$3,0))</f>
        <v>CH</v>
      </c>
      <c r="D356" s="12" t="str">
        <f>INDEX('ei names mapping'!$B$104:$R$133,MATCH($B$3,'ei names mapping'!$A$4:$A$33,0),MATCH(G356,'ei names mapping'!$B$3:$R$3,0))</f>
        <v>kilowatt hour</v>
      </c>
      <c r="E356" s="12"/>
      <c r="F356" s="12" t="s">
        <v>91</v>
      </c>
      <c r="G356" t="s">
        <v>28</v>
      </c>
      <c r="H356" s="12" t="s">
        <v>116</v>
      </c>
    </row>
    <row r="357" spans="1:8" x14ac:dyDescent="0.3">
      <c r="A357" s="12" t="str">
        <f>INDEX('ei names mapping'!$B$4:$R$33,MATCH($B$3,'ei names mapping'!$A$4:$A$33,0),MATCH(G357,'ei names mapping'!$B$3:$R$3,0))</f>
        <v>maintenance, electric bicycle, without battery</v>
      </c>
      <c r="B357" s="14">
        <f>INDEX('vehicles specifications'!$B$3:$CK$86,MATCH(B330,'vehicles specifications'!$A$3:$A$86,0),MATCH(G357,'vehicles specifications'!$B$2:$CK$2,0))*INDEX('ei names mapping'!$B$137:$BK$220,MATCH(B330,'ei names mapping'!$A$137:$A$220,0),MATCH(G357,'ei names mapping'!$B$136:$BK$136,0))</f>
        <v>2.5000000000000001E-4</v>
      </c>
      <c r="C357" s="12" t="str">
        <f>INDEX('ei names mapping'!$B$38:$R$67,MATCH($B$3,'ei names mapping'!$A$4:$A$33,0),MATCH(G357,'ei names mapping'!$B$3:$R$3,0))</f>
        <v>CH</v>
      </c>
      <c r="D357" s="12" t="str">
        <f>INDEX('ei names mapping'!$B$104:$R$133,MATCH($B$3,'ei names mapping'!$A$4:$A$33,0),MATCH(G357,'ei names mapping'!$B$3:$R$3,0))</f>
        <v>unit</v>
      </c>
      <c r="E357" s="12"/>
      <c r="F357" s="12" t="s">
        <v>91</v>
      </c>
      <c r="G357" t="s">
        <v>123</v>
      </c>
      <c r="H357" s="12" t="str">
        <f>INDEX('ei names mapping'!$B$71:$R$100,MATCH($B$3,'ei names mapping'!$A$4:$A$33,0),MATCH(G357,'ei names mapping'!$B$3:$R$3,0))</f>
        <v>maintenance, electric bicycle, without battery</v>
      </c>
    </row>
    <row r="358" spans="1:8" x14ac:dyDescent="0.3">
      <c r="A358" s="12" t="str">
        <f>INDEX('ei names mapping'!$B$4:$BK$33,MATCH($B$179,'ei names mapping'!$A$4:$A$33,0),MATCH(G358,'ei names mapping'!$B$3:$BK$3,0))</f>
        <v>treatment of road wear emissions, passenger car</v>
      </c>
      <c r="B358" s="15">
        <f>INDEX('vehicles specifications'!$B$3:$CK$86,MATCH(B330,'vehicles specifications'!$A$3:$A$86,0),MATCH(G358,'vehicles specifications'!$B$2:$CK$2,0))*INDEX('ei names mapping'!$B$137:$BK$220,MATCH(B330,'ei names mapping'!$A$137:$A$220,0),MATCH(G358,'ei names mapping'!$B$136:$BK$136,0))</f>
        <v>-3.0000000000000001E-6</v>
      </c>
      <c r="C358" s="12" t="str">
        <f>INDEX('ei names mapping'!$B$38:$BK$67,MATCH($B$327,'ei names mapping'!$A$4:$A$33,0),MATCH(G358,'ei names mapping'!$B$3:$BK$3,0))</f>
        <v>RER</v>
      </c>
      <c r="D358" s="12" t="str">
        <f>INDEX('ei names mapping'!$B$104:$BK$133,MATCH($B$327,'ei names mapping'!$A$4:$A$33,0),MATCH(G358,'ei names mapping'!$B$3:$BK$3,0))</f>
        <v>kilogram</v>
      </c>
      <c r="E358" s="12"/>
      <c r="F358" s="12" t="s">
        <v>91</v>
      </c>
      <c r="G358" t="s">
        <v>29</v>
      </c>
      <c r="H358" s="12" t="str">
        <f>INDEX('ei names mapping'!$B$71:$BK$100,MATCH(B327,'ei names mapping'!$A$4:$A$33,0),MATCH(G358,'ei names mapping'!$B$3:$BK$3,0))</f>
        <v>road wear emissions, passenger car</v>
      </c>
    </row>
    <row r="359" spans="1:8" x14ac:dyDescent="0.3">
      <c r="A359" s="12" t="str">
        <f>INDEX('ei names mapping'!$B$4:$BK$33,MATCH($B$179,'ei names mapping'!$A$4:$A$33,0),MATCH(G359,'ei names mapping'!$B$3:$BK$3,0))</f>
        <v>treatment of tyre wear emissions, passenger car</v>
      </c>
      <c r="B359" s="15">
        <f>INDEX('vehicles specifications'!$B$3:$CK$86,MATCH(B330,'vehicles specifications'!$A$3:$A$86,0),MATCH(G359,'vehicles specifications'!$B$2:$CK$2,0))*INDEX('ei names mapping'!$B$137:$BK$220,MATCH(B330,'ei names mapping'!$A$137:$A$220,0),MATCH(G359,'ei names mapping'!$B$136:$BK$136,0))</f>
        <v>-2.9189999999999999E-6</v>
      </c>
      <c r="C359" s="12" t="str">
        <f>INDEX('ei names mapping'!$B$38:$BK$67,MATCH($B$327,'ei names mapping'!$A$4:$A$33,0),MATCH(G359,'ei names mapping'!$B$3:$BK$3,0))</f>
        <v>RER</v>
      </c>
      <c r="D359" s="12" t="str">
        <f>INDEX('ei names mapping'!$B$104:$BK$133,MATCH($B$327,'ei names mapping'!$A$4:$A$33,0),MATCH(G359,'ei names mapping'!$B$3:$BK$3,0))</f>
        <v>kilogram</v>
      </c>
      <c r="E359" s="12"/>
      <c r="F359" s="12" t="s">
        <v>91</v>
      </c>
      <c r="G359" t="s">
        <v>30</v>
      </c>
      <c r="H359" s="12" t="str">
        <f>INDEX('ei names mapping'!$B$71:$BK$100,MATCH($B$179,'ei names mapping'!$A$4:$A$33,0),MATCH(G359,'ei names mapping'!$B$3:$BK$3,0))</f>
        <v>tyre wear emissions, passenger car</v>
      </c>
    </row>
    <row r="360" spans="1:8" x14ac:dyDescent="0.3">
      <c r="A360" s="12" t="str">
        <f>INDEX('ei names mapping'!$B$4:$BK$33,MATCH($B$179,'ei names mapping'!$A$4:$A$33,0),MATCH(G360,'ei names mapping'!$B$3:$BK$3,0))</f>
        <v>treatment of brake wear emissions, passenger car</v>
      </c>
      <c r="B360" s="15">
        <f>INDEX('vehicles specifications'!$B$3:$CK$86,MATCH(B330,'vehicles specifications'!$A$3:$A$86,0),MATCH(G360,'vehicles specifications'!$B$2:$CK$2,0))*INDEX('ei names mapping'!$B$137:$BK$220,MATCH(B330,'ei names mapping'!$A$137:$A$220,0),MATCH(G360,'ei names mapping'!$B$136:$BK$136,0))</f>
        <v>-1.8370000000000002E-6</v>
      </c>
      <c r="C360" s="12" t="str">
        <f>INDEX('ei names mapping'!$B$38:$BK$67,MATCH($B$327,'ei names mapping'!$A$4:$A$33,0),MATCH(G360,'ei names mapping'!$B$3:$BK$3,0))</f>
        <v>RER</v>
      </c>
      <c r="D360" s="12" t="str">
        <f>INDEX('ei names mapping'!$B$104:$BK$133,MATCH($B$327,'ei names mapping'!$A$4:$A$33,0),MATCH(G360,'ei names mapping'!$B$3:$BK$3,0))</f>
        <v>kilogram</v>
      </c>
      <c r="E360" s="12"/>
      <c r="F360" s="12" t="s">
        <v>91</v>
      </c>
      <c r="G360" t="s">
        <v>31</v>
      </c>
      <c r="H360" s="12" t="str">
        <f>INDEX('ei names mapping'!$B$71:$BK$100,MATCH($B$179,'ei names mapping'!$A$4:$A$33,0),MATCH(G360,'ei names mapping'!$B$3:$BK$3,0))</f>
        <v>brake wear emissions, passenger car</v>
      </c>
    </row>
    <row r="362" spans="1:8" ht="15.6" x14ac:dyDescent="0.3">
      <c r="A362" s="11" t="s">
        <v>72</v>
      </c>
      <c r="B362" s="9" t="str">
        <f>"transport, "&amp;B364&amp;", "&amp;B366&amp;", label-certified electricity"</f>
        <v>transport, Bicycle, electric, cargo bike, 2030, label-certified electricity</v>
      </c>
    </row>
    <row r="363" spans="1:8" x14ac:dyDescent="0.3">
      <c r="A363" t="s">
        <v>73</v>
      </c>
      <c r="B363" t="s">
        <v>37</v>
      </c>
    </row>
    <row r="364" spans="1:8" x14ac:dyDescent="0.3">
      <c r="A364" t="s">
        <v>87</v>
      </c>
      <c r="B364" s="21" t="s">
        <v>524</v>
      </c>
    </row>
    <row r="365" spans="1:8" x14ac:dyDescent="0.3">
      <c r="A365" t="s">
        <v>88</v>
      </c>
      <c r="B365" s="12"/>
    </row>
    <row r="366" spans="1:8" x14ac:dyDescent="0.3">
      <c r="A366" t="s">
        <v>89</v>
      </c>
      <c r="B366" s="12">
        <v>2030</v>
      </c>
    </row>
    <row r="367" spans="1:8" x14ac:dyDescent="0.3">
      <c r="A367" t="s">
        <v>131</v>
      </c>
      <c r="B367" s="12" t="str">
        <f>B364&amp;" - "&amp;B366&amp;" - "&amp;B363</f>
        <v>Bicycle, electric, cargo bike - 2030 - CH</v>
      </c>
    </row>
    <row r="368" spans="1:8" x14ac:dyDescent="0.3">
      <c r="A368" t="s">
        <v>74</v>
      </c>
      <c r="B368" s="12" t="str">
        <f>"transport, "&amp;B364</f>
        <v>transport, Bicycle, electric, cargo bike</v>
      </c>
    </row>
    <row r="369" spans="1:2" x14ac:dyDescent="0.3">
      <c r="A369" t="s">
        <v>75</v>
      </c>
      <c r="B369" t="s">
        <v>76</v>
      </c>
    </row>
    <row r="370" spans="1:2" x14ac:dyDescent="0.3">
      <c r="A370" t="s">
        <v>77</v>
      </c>
      <c r="B370" t="s">
        <v>172</v>
      </c>
    </row>
    <row r="371" spans="1:2" x14ac:dyDescent="0.3">
      <c r="A371" t="s">
        <v>79</v>
      </c>
      <c r="B371" t="s">
        <v>90</v>
      </c>
    </row>
    <row r="372" spans="1:2" x14ac:dyDescent="0.3">
      <c r="A372" t="s">
        <v>132</v>
      </c>
      <c r="B372">
        <f>INDEX('vehicles specifications'!$B$3:$CK$86,MATCH(B367,'vehicles specifications'!$A$3:$A$86,0),MATCH("Lifetime [km]",'vehicles specifications'!$B$2:$CK$2,0))</f>
        <v>20000</v>
      </c>
    </row>
    <row r="373" spans="1:2" x14ac:dyDescent="0.3">
      <c r="A373" t="s">
        <v>133</v>
      </c>
      <c r="B373">
        <f>INDEX('vehicles specifications'!$B$3:$CK$86,MATCH(B367,'vehicles specifications'!$A$3:$A$86,0),MATCH("Passengers [unit]",'vehicles specifications'!$B$2:$CK$2,0))</f>
        <v>1</v>
      </c>
    </row>
    <row r="374" spans="1:2" x14ac:dyDescent="0.3">
      <c r="A374" t="s">
        <v>134</v>
      </c>
      <c r="B374">
        <f>INDEX('vehicles specifications'!$B$3:$CK$86,MATCH(B367,'vehicles specifications'!$A$3:$A$86,0),MATCH("Servicing [unit]",'vehicles specifications'!$B$2:$CK$2,0))</f>
        <v>5</v>
      </c>
    </row>
    <row r="375" spans="1:2" x14ac:dyDescent="0.3">
      <c r="A375" t="s">
        <v>135</v>
      </c>
      <c r="B375">
        <f>INDEX('vehicles specifications'!$B$3:$CK$86,MATCH(B367,'vehicles specifications'!$A$3:$A$86,0),MATCH("Energy battery replacement [unit]",'vehicles specifications'!$B$2:$CK$2,0))</f>
        <v>0.5</v>
      </c>
    </row>
    <row r="376" spans="1:2" x14ac:dyDescent="0.3">
      <c r="A376" t="s">
        <v>136</v>
      </c>
      <c r="B376">
        <f>INDEX('vehicles specifications'!$B$3:$CK$86,MATCH(B367,'vehicles specifications'!$A$3:$A$86,0),MATCH("Annual kilometers [km]",'vehicles specifications'!$B$2:$CK$2,0))</f>
        <v>2060</v>
      </c>
    </row>
    <row r="377" spans="1:2" x14ac:dyDescent="0.3">
      <c r="A377" t="s">
        <v>137</v>
      </c>
      <c r="B377">
        <f>INDEX('vehicles specifications'!$B$3:$CK$86,MATCH(B367,'vehicles specifications'!$A$3:$A$86,0),MATCH("Curb mass [kg]",'vehicles specifications'!$B$2:$CK$2,0))</f>
        <v>37.260000000000005</v>
      </c>
    </row>
    <row r="378" spans="1:2" x14ac:dyDescent="0.3">
      <c r="A378" t="s">
        <v>138</v>
      </c>
      <c r="B378">
        <f>INDEX('vehicles specifications'!$B$3:$CK$86,MATCH(B367,'vehicles specifications'!$A$3:$A$86,0),MATCH("Power [kW]",'vehicles specifications'!$B$2:$CK$2,0))</f>
        <v>0.5</v>
      </c>
    </row>
    <row r="379" spans="1:2" x14ac:dyDescent="0.3">
      <c r="A379" t="s">
        <v>139</v>
      </c>
      <c r="B379">
        <f>INDEX('vehicles specifications'!$B$3:$CK$86,MATCH(B367,'vehicles specifications'!$A$3:$A$86,0),MATCH("Energy battery mass [kg]",'vehicles specifications'!$B$2:$CK$2,0))</f>
        <v>5.2</v>
      </c>
    </row>
    <row r="380" spans="1:2" x14ac:dyDescent="0.3">
      <c r="A380" t="s">
        <v>140</v>
      </c>
      <c r="B380">
        <f>INDEX('vehicles specifications'!$B$3:$CK$86,MATCH(B367,'vehicles specifications'!$A$3:$A$86,0),MATCH("Electric energy stored [kWh]",'vehicles specifications'!$B$2:$CK$2,0))</f>
        <v>1.2</v>
      </c>
    </row>
    <row r="381" spans="1:2" s="21" customFormat="1" x14ac:dyDescent="0.3">
      <c r="A381" s="21" t="s">
        <v>654</v>
      </c>
      <c r="B381" s="21">
        <f>INDEX('vehicles specifications'!$B$3:$CK$86,MATCH(B367,'vehicles specifications'!$A$3:$A$86,0),MATCH("Electric energy available [kWh]",'vehicles specifications'!$B$2:$CK$2,0))</f>
        <v>0.96</v>
      </c>
    </row>
    <row r="382" spans="1:2" x14ac:dyDescent="0.3">
      <c r="A382" t="s">
        <v>143</v>
      </c>
      <c r="B382">
        <f>INDEX('vehicles specifications'!$B$3:$CK$86,MATCH(B367,'vehicles specifications'!$A$3:$A$86,0),MATCH("Oxydation energy stored [kWh]",'vehicles specifications'!$B$2:$CK$2,0))</f>
        <v>0</v>
      </c>
    </row>
    <row r="383" spans="1:2" x14ac:dyDescent="0.3">
      <c r="A383" t="s">
        <v>145</v>
      </c>
      <c r="B383">
        <f>INDEX('vehicles specifications'!$B$3:$CK$86,MATCH(B367,'vehicles specifications'!$A$3:$A$86,0),MATCH("Fuel mass [kg]",'vehicles specifications'!$B$2:$CK$2,0))</f>
        <v>0</v>
      </c>
    </row>
    <row r="384" spans="1:2" x14ac:dyDescent="0.3">
      <c r="A384" t="s">
        <v>141</v>
      </c>
      <c r="B384">
        <f>INDEX('vehicles specifications'!$B$3:$CK$86,MATCH(B367,'vehicles specifications'!$A$3:$A$86,0),MATCH("Range [km]",'vehicles specifications'!$B$2:$CK$2,0))</f>
        <v>99.572658227848095</v>
      </c>
    </row>
    <row r="385" spans="1:8" x14ac:dyDescent="0.3">
      <c r="A385" t="s">
        <v>142</v>
      </c>
      <c r="B385" t="str">
        <f>INDEX('vehicles specifications'!$B$3:$CK$86,MATCH(B367,'vehicles specifications'!$A$3:$A$86,0),MATCH("Emission standard",'vehicles specifications'!$B$2:$CK$2,0))</f>
        <v>None</v>
      </c>
    </row>
    <row r="386" spans="1:8" x14ac:dyDescent="0.3">
      <c r="A386" t="s">
        <v>144</v>
      </c>
      <c r="B386" s="6">
        <f>INDEX('vehicles specifications'!$B$3:$CK$86,MATCH(B367,'vehicles specifications'!$A$3:$A$86,0),MATCH("Lightweighting rate [%]",'vehicles specifications'!$B$2:$CK$2,0))</f>
        <v>0.03</v>
      </c>
    </row>
    <row r="387" spans="1:8" x14ac:dyDescent="0.3">
      <c r="A387" t="s">
        <v>84</v>
      </c>
      <c r="B387" s="21" t="str">
        <f>"Power: "&amp;B378&amp;" kW. Lifetime: "&amp;B372&amp;" km. Annual kilometers: "&amp;B376&amp;" km. Number of passengers: "&amp;B373&amp;". Curb mass: "&amp;ROUND(B377,1)&amp;" kg. Lightweighting of glider: "&amp;ROUND(B386*100,0)&amp;"%. Emission standard: "&amp;B385&amp;". Service visits throughout lifetime: "&amp;ROUND(B374,1)&amp;". Range: "&amp;ROUND(B384,0)&amp;" km. Battery capacity: "&amp;ROUND(B380,1)&amp;" kWh. Available battery capacity: "&amp;B381&amp;" kWh. Battery mass: "&amp;ROUND(B379,1)&amp; " kg. Battery replacement throughout lifetime: "&amp;ROUND(B375,1)&amp;". Fuel tank capacity: "&amp;ROUND(B382,1)&amp;" kWh. Fuel mass: "&amp;ROUND(B383,1)&amp;" kg. Documentation: "&amp;Readmefirst!$B$2&amp;", "&amp;Readmefirst!$B$3&amp;". "&amp;B371</f>
        <v>Power: 0.5 kW. Lifetime: 20000 km. Annual kilometers: 2060 km. Number of passengers: 1. Curb mass: 37.3 kg. Lightweighting of glider: 3%. Emission standard: None. Service visits throughout lifetime: 5. Range: 100 km. Battery capacity: 1.2 kWh. Available battery capacity: 0.96 kWh. Battery mass: 5.2 kg. Battery replacement throughout lifetime: 0.5.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88" spans="1:8" ht="15.6" x14ac:dyDescent="0.3">
      <c r="A388" s="11" t="s">
        <v>80</v>
      </c>
    </row>
    <row r="389" spans="1:8" x14ac:dyDescent="0.3">
      <c r="A389" t="s">
        <v>81</v>
      </c>
      <c r="B389" t="s">
        <v>82</v>
      </c>
      <c r="C389" t="s">
        <v>73</v>
      </c>
      <c r="D389" t="s">
        <v>77</v>
      </c>
      <c r="E389" t="s">
        <v>83</v>
      </c>
      <c r="F389" t="s">
        <v>75</v>
      </c>
      <c r="G389" t="s">
        <v>84</v>
      </c>
      <c r="H389" t="s">
        <v>74</v>
      </c>
    </row>
    <row r="390" spans="1:8" x14ac:dyDescent="0.3">
      <c r="A390" s="12" t="str">
        <f>B362</f>
        <v>transport, Bicycle, electric, cargo bike, 2030, label-certified electricity</v>
      </c>
      <c r="B390" s="12">
        <v>1</v>
      </c>
      <c r="C390" s="12" t="str">
        <f>B363</f>
        <v>CH</v>
      </c>
      <c r="D390" s="12" t="s">
        <v>172</v>
      </c>
      <c r="E390" s="12"/>
      <c r="F390" s="12" t="s">
        <v>85</v>
      </c>
      <c r="G390" s="12" t="s">
        <v>86</v>
      </c>
      <c r="H390" s="12" t="str">
        <f>B368</f>
        <v>transport, Bicycle, electric, cargo bike</v>
      </c>
    </row>
    <row r="391" spans="1:8" x14ac:dyDescent="0.3">
      <c r="A391" s="12" t="str">
        <f>B364&amp;", "&amp;B366</f>
        <v>Bicycle, electric, cargo bike, 2030</v>
      </c>
      <c r="B391" s="12">
        <f>1/B372</f>
        <v>5.0000000000000002E-5</v>
      </c>
      <c r="C391" s="12" t="str">
        <f>B363</f>
        <v>CH</v>
      </c>
      <c r="D391" s="12" t="s">
        <v>77</v>
      </c>
      <c r="E391" s="12"/>
      <c r="F391" s="12" t="s">
        <v>91</v>
      </c>
      <c r="G391" s="12"/>
      <c r="H391" s="12" t="str">
        <f>RIGHT(H390,LEN(H390)-11)</f>
        <v>Bicycle, electric, cargo bike</v>
      </c>
    </row>
    <row r="392" spans="1:8" s="21" customFormat="1" x14ac:dyDescent="0.3">
      <c r="A392" s="12" t="str">
        <f>INDEX('ei names mapping'!$B$4:$R$33,MATCH(B364,'ei names mapping'!$A$4:$A$33,0),MATCH(G392,'ei names mapping'!$B$3:$R$3,0))</f>
        <v>road construction</v>
      </c>
      <c r="B392" s="16">
        <f>INDEX('vehicles specifications'!$B$3:$CK$86,MATCH(B367,'vehicles specifications'!$A$3:$A$86,0),MATCH(G392,'vehicles specifications'!$B$2:$CK$2,0))*INDEX('ei names mapping'!$B$137:$BK$220,MATCH(B367,'ei names mapping'!$A$137:$A$220,0),MATCH(G392,'ei names mapping'!$B$136:$BK$136,0))</f>
        <v>5.8135620000000001E-5</v>
      </c>
      <c r="C392" s="12" t="str">
        <f>INDEX('ei names mapping'!$B$38:$R$67,MATCH(B364,'ei names mapping'!$A$4:$A$33,0),MATCH(G392,'ei names mapping'!$B$3:$R$3,0))</f>
        <v>CH</v>
      </c>
      <c r="D392" s="12" t="str">
        <f>INDEX('ei names mapping'!$B$104:$BK$133,MATCH(B364,'ei names mapping'!$A$4:$A$33,0),MATCH(G392,'ei names mapping'!$B$3:$BK$3,0))</f>
        <v>meter-year</v>
      </c>
      <c r="E392" s="12"/>
      <c r="F392" s="12" t="s">
        <v>91</v>
      </c>
      <c r="G392" s="21" t="s">
        <v>108</v>
      </c>
      <c r="H392" s="12" t="str">
        <f>INDEX('ei names mapping'!$B$71:$BK$100,MATCH(B364,'ei names mapping'!$A$4:$A$33,0),MATCH(G392,'ei names mapping'!$B$3:$BK$3,0))</f>
        <v>road</v>
      </c>
    </row>
    <row r="393" spans="1:8" x14ac:dyDescent="0.3">
      <c r="A393" s="12" t="s">
        <v>114</v>
      </c>
      <c r="B393" s="14">
        <f>INDEX('vehicles specifications'!$B$3:$CK$86,MATCH(B367,'vehicles specifications'!$A$3:$A$86,0),MATCH(G393,'vehicles specifications'!$B$2:$CK$2,0))*INDEX('ei names mapping'!$B$137:$BK$220,MATCH(B367,'ei names mapping'!$A$137:$A$220,0),MATCH(G393,'ei names mapping'!$B$136:$BK$136,0))</f>
        <v>1.0605320966560899E-2</v>
      </c>
      <c r="C393" s="12" t="str">
        <f>INDEX('ei names mapping'!$B$38:$R$67,MATCH($B$3,'ei names mapping'!$A$4:$A$33,0),MATCH(G393,'ei names mapping'!$B$3:$R$3,0))</f>
        <v>CH</v>
      </c>
      <c r="D393" s="12" t="str">
        <f>INDEX('ei names mapping'!$B$104:$R$133,MATCH($B$3,'ei names mapping'!$A$4:$A$33,0),MATCH(G393,'ei names mapping'!$B$3:$R$3,0))</f>
        <v>kilowatt hour</v>
      </c>
      <c r="E393" s="12"/>
      <c r="F393" s="12" t="s">
        <v>91</v>
      </c>
      <c r="G393" t="s">
        <v>28</v>
      </c>
      <c r="H393" s="12" t="s">
        <v>116</v>
      </c>
    </row>
    <row r="394" spans="1:8" x14ac:dyDescent="0.3">
      <c r="A394" s="12" t="str">
        <f>INDEX('ei names mapping'!$B$4:$R$33,MATCH($B$3,'ei names mapping'!$A$4:$A$33,0),MATCH(G394,'ei names mapping'!$B$3:$R$3,0))</f>
        <v>maintenance, electric bicycle, without battery</v>
      </c>
      <c r="B394" s="14">
        <f>INDEX('vehicles specifications'!$B$3:$CK$86,MATCH(B367,'vehicles specifications'!$A$3:$A$86,0),MATCH(G394,'vehicles specifications'!$B$2:$CK$2,0))*INDEX('ei names mapping'!$B$137:$BK$220,MATCH(B367,'ei names mapping'!$A$137:$A$220,0),MATCH(G394,'ei names mapping'!$B$136:$BK$136,0))</f>
        <v>2.5000000000000001E-4</v>
      </c>
      <c r="C394" s="12" t="str">
        <f>INDEX('ei names mapping'!$B$38:$R$67,MATCH($B$3,'ei names mapping'!$A$4:$A$33,0),MATCH(G394,'ei names mapping'!$B$3:$R$3,0))</f>
        <v>CH</v>
      </c>
      <c r="D394" s="12" t="str">
        <f>INDEX('ei names mapping'!$B$104:$R$133,MATCH($B$3,'ei names mapping'!$A$4:$A$33,0),MATCH(G394,'ei names mapping'!$B$3:$R$3,0))</f>
        <v>unit</v>
      </c>
      <c r="E394" s="12"/>
      <c r="F394" s="12" t="s">
        <v>91</v>
      </c>
      <c r="G394" t="s">
        <v>123</v>
      </c>
      <c r="H394" s="12" t="str">
        <f>INDEX('ei names mapping'!$B$71:$R$100,MATCH($B$3,'ei names mapping'!$A$4:$A$33,0),MATCH(G394,'ei names mapping'!$B$3:$R$3,0))</f>
        <v>maintenance, electric bicycle, without battery</v>
      </c>
    </row>
    <row r="395" spans="1:8" x14ac:dyDescent="0.3">
      <c r="A395" s="12" t="str">
        <f>INDEX('ei names mapping'!$B$4:$BK$33,MATCH($B$179,'ei names mapping'!$A$4:$A$33,0),MATCH(G395,'ei names mapping'!$B$3:$BK$3,0))</f>
        <v>treatment of road wear emissions, passenger car</v>
      </c>
      <c r="B395" s="15">
        <f>INDEX('vehicles specifications'!$B$3:$CK$86,MATCH(B367,'vehicles specifications'!$A$3:$A$86,0),MATCH(G395,'vehicles specifications'!$B$2:$CK$2,0))*INDEX('ei names mapping'!$B$137:$BK$220,MATCH(B367,'ei names mapping'!$A$137:$A$220,0),MATCH(G395,'ei names mapping'!$B$136:$BK$136,0))</f>
        <v>-3.0000000000000001E-6</v>
      </c>
      <c r="C395" s="12" t="str">
        <f>INDEX('ei names mapping'!$B$38:$BK$67,MATCH($B$179,'ei names mapping'!$A$4:$A$33,0),MATCH(G395,'ei names mapping'!$B$3:$BK$3,0))</f>
        <v>RER</v>
      </c>
      <c r="D395" s="12" t="str">
        <f>INDEX('ei names mapping'!$B$104:$BK$133,MATCH($B$179,'ei names mapping'!$A$4:$A$33,0),MATCH(G395,'ei names mapping'!$B$3:$BK$3,0))</f>
        <v>kilogram</v>
      </c>
      <c r="E395" s="12"/>
      <c r="F395" s="12" t="s">
        <v>91</v>
      </c>
      <c r="G395" t="s">
        <v>29</v>
      </c>
      <c r="H395" s="12" t="str">
        <f>INDEX('ei names mapping'!$B$71:$BK$100,MATCH(B364,'ei names mapping'!$A$4:$A$33,0),MATCH(G395,'ei names mapping'!$B$3:$BK$3,0))</f>
        <v>road wear emissions, passenger car</v>
      </c>
    </row>
    <row r="396" spans="1:8" x14ac:dyDescent="0.3">
      <c r="A396" s="12" t="str">
        <f>INDEX('ei names mapping'!$B$4:$BK$33,MATCH($B$179,'ei names mapping'!$A$4:$A$33,0),MATCH(G396,'ei names mapping'!$B$3:$BK$3,0))</f>
        <v>treatment of tyre wear emissions, passenger car</v>
      </c>
      <c r="B396" s="15">
        <f>INDEX('vehicles specifications'!$B$3:$CK$86,MATCH(B367,'vehicles specifications'!$A$3:$A$86,0),MATCH(G396,'vehicles specifications'!$B$2:$CK$2,0))*INDEX('ei names mapping'!$B$137:$BK$220,MATCH(B367,'ei names mapping'!$A$137:$A$220,0),MATCH(G396,'ei names mapping'!$B$136:$BK$136,0))</f>
        <v>-2.9189999999999999E-6</v>
      </c>
      <c r="C396" s="12" t="str">
        <f>INDEX('ei names mapping'!$B$38:$BK$67,MATCH($B$179,'ei names mapping'!$A$4:$A$33,0),MATCH(G396,'ei names mapping'!$B$3:$BK$3,0))</f>
        <v>RER</v>
      </c>
      <c r="D396" s="12" t="str">
        <f>INDEX('ei names mapping'!$B$104:$BK$133,MATCH($B$179,'ei names mapping'!$A$4:$A$33,0),MATCH(G396,'ei names mapping'!$B$3:$BK$3,0))</f>
        <v>kilogram</v>
      </c>
      <c r="E396" s="12"/>
      <c r="F396" s="12" t="s">
        <v>91</v>
      </c>
      <c r="G396" t="s">
        <v>30</v>
      </c>
      <c r="H396" s="12" t="str">
        <f>INDEX('ei names mapping'!$B$71:$BK$100,MATCH($B$179,'ei names mapping'!$A$4:$A$33,0),MATCH(G396,'ei names mapping'!$B$3:$BK$3,0))</f>
        <v>tyre wear emissions, passenger car</v>
      </c>
    </row>
    <row r="397" spans="1:8" x14ac:dyDescent="0.3">
      <c r="A397" s="12" t="str">
        <f>INDEX('ei names mapping'!$B$4:$BK$33,MATCH($B$179,'ei names mapping'!$A$4:$A$33,0),MATCH(G397,'ei names mapping'!$B$3:$BK$3,0))</f>
        <v>treatment of brake wear emissions, passenger car</v>
      </c>
      <c r="B397" s="15">
        <f>INDEX('vehicles specifications'!$B$3:$CK$86,MATCH(B367,'vehicles specifications'!$A$3:$A$86,0),MATCH(G397,'vehicles specifications'!$B$2:$CK$2,0))*INDEX('ei names mapping'!$B$137:$BK$220,MATCH(B367,'ei names mapping'!$A$137:$A$220,0),MATCH(G397,'ei names mapping'!$B$136:$BK$136,0))</f>
        <v>-1.8370000000000002E-6</v>
      </c>
      <c r="C397" s="12" t="str">
        <f>INDEX('ei names mapping'!$B$38:$BK$67,MATCH($B$179,'ei names mapping'!$A$4:$A$33,0),MATCH(G397,'ei names mapping'!$B$3:$BK$3,0))</f>
        <v>RER</v>
      </c>
      <c r="D397" s="12" t="str">
        <f>INDEX('ei names mapping'!$B$104:$BK$133,MATCH($B$179,'ei names mapping'!$A$4:$A$33,0),MATCH(G397,'ei names mapping'!$B$3:$BK$3,0))</f>
        <v>kilogram</v>
      </c>
      <c r="E397" s="12"/>
      <c r="F397" s="12" t="s">
        <v>91</v>
      </c>
      <c r="G397" t="s">
        <v>31</v>
      </c>
      <c r="H397" s="12" t="str">
        <f>INDEX('ei names mapping'!$B$71:$BK$100,MATCH($B$179,'ei names mapping'!$A$4:$A$33,0),MATCH(G397,'ei names mapping'!$B$3:$BK$3,0))</f>
        <v>brake wear emissions, passenger car</v>
      </c>
    </row>
    <row r="399" spans="1:8" ht="15.6" x14ac:dyDescent="0.3">
      <c r="A399" s="11" t="s">
        <v>72</v>
      </c>
      <c r="B399" s="9" t="str">
        <f>"transport, "&amp;B401&amp;", "&amp;B403&amp;", label-certified electricity"</f>
        <v>transport, Bicycle, electric, cargo bike, 2040, label-certified electricity</v>
      </c>
    </row>
    <row r="400" spans="1:8" x14ac:dyDescent="0.3">
      <c r="A400" t="s">
        <v>73</v>
      </c>
      <c r="B400" t="s">
        <v>37</v>
      </c>
    </row>
    <row r="401" spans="1:2" x14ac:dyDescent="0.3">
      <c r="A401" t="s">
        <v>87</v>
      </c>
      <c r="B401" s="21" t="s">
        <v>524</v>
      </c>
    </row>
    <row r="402" spans="1:2" x14ac:dyDescent="0.3">
      <c r="A402" t="s">
        <v>88</v>
      </c>
      <c r="B402" s="12"/>
    </row>
    <row r="403" spans="1:2" x14ac:dyDescent="0.3">
      <c r="A403" t="s">
        <v>89</v>
      </c>
      <c r="B403" s="12">
        <v>2040</v>
      </c>
    </row>
    <row r="404" spans="1:2" x14ac:dyDescent="0.3">
      <c r="A404" t="s">
        <v>131</v>
      </c>
      <c r="B404" s="12" t="str">
        <f>B401&amp;" - "&amp;B403&amp;" - "&amp;B400</f>
        <v>Bicycle, electric, cargo bike - 2040 - CH</v>
      </c>
    </row>
    <row r="405" spans="1:2" x14ac:dyDescent="0.3">
      <c r="A405" t="s">
        <v>74</v>
      </c>
      <c r="B405" s="12" t="str">
        <f>"transport, "&amp;B401</f>
        <v>transport, Bicycle, electric, cargo bike</v>
      </c>
    </row>
    <row r="406" spans="1:2" x14ac:dyDescent="0.3">
      <c r="A406" t="s">
        <v>75</v>
      </c>
      <c r="B406" t="s">
        <v>76</v>
      </c>
    </row>
    <row r="407" spans="1:2" x14ac:dyDescent="0.3">
      <c r="A407" t="s">
        <v>77</v>
      </c>
      <c r="B407" t="s">
        <v>172</v>
      </c>
    </row>
    <row r="408" spans="1:2" x14ac:dyDescent="0.3">
      <c r="A408" t="s">
        <v>79</v>
      </c>
      <c r="B408" t="s">
        <v>90</v>
      </c>
    </row>
    <row r="409" spans="1:2" x14ac:dyDescent="0.3">
      <c r="A409" t="s">
        <v>132</v>
      </c>
      <c r="B409">
        <f>INDEX('vehicles specifications'!$B$3:$CK$86,MATCH(B404,'vehicles specifications'!$A$3:$A$86,0),MATCH("Lifetime [km]",'vehicles specifications'!$B$2:$CK$2,0))</f>
        <v>20000</v>
      </c>
    </row>
    <row r="410" spans="1:2" x14ac:dyDescent="0.3">
      <c r="A410" t="s">
        <v>133</v>
      </c>
      <c r="B410">
        <f>INDEX('vehicles specifications'!$B$3:$CK$86,MATCH(B404,'vehicles specifications'!$A$3:$A$86,0),MATCH("Passengers [unit]",'vehicles specifications'!$B$2:$CK$2,0))</f>
        <v>1</v>
      </c>
    </row>
    <row r="411" spans="1:2" x14ac:dyDescent="0.3">
      <c r="A411" t="s">
        <v>134</v>
      </c>
      <c r="B411">
        <f>INDEX('vehicles specifications'!$B$3:$CK$86,MATCH(B404,'vehicles specifications'!$A$3:$A$86,0),MATCH("Servicing [unit]",'vehicles specifications'!$B$2:$CK$2,0))</f>
        <v>5</v>
      </c>
    </row>
    <row r="412" spans="1:2" x14ac:dyDescent="0.3">
      <c r="A412" t="s">
        <v>135</v>
      </c>
      <c r="B412">
        <f>INDEX('vehicles specifications'!$B$3:$CK$86,MATCH(B404,'vehicles specifications'!$A$3:$A$86,0),MATCH("Energy battery replacement [unit]",'vehicles specifications'!$B$2:$CK$2,0))</f>
        <v>0.25</v>
      </c>
    </row>
    <row r="413" spans="1:2" x14ac:dyDescent="0.3">
      <c r="A413" t="s">
        <v>136</v>
      </c>
      <c r="B413">
        <f>INDEX('vehicles specifications'!$B$3:$CK$86,MATCH(B404,'vehicles specifications'!$A$3:$A$86,0),MATCH("Annual kilometers [km]",'vehicles specifications'!$B$2:$CK$2,0))</f>
        <v>2060</v>
      </c>
    </row>
    <row r="414" spans="1:2" x14ac:dyDescent="0.3">
      <c r="A414" t="s">
        <v>137</v>
      </c>
      <c r="B414">
        <f>INDEX('vehicles specifications'!$B$3:$CK$86,MATCH(B404,'vehicles specifications'!$A$3:$A$86,0),MATCH("Curb mass [kg]",'vehicles specifications'!$B$2:$CK$2,0))</f>
        <v>36.5</v>
      </c>
    </row>
    <row r="415" spans="1:2" x14ac:dyDescent="0.3">
      <c r="A415" t="s">
        <v>138</v>
      </c>
      <c r="B415">
        <f>INDEX('vehicles specifications'!$B$3:$CK$86,MATCH(B404,'vehicles specifications'!$A$3:$A$86,0),MATCH("Power [kW]",'vehicles specifications'!$B$2:$CK$2,0))</f>
        <v>0.5</v>
      </c>
    </row>
    <row r="416" spans="1:2" x14ac:dyDescent="0.3">
      <c r="A416" t="s">
        <v>139</v>
      </c>
      <c r="B416">
        <f>INDEX('vehicles specifications'!$B$3:$CK$86,MATCH(B404,'vehicles specifications'!$A$3:$A$86,0),MATCH("Energy battery mass [kg]",'vehicles specifications'!$B$2:$CK$2,0))</f>
        <v>5.2</v>
      </c>
    </row>
    <row r="417" spans="1:8" x14ac:dyDescent="0.3">
      <c r="A417" t="s">
        <v>140</v>
      </c>
      <c r="B417">
        <f>INDEX('vehicles specifications'!$B$3:$CK$86,MATCH(B404,'vehicles specifications'!$A$3:$A$86,0),MATCH("Electric energy stored [kWh]",'vehicles specifications'!$B$2:$CK$2,0))</f>
        <v>1.6</v>
      </c>
    </row>
    <row r="418" spans="1:8" s="21" customFormat="1" x14ac:dyDescent="0.3">
      <c r="A418" s="21" t="s">
        <v>654</v>
      </c>
      <c r="B418" s="21">
        <f>INDEX('vehicles specifications'!$B$3:$CK$86,MATCH(B404,'vehicles specifications'!$A$3:$A$86,0),MATCH("Electric energy available [kWh]",'vehicles specifications'!$B$2:$CK$2,0))</f>
        <v>1.2800000000000002</v>
      </c>
    </row>
    <row r="419" spans="1:8" x14ac:dyDescent="0.3">
      <c r="A419" t="s">
        <v>143</v>
      </c>
      <c r="B419">
        <f>INDEX('vehicles specifications'!$B$3:$CK$86,MATCH(B404,'vehicles specifications'!$A$3:$A$86,0),MATCH("Oxydation energy stored [kWh]",'vehicles specifications'!$B$2:$CK$2,0))</f>
        <v>0</v>
      </c>
    </row>
    <row r="420" spans="1:8" x14ac:dyDescent="0.3">
      <c r="A420" t="s">
        <v>145</v>
      </c>
      <c r="B420">
        <f>INDEX('vehicles specifications'!$B$3:$CK$86,MATCH(B404,'vehicles specifications'!$A$3:$A$86,0),MATCH("Fuel mass [kg]",'vehicles specifications'!$B$2:$CK$2,0))</f>
        <v>0</v>
      </c>
    </row>
    <row r="421" spans="1:8" x14ac:dyDescent="0.3">
      <c r="A421" t="s">
        <v>141</v>
      </c>
      <c r="B421">
        <f>INDEX('vehicles specifications'!$B$3:$CK$86,MATCH(B404,'vehicles specifications'!$A$3:$A$86,0),MATCH("Range [km]",'vehicles specifications'!$B$2:$CK$2,0))</f>
        <v>132.76354430379749</v>
      </c>
    </row>
    <row r="422" spans="1:8" x14ac:dyDescent="0.3">
      <c r="A422" t="s">
        <v>142</v>
      </c>
      <c r="B422" t="str">
        <f>INDEX('vehicles specifications'!$B$3:$CK$86,MATCH(B404,'vehicles specifications'!$A$3:$A$86,0),MATCH("Emission standard",'vehicles specifications'!$B$2:$CK$2,0))</f>
        <v>None</v>
      </c>
    </row>
    <row r="423" spans="1:8" x14ac:dyDescent="0.3">
      <c r="A423" t="s">
        <v>144</v>
      </c>
      <c r="B423" s="6">
        <f>INDEX('vehicles specifications'!$B$3:$CK$86,MATCH(B404,'vehicles specifications'!$A$3:$A$86,0),MATCH("Lightweighting rate [%]",'vehicles specifications'!$B$2:$CK$2,0))</f>
        <v>0.05</v>
      </c>
    </row>
    <row r="424" spans="1:8" x14ac:dyDescent="0.3">
      <c r="A424" t="s">
        <v>84</v>
      </c>
      <c r="B424" s="21" t="str">
        <f>"Power: "&amp;B415&amp;" kW. Lifetime: "&amp;B409&amp;" km. Annual kilometers: "&amp;B413&amp;" km. Number of passengers: "&amp;B410&amp;". Curb mass: "&amp;ROUND(B414,1)&amp;" kg. Lightweighting of glider: "&amp;ROUND(B423*100,0)&amp;"%. Emission standard: "&amp;B422&amp;". Service visits throughout lifetime: "&amp;ROUND(B411,1)&amp;". Range: "&amp;ROUND(B421,0)&amp;" km. Battery capacity: "&amp;ROUND(B417,1)&amp;" kWh. Available battery capacity: "&amp;B418&amp;" kWh. Battery mass: "&amp;ROUND(B416,1)&amp; " kg. Battery replacement throughout lifetime: "&amp;ROUND(B412,1)&amp;". Fuel tank capacity: "&amp;ROUND(B419,1)&amp;" kWh. Fuel mass: "&amp;ROUND(B420,1)&amp;" kg. Documentation: "&amp;Readmefirst!$B$2&amp;", "&amp;Readmefirst!$B$3&amp;". "&amp;B408</f>
        <v>Power: 0.5 kW. Lifetime: 20000 km. Annual kilometers: 2060 km. Number of passengers: 1. Curb mass: 36.5 kg. Lightweighting of glider: 5%. Emission standard: None. Service visits throughout lifetime: 5. Range: 133 km. Battery capacity: 1.6 kWh. Available battery capacity: 1.28 kWh. Battery mass: 5.2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25" spans="1:8" ht="15.6" x14ac:dyDescent="0.3">
      <c r="A425" s="11" t="s">
        <v>80</v>
      </c>
    </row>
    <row r="426" spans="1:8" x14ac:dyDescent="0.3">
      <c r="A426" t="s">
        <v>81</v>
      </c>
      <c r="B426" t="s">
        <v>82</v>
      </c>
      <c r="C426" t="s">
        <v>73</v>
      </c>
      <c r="D426" t="s">
        <v>77</v>
      </c>
      <c r="E426" t="s">
        <v>83</v>
      </c>
      <c r="F426" t="s">
        <v>75</v>
      </c>
      <c r="G426" t="s">
        <v>84</v>
      </c>
      <c r="H426" t="s">
        <v>74</v>
      </c>
    </row>
    <row r="427" spans="1:8" x14ac:dyDescent="0.3">
      <c r="A427" s="12" t="str">
        <f>B399</f>
        <v>transport, Bicycle, electric, cargo bike, 2040, label-certified electricity</v>
      </c>
      <c r="B427" s="12">
        <v>1</v>
      </c>
      <c r="C427" s="12" t="str">
        <f>B400</f>
        <v>CH</v>
      </c>
      <c r="D427" s="12" t="s">
        <v>172</v>
      </c>
      <c r="E427" s="12"/>
      <c r="F427" s="12" t="s">
        <v>85</v>
      </c>
      <c r="G427" s="12" t="s">
        <v>86</v>
      </c>
      <c r="H427" s="12" t="str">
        <f>B405</f>
        <v>transport, Bicycle, electric, cargo bike</v>
      </c>
    </row>
    <row r="428" spans="1:8" x14ac:dyDescent="0.3">
      <c r="A428" s="12" t="str">
        <f>B401&amp;", "&amp;B403</f>
        <v>Bicycle, electric, cargo bike, 2040</v>
      </c>
      <c r="B428" s="12">
        <f>1/B409</f>
        <v>5.0000000000000002E-5</v>
      </c>
      <c r="C428" s="12" t="str">
        <f>B400</f>
        <v>CH</v>
      </c>
      <c r="D428" s="12" t="s">
        <v>77</v>
      </c>
      <c r="E428" s="12"/>
      <c r="F428" s="12" t="s">
        <v>91</v>
      </c>
      <c r="G428" s="12"/>
      <c r="H428" s="12" t="str">
        <f>RIGHT(H427,LEN(H427)-11)</f>
        <v>Bicycle, electric, cargo bike</v>
      </c>
    </row>
    <row r="429" spans="1:8" s="21" customFormat="1" x14ac:dyDescent="0.3">
      <c r="A429" s="12" t="str">
        <f>INDEX('ei names mapping'!$B$4:$R$33,MATCH(B401,'ei names mapping'!$A$4:$A$33,0),MATCH(G429,'ei names mapping'!$B$3:$R$3,0))</f>
        <v>road construction</v>
      </c>
      <c r="B429" s="16">
        <f>INDEX('vehicles specifications'!$B$3:$CK$86,MATCH(B404,'vehicles specifications'!$A$3:$A$86,0),MATCH(G429,'vehicles specifications'!$B$2:$CK$2,0))*INDEX('ei names mapping'!$B$137:$BK$220,MATCH(B404,'ei names mapping'!$A$137:$A$220,0),MATCH(G429,'ei names mapping'!$B$136:$BK$136,0))</f>
        <v>5.7727499999999999E-5</v>
      </c>
      <c r="C429" s="12" t="str">
        <f>INDEX('ei names mapping'!$B$38:$R$67,MATCH(B401,'ei names mapping'!$A$4:$A$33,0),MATCH(G429,'ei names mapping'!$B$3:$R$3,0))</f>
        <v>CH</v>
      </c>
      <c r="D429" s="12" t="str">
        <f>INDEX('ei names mapping'!$B$104:$BK$133,MATCH(B401,'ei names mapping'!$A$4:$A$33,0),MATCH(G429,'ei names mapping'!$B$3:$BK$3,0))</f>
        <v>meter-year</v>
      </c>
      <c r="E429" s="12"/>
      <c r="F429" s="12" t="s">
        <v>91</v>
      </c>
      <c r="G429" s="21" t="s">
        <v>108</v>
      </c>
      <c r="H429" s="12" t="str">
        <f>INDEX('ei names mapping'!$B$71:$BK$100,MATCH(B401,'ei names mapping'!$A$4:$A$33,0),MATCH(G429,'ei names mapping'!$B$3:$BK$3,0))</f>
        <v>road</v>
      </c>
    </row>
    <row r="430" spans="1:8" x14ac:dyDescent="0.3">
      <c r="A430" s="12" t="s">
        <v>114</v>
      </c>
      <c r="B430" s="14">
        <f>INDEX('vehicles specifications'!$B$3:$CK$86,MATCH(B404,'vehicles specifications'!$A$3:$A$86,0),MATCH(G430,'vehicles specifications'!$B$2:$CK$2,0))*INDEX('ei names mapping'!$B$137:$BK$220,MATCH(B404,'ei names mapping'!$A$137:$A$220,0),MATCH(G430,'ei names mapping'!$B$136:$BK$136,0))</f>
        <v>1.0605320966560899E-2</v>
      </c>
      <c r="C430" s="12" t="str">
        <f>INDEX('ei names mapping'!$B$38:$R$67,MATCH($B$3,'ei names mapping'!$A$4:$A$33,0),MATCH(G430,'ei names mapping'!$B$3:$R$3,0))</f>
        <v>CH</v>
      </c>
      <c r="D430" s="12" t="str">
        <f>INDEX('ei names mapping'!$B$104:$R$133,MATCH($B$3,'ei names mapping'!$A$4:$A$33,0),MATCH(G430,'ei names mapping'!$B$3:$R$3,0))</f>
        <v>kilowatt hour</v>
      </c>
      <c r="E430" s="12"/>
      <c r="F430" s="12" t="s">
        <v>91</v>
      </c>
      <c r="G430" t="s">
        <v>28</v>
      </c>
      <c r="H430" s="12" t="s">
        <v>116</v>
      </c>
    </row>
    <row r="431" spans="1:8" x14ac:dyDescent="0.3">
      <c r="A431" s="12" t="str">
        <f>INDEX('ei names mapping'!$B$4:$R$33,MATCH($B$3,'ei names mapping'!$A$4:$A$33,0),MATCH(G431,'ei names mapping'!$B$3:$R$3,0))</f>
        <v>maintenance, electric bicycle, without battery</v>
      </c>
      <c r="B431" s="14">
        <f>INDEX('vehicles specifications'!$B$3:$CK$86,MATCH(B404,'vehicles specifications'!$A$3:$A$86,0),MATCH(G431,'vehicles specifications'!$B$2:$CK$2,0))*INDEX('ei names mapping'!$B$137:$BK$220,MATCH(B404,'ei names mapping'!$A$137:$A$220,0),MATCH(G431,'ei names mapping'!$B$136:$BK$136,0))</f>
        <v>2.5000000000000001E-4</v>
      </c>
      <c r="C431" s="12" t="str">
        <f>INDEX('ei names mapping'!$B$38:$R$67,MATCH($B$3,'ei names mapping'!$A$4:$A$33,0),MATCH(G431,'ei names mapping'!$B$3:$R$3,0))</f>
        <v>CH</v>
      </c>
      <c r="D431" s="12" t="str">
        <f>INDEX('ei names mapping'!$B$104:$R$133,MATCH($B$3,'ei names mapping'!$A$4:$A$33,0),MATCH(G431,'ei names mapping'!$B$3:$R$3,0))</f>
        <v>unit</v>
      </c>
      <c r="E431" s="12"/>
      <c r="F431" s="12" t="s">
        <v>91</v>
      </c>
      <c r="G431" t="s">
        <v>123</v>
      </c>
      <c r="H431" s="12" t="str">
        <f>INDEX('ei names mapping'!$B$71:$R$100,MATCH($B$3,'ei names mapping'!$A$4:$A$33,0),MATCH(G431,'ei names mapping'!$B$3:$R$3,0))</f>
        <v>maintenance, electric bicycle, without battery</v>
      </c>
    </row>
    <row r="432" spans="1:8" x14ac:dyDescent="0.3">
      <c r="A432" s="12" t="str">
        <f>INDEX('ei names mapping'!$B$4:$BK$33,MATCH($B$179,'ei names mapping'!$A$4:$A$33,0),MATCH(G432,'ei names mapping'!$B$3:$BK$3,0))</f>
        <v>treatment of road wear emissions, passenger car</v>
      </c>
      <c r="B432" s="15">
        <f>INDEX('vehicles specifications'!$B$3:$CK$86,MATCH(B404,'vehicles specifications'!$A$3:$A$86,0),MATCH(G432,'vehicles specifications'!$B$2:$CK$2,0))*INDEX('ei names mapping'!$B$137:$BK$220,MATCH(B404,'ei names mapping'!$A$137:$A$220,0),MATCH(G432,'ei names mapping'!$B$136:$BK$136,0))</f>
        <v>-3.0000000000000001E-6</v>
      </c>
      <c r="C432" s="12" t="str">
        <f>INDEX('ei names mapping'!$B$38:$BK$67,MATCH($B$179,'ei names mapping'!$A$4:$A$33,0),MATCH(G432,'ei names mapping'!$B$3:$BK$3,0))</f>
        <v>RER</v>
      </c>
      <c r="D432" s="12" t="str">
        <f>INDEX('ei names mapping'!$B$104:$BK$133,MATCH($B$179,'ei names mapping'!$A$4:$A$33,0),MATCH(G432,'ei names mapping'!$B$3:$BK$3,0))</f>
        <v>kilogram</v>
      </c>
      <c r="E432" s="12"/>
      <c r="F432" s="12" t="s">
        <v>91</v>
      </c>
      <c r="G432" t="s">
        <v>29</v>
      </c>
      <c r="H432" s="12" t="str">
        <f>INDEX('ei names mapping'!$B$71:$BK$100,MATCH(B401,'ei names mapping'!$A$4:$A$33,0),MATCH(G432,'ei names mapping'!$B$3:$BK$3,0))</f>
        <v>road wear emissions, passenger car</v>
      </c>
    </row>
    <row r="433" spans="1:8" x14ac:dyDescent="0.3">
      <c r="A433" s="12" t="str">
        <f>INDEX('ei names mapping'!$B$4:$BK$33,MATCH($B$179,'ei names mapping'!$A$4:$A$33,0),MATCH(G433,'ei names mapping'!$B$3:$BK$3,0))</f>
        <v>treatment of tyre wear emissions, passenger car</v>
      </c>
      <c r="B433" s="15">
        <f>INDEX('vehicles specifications'!$B$3:$CK$86,MATCH(B404,'vehicles specifications'!$A$3:$A$86,0),MATCH(G433,'vehicles specifications'!$B$2:$CK$2,0))*INDEX('ei names mapping'!$B$137:$BK$220,MATCH(B404,'ei names mapping'!$A$137:$A$220,0),MATCH(G433,'ei names mapping'!$B$136:$BK$136,0))</f>
        <v>-2.9189999999999999E-6</v>
      </c>
      <c r="C433" s="12" t="str">
        <f>INDEX('ei names mapping'!$B$38:$BK$67,MATCH($B$179,'ei names mapping'!$A$4:$A$33,0),MATCH(G433,'ei names mapping'!$B$3:$BK$3,0))</f>
        <v>RER</v>
      </c>
      <c r="D433" s="12" t="str">
        <f>INDEX('ei names mapping'!$B$104:$BK$133,MATCH($B$179,'ei names mapping'!$A$4:$A$33,0),MATCH(G433,'ei names mapping'!$B$3:$BK$3,0))</f>
        <v>kilogram</v>
      </c>
      <c r="E433" s="12"/>
      <c r="F433" s="12" t="s">
        <v>91</v>
      </c>
      <c r="G433" t="s">
        <v>30</v>
      </c>
      <c r="H433" s="12" t="str">
        <f>INDEX('ei names mapping'!$B$71:$BK$100,MATCH($B$179,'ei names mapping'!$A$4:$A$33,0),MATCH(G433,'ei names mapping'!$B$3:$BK$3,0))</f>
        <v>tyre wear emissions, passenger car</v>
      </c>
    </row>
    <row r="434" spans="1:8" x14ac:dyDescent="0.3">
      <c r="A434" s="12" t="str">
        <f>INDEX('ei names mapping'!$B$4:$BK$33,MATCH($B$179,'ei names mapping'!$A$4:$A$33,0),MATCH(G434,'ei names mapping'!$B$3:$BK$3,0))</f>
        <v>treatment of brake wear emissions, passenger car</v>
      </c>
      <c r="B434" s="15">
        <f>INDEX('vehicles specifications'!$B$3:$CK$86,MATCH(B404,'vehicles specifications'!$A$3:$A$86,0),MATCH(G434,'vehicles specifications'!$B$2:$CK$2,0))*INDEX('ei names mapping'!$B$137:$BK$220,MATCH(B404,'ei names mapping'!$A$137:$A$220,0),MATCH(G434,'ei names mapping'!$B$136:$BK$136,0))</f>
        <v>-1.8370000000000002E-6</v>
      </c>
      <c r="C434" s="12" t="str">
        <f>INDEX('ei names mapping'!$B$38:$BK$67,MATCH($B$179,'ei names mapping'!$A$4:$A$33,0),MATCH(G434,'ei names mapping'!$B$3:$BK$3,0))</f>
        <v>RER</v>
      </c>
      <c r="D434" s="12" t="str">
        <f>INDEX('ei names mapping'!$B$104:$BK$133,MATCH($B$179,'ei names mapping'!$A$4:$A$33,0),MATCH(G434,'ei names mapping'!$B$3:$BK$3,0))</f>
        <v>kilogram</v>
      </c>
      <c r="E434" s="12"/>
      <c r="F434" s="12" t="s">
        <v>91</v>
      </c>
      <c r="G434" t="s">
        <v>31</v>
      </c>
      <c r="H434" s="12" t="str">
        <f>INDEX('ei names mapping'!$B$71:$BK$100,MATCH($B$179,'ei names mapping'!$A$4:$A$33,0),MATCH(G434,'ei names mapping'!$B$3:$BK$3,0))</f>
        <v>brake wear emissions, passenger car</v>
      </c>
    </row>
    <row r="436" spans="1:8" ht="15.6" x14ac:dyDescent="0.3">
      <c r="A436" s="11" t="s">
        <v>72</v>
      </c>
      <c r="B436" s="9" t="str">
        <f>"transport, "&amp;B438&amp;", "&amp;B440&amp;", label-certified electricity"</f>
        <v>transport, Bicycle, electric, cargo bike, 2050, label-certified electricity</v>
      </c>
    </row>
    <row r="437" spans="1:8" x14ac:dyDescent="0.3">
      <c r="A437" t="s">
        <v>73</v>
      </c>
      <c r="B437" t="s">
        <v>37</v>
      </c>
    </row>
    <row r="438" spans="1:8" x14ac:dyDescent="0.3">
      <c r="A438" t="s">
        <v>87</v>
      </c>
      <c r="B438" s="21" t="s">
        <v>524</v>
      </c>
    </row>
    <row r="439" spans="1:8" x14ac:dyDescent="0.3">
      <c r="A439" t="s">
        <v>88</v>
      </c>
      <c r="B439" s="12"/>
    </row>
    <row r="440" spans="1:8" x14ac:dyDescent="0.3">
      <c r="A440" t="s">
        <v>89</v>
      </c>
      <c r="B440" s="12">
        <v>2050</v>
      </c>
    </row>
    <row r="441" spans="1:8" x14ac:dyDescent="0.3">
      <c r="A441" t="s">
        <v>131</v>
      </c>
      <c r="B441" s="12" t="str">
        <f>B438&amp;" - "&amp;B440&amp;" - "&amp;B437</f>
        <v>Bicycle, electric, cargo bike - 2050 - CH</v>
      </c>
    </row>
    <row r="442" spans="1:8" x14ac:dyDescent="0.3">
      <c r="A442" t="s">
        <v>74</v>
      </c>
      <c r="B442" s="12" t="str">
        <f>"transport, "&amp;B438</f>
        <v>transport, Bicycle, electric, cargo bike</v>
      </c>
    </row>
    <row r="443" spans="1:8" x14ac:dyDescent="0.3">
      <c r="A443" t="s">
        <v>75</v>
      </c>
      <c r="B443" t="s">
        <v>76</v>
      </c>
    </row>
    <row r="444" spans="1:8" x14ac:dyDescent="0.3">
      <c r="A444" t="s">
        <v>77</v>
      </c>
      <c r="B444" t="s">
        <v>172</v>
      </c>
    </row>
    <row r="445" spans="1:8" x14ac:dyDescent="0.3">
      <c r="A445" t="s">
        <v>79</v>
      </c>
      <c r="B445" t="s">
        <v>90</v>
      </c>
    </row>
    <row r="446" spans="1:8" x14ac:dyDescent="0.3">
      <c r="A446" t="s">
        <v>132</v>
      </c>
      <c r="B446">
        <f>INDEX('vehicles specifications'!$B$3:$CK$86,MATCH(B441,'vehicles specifications'!$A$3:$A$86,0),MATCH("Lifetime [km]",'vehicles specifications'!$B$2:$CK$2,0))</f>
        <v>20000</v>
      </c>
    </row>
    <row r="447" spans="1:8" x14ac:dyDescent="0.3">
      <c r="A447" t="s">
        <v>133</v>
      </c>
      <c r="B447">
        <f>INDEX('vehicles specifications'!$B$3:$CK$86,MATCH(B441,'vehicles specifications'!$A$3:$A$86,0),MATCH("Passengers [unit]",'vehicles specifications'!$B$2:$CK$2,0))</f>
        <v>1</v>
      </c>
    </row>
    <row r="448" spans="1:8" x14ac:dyDescent="0.3">
      <c r="A448" t="s">
        <v>134</v>
      </c>
      <c r="B448">
        <f>INDEX('vehicles specifications'!$B$3:$CK$86,MATCH(B441,'vehicles specifications'!$A$3:$A$86,0),MATCH("Servicing [unit]",'vehicles specifications'!$B$2:$CK$2,0))</f>
        <v>5</v>
      </c>
    </row>
    <row r="449" spans="1:8" x14ac:dyDescent="0.3">
      <c r="A449" t="s">
        <v>135</v>
      </c>
      <c r="B449">
        <f>INDEX('vehicles specifications'!$B$3:$CK$86,MATCH(B441,'vehicles specifications'!$A$3:$A$86,0),MATCH("Energy battery replacement [unit]",'vehicles specifications'!$B$2:$CK$2,0))</f>
        <v>0</v>
      </c>
    </row>
    <row r="450" spans="1:8" x14ac:dyDescent="0.3">
      <c r="A450" t="s">
        <v>136</v>
      </c>
      <c r="B450">
        <f>INDEX('vehicles specifications'!$B$3:$CK$86,MATCH(B441,'vehicles specifications'!$A$3:$A$86,0),MATCH("Annual kilometers [km]",'vehicles specifications'!$B$2:$CK$2,0))</f>
        <v>2060</v>
      </c>
    </row>
    <row r="451" spans="1:8" x14ac:dyDescent="0.3">
      <c r="A451" t="s">
        <v>137</v>
      </c>
      <c r="B451">
        <f>INDEX('vehicles specifications'!$B$3:$CK$86,MATCH(B441,'vehicles specifications'!$A$3:$A$86,0),MATCH("Curb mass [kg]",'vehicles specifications'!$B$2:$CK$2,0))</f>
        <v>36.619999999999997</v>
      </c>
    </row>
    <row r="452" spans="1:8" x14ac:dyDescent="0.3">
      <c r="A452" t="s">
        <v>138</v>
      </c>
      <c r="B452">
        <f>INDEX('vehicles specifications'!$B$3:$CK$86,MATCH(B441,'vehicles specifications'!$A$3:$A$86,0),MATCH("Power [kW]",'vehicles specifications'!$B$2:$CK$2,0))</f>
        <v>0.5</v>
      </c>
    </row>
    <row r="453" spans="1:8" x14ac:dyDescent="0.3">
      <c r="A453" t="s">
        <v>139</v>
      </c>
      <c r="B453">
        <f>INDEX('vehicles specifications'!$B$3:$CK$86,MATCH(B441,'vehicles specifications'!$A$3:$A$86,0),MATCH("Energy battery mass [kg]",'vehicles specifications'!$B$2:$CK$2,0))</f>
        <v>5.9799999999999995</v>
      </c>
    </row>
    <row r="454" spans="1:8" x14ac:dyDescent="0.3">
      <c r="A454" t="s">
        <v>140</v>
      </c>
      <c r="B454">
        <f>INDEX('vehicles specifications'!$B$3:$CK$86,MATCH(B441,'vehicles specifications'!$A$3:$A$86,0),MATCH("Electric energy stored [kWh]",'vehicles specifications'!$B$2:$CK$2,0))</f>
        <v>2.2999999999999998</v>
      </c>
    </row>
    <row r="455" spans="1:8" s="21" customFormat="1" x14ac:dyDescent="0.3">
      <c r="A455" s="21" t="s">
        <v>654</v>
      </c>
      <c r="B455" s="21">
        <f>INDEX('vehicles specifications'!$B$3:$CK$86,MATCH(B441,'vehicles specifications'!$A$3:$A$86,0),MATCH("Electric energy available [kWh]",'vehicles specifications'!$B$2:$CK$2,0))</f>
        <v>1.8399999999999999</v>
      </c>
    </row>
    <row r="456" spans="1:8" x14ac:dyDescent="0.3">
      <c r="A456" t="s">
        <v>143</v>
      </c>
      <c r="B456">
        <f>INDEX('vehicles specifications'!$B$3:$CK$86,MATCH(B441,'vehicles specifications'!$A$3:$A$86,0),MATCH("Oxydation energy stored [kWh]",'vehicles specifications'!$B$2:$CK$2,0))</f>
        <v>0</v>
      </c>
    </row>
    <row r="457" spans="1:8" x14ac:dyDescent="0.3">
      <c r="A457" t="s">
        <v>145</v>
      </c>
      <c r="B457">
        <f>INDEX('vehicles specifications'!$B$3:$CK$86,MATCH(B441,'vehicles specifications'!$A$3:$A$86,0),MATCH("Fuel mass [kg]",'vehicles specifications'!$B$2:$CK$2,0))</f>
        <v>0</v>
      </c>
    </row>
    <row r="458" spans="1:8" x14ac:dyDescent="0.3">
      <c r="A458" t="s">
        <v>141</v>
      </c>
      <c r="B458">
        <f>INDEX('vehicles specifications'!$B$3:$CK$86,MATCH(B441,'vehicles specifications'!$A$3:$A$86,0),MATCH("Range [km]",'vehicles specifications'!$B$2:$CK$2,0))</f>
        <v>190.84759493670884</v>
      </c>
    </row>
    <row r="459" spans="1:8" x14ac:dyDescent="0.3">
      <c r="A459" t="s">
        <v>142</v>
      </c>
      <c r="B459" t="str">
        <f>INDEX('vehicles specifications'!$B$3:$CK$86,MATCH(B441,'vehicles specifications'!$A$3:$A$86,0),MATCH("Emission standard",'vehicles specifications'!$B$2:$CK$2,0))</f>
        <v>None</v>
      </c>
    </row>
    <row r="460" spans="1:8" x14ac:dyDescent="0.3">
      <c r="A460" t="s">
        <v>144</v>
      </c>
      <c r="B460" s="6">
        <f>INDEX('vehicles specifications'!$B$3:$CK$86,MATCH(B441,'vehicles specifications'!$A$3:$A$86,0),MATCH("Lightweighting rate [%]",'vehicles specifications'!$B$2:$CK$2,0))</f>
        <v>7.0000000000000007E-2</v>
      </c>
    </row>
    <row r="461" spans="1:8" x14ac:dyDescent="0.3">
      <c r="A461" t="s">
        <v>84</v>
      </c>
      <c r="B461" s="21" t="str">
        <f>"Power: "&amp;B452&amp;" kW. Lifetime: "&amp;B446&amp;" km. Annual kilometers: "&amp;B450&amp;" km. Number of passengers: "&amp;B447&amp;". Curb mass: "&amp;ROUND(B451,1)&amp;" kg. Lightweighting of glider: "&amp;ROUND(B460*100,0)&amp;"%. Emission standard: "&amp;B459&amp;". Service visits throughout lifetime: "&amp;ROUND(B448,1)&amp;". Range: "&amp;ROUND(B458,0)&amp;" km. Battery capacity: "&amp;ROUND(B454,1)&amp;" kWh. Available battery capacity: "&amp;B455&amp;" kWh. Battery mass: "&amp;ROUND(B453,1)&amp; " kg. Battery replacement throughout lifetime: "&amp;ROUND(B449,1)&amp;". Fuel tank capacity: "&amp;ROUND(B456,1)&amp;" kWh. Fuel mass: "&amp;ROUND(B457,1)&amp;" kg. Documentation: "&amp;Readmefirst!$B$2&amp;", "&amp;Readmefirst!$B$3&amp;". "&amp;B445</f>
        <v>Power: 0.5 kW. Lifetime: 20000 km. Annual kilometers: 2060 km. Number of passengers: 1. Curb mass: 36.6 kg. Lightweighting of glider: 7%. Emission standard: None. Service visits throughout lifetime: 5. Range: 191 km. Battery capacity: 2.3 kWh. Available battery capacity: 1.84 kWh. Battery mass: 6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62" spans="1:8" ht="15.6" x14ac:dyDescent="0.3">
      <c r="A462" s="11" t="s">
        <v>80</v>
      </c>
    </row>
    <row r="463" spans="1:8" x14ac:dyDescent="0.3">
      <c r="A463" t="s">
        <v>81</v>
      </c>
      <c r="B463" t="s">
        <v>82</v>
      </c>
      <c r="C463" t="s">
        <v>73</v>
      </c>
      <c r="D463" t="s">
        <v>77</v>
      </c>
      <c r="E463" t="s">
        <v>83</v>
      </c>
      <c r="F463" t="s">
        <v>75</v>
      </c>
      <c r="G463" t="s">
        <v>84</v>
      </c>
      <c r="H463" t="s">
        <v>74</v>
      </c>
    </row>
    <row r="464" spans="1:8" x14ac:dyDescent="0.3">
      <c r="A464" s="12" t="str">
        <f>B436</f>
        <v>transport, Bicycle, electric, cargo bike, 2050, label-certified electricity</v>
      </c>
      <c r="B464" s="12">
        <v>1</v>
      </c>
      <c r="C464" s="12" t="str">
        <f>B437</f>
        <v>CH</v>
      </c>
      <c r="D464" s="12" t="s">
        <v>172</v>
      </c>
      <c r="E464" s="12"/>
      <c r="F464" s="12" t="s">
        <v>85</v>
      </c>
      <c r="G464" s="12" t="s">
        <v>86</v>
      </c>
      <c r="H464" s="12" t="str">
        <f>B442</f>
        <v>transport, Bicycle, electric, cargo bike</v>
      </c>
    </row>
    <row r="465" spans="1:8" x14ac:dyDescent="0.3">
      <c r="A465" s="12" t="str">
        <f>B438&amp;", "&amp;B440</f>
        <v>Bicycle, electric, cargo bike, 2050</v>
      </c>
      <c r="B465" s="12">
        <f>1/B446</f>
        <v>5.0000000000000002E-5</v>
      </c>
      <c r="C465" s="12" t="str">
        <f>B437</f>
        <v>CH</v>
      </c>
      <c r="D465" s="12" t="s">
        <v>77</v>
      </c>
      <c r="E465" s="12"/>
      <c r="F465" s="12" t="s">
        <v>91</v>
      </c>
      <c r="G465" s="12"/>
      <c r="H465" s="12" t="str">
        <f>RIGHT(H464,LEN(H464)-11)</f>
        <v>Bicycle, electric, cargo bike</v>
      </c>
    </row>
    <row r="466" spans="1:8" s="21" customFormat="1" x14ac:dyDescent="0.3">
      <c r="A466" s="12" t="str">
        <f>INDEX('ei names mapping'!$B$4:$R$33,MATCH(B438,'ei names mapping'!$A$4:$A$33,0),MATCH(G466,'ei names mapping'!$B$3:$R$3,0))</f>
        <v>road construction</v>
      </c>
      <c r="B466" s="16">
        <f>INDEX('vehicles specifications'!$B$3:$CK$86,MATCH(B441,'vehicles specifications'!$A$3:$A$86,0),MATCH(G466,'vehicles specifications'!$B$2:$CK$2,0))*INDEX('ei names mapping'!$B$137:$BK$220,MATCH(B441,'ei names mapping'!$A$137:$A$220,0),MATCH(G466,'ei names mapping'!$B$136:$BK$136,0))</f>
        <v>5.7791940000000001E-5</v>
      </c>
      <c r="C466" s="12" t="str">
        <f>INDEX('ei names mapping'!$B$38:$R$67,MATCH(B438,'ei names mapping'!$A$4:$A$33,0),MATCH(G466,'ei names mapping'!$B$3:$R$3,0))</f>
        <v>CH</v>
      </c>
      <c r="D466" s="12" t="str">
        <f>INDEX('ei names mapping'!$B$104:$BK$133,MATCH(B438,'ei names mapping'!$A$4:$A$33,0),MATCH(G466,'ei names mapping'!$B$3:$BK$3,0))</f>
        <v>meter-year</v>
      </c>
      <c r="E466" s="12"/>
      <c r="F466" s="12" t="s">
        <v>91</v>
      </c>
      <c r="G466" s="21" t="s">
        <v>108</v>
      </c>
      <c r="H466" s="12" t="str">
        <f>INDEX('ei names mapping'!$B$71:$BK$100,MATCH(B438,'ei names mapping'!$A$4:$A$33,0),MATCH(G466,'ei names mapping'!$B$3:$BK$3,0))</f>
        <v>road</v>
      </c>
    </row>
    <row r="467" spans="1:8" x14ac:dyDescent="0.3">
      <c r="A467" s="12" t="s">
        <v>114</v>
      </c>
      <c r="B467" s="14">
        <f>INDEX('vehicles specifications'!$B$3:$CK$86,MATCH(B441,'vehicles specifications'!$A$3:$A$86,0),MATCH(G467,'vehicles specifications'!$B$2:$CK$2,0))*INDEX('ei names mapping'!$B$137:$BK$220,MATCH(B441,'ei names mapping'!$A$137:$A$220,0),MATCH(G467,'ei names mapping'!$B$136:$BK$136,0))</f>
        <v>1.0605320966560899E-2</v>
      </c>
      <c r="C467" s="12" t="str">
        <f>INDEX('ei names mapping'!$B$38:$R$67,MATCH($B$3,'ei names mapping'!$A$4:$A$33,0),MATCH(G467,'ei names mapping'!$B$3:$R$3,0))</f>
        <v>CH</v>
      </c>
      <c r="D467" s="12" t="str">
        <f>INDEX('ei names mapping'!$B$104:$R$133,MATCH($B$3,'ei names mapping'!$A$4:$A$33,0),MATCH(G467,'ei names mapping'!$B$3:$R$3,0))</f>
        <v>kilowatt hour</v>
      </c>
      <c r="E467" s="12"/>
      <c r="F467" s="12" t="s">
        <v>91</v>
      </c>
      <c r="G467" t="s">
        <v>28</v>
      </c>
      <c r="H467" s="12" t="s">
        <v>116</v>
      </c>
    </row>
    <row r="468" spans="1:8" x14ac:dyDescent="0.3">
      <c r="A468" s="12" t="str">
        <f>INDEX('ei names mapping'!$B$4:$R$33,MATCH($B$3,'ei names mapping'!$A$4:$A$33,0),MATCH(G468,'ei names mapping'!$B$3:$R$3,0))</f>
        <v>maintenance, electric bicycle, without battery</v>
      </c>
      <c r="B468" s="14">
        <f>INDEX('vehicles specifications'!$B$3:$CK$86,MATCH(B441,'vehicles specifications'!$A$3:$A$86,0),MATCH(G468,'vehicles specifications'!$B$2:$CK$2,0))*INDEX('ei names mapping'!$B$137:$BK$220,MATCH(B441,'ei names mapping'!$A$137:$A$220,0),MATCH(G468,'ei names mapping'!$B$136:$BK$136,0))</f>
        <v>2.5000000000000001E-4</v>
      </c>
      <c r="C468" s="12" t="str">
        <f>INDEX('ei names mapping'!$B$38:$R$67,MATCH($B$3,'ei names mapping'!$A$4:$A$33,0),MATCH(G468,'ei names mapping'!$B$3:$R$3,0))</f>
        <v>CH</v>
      </c>
      <c r="D468" s="12" t="str">
        <f>INDEX('ei names mapping'!$B$104:$R$133,MATCH($B$3,'ei names mapping'!$A$4:$A$33,0),MATCH(G468,'ei names mapping'!$B$3:$R$3,0))</f>
        <v>unit</v>
      </c>
      <c r="E468" s="12"/>
      <c r="F468" s="12" t="s">
        <v>91</v>
      </c>
      <c r="G468" t="s">
        <v>123</v>
      </c>
      <c r="H468" s="12" t="str">
        <f>INDEX('ei names mapping'!$B$71:$R$100,MATCH($B$3,'ei names mapping'!$A$4:$A$33,0),MATCH(G468,'ei names mapping'!$B$3:$R$3,0))</f>
        <v>maintenance, electric bicycle, without battery</v>
      </c>
    </row>
    <row r="469" spans="1:8" x14ac:dyDescent="0.3">
      <c r="A469" s="12" t="str">
        <f>INDEX('ei names mapping'!$B$4:$BK$33,MATCH($B$179,'ei names mapping'!$A$4:$A$33,0),MATCH(G469,'ei names mapping'!$B$3:$BK$3,0))</f>
        <v>treatment of road wear emissions, passenger car</v>
      </c>
      <c r="B469" s="15">
        <f>INDEX('vehicles specifications'!$B$3:$CK$86,MATCH(B441,'vehicles specifications'!$A$3:$A$86,0),MATCH(G469,'vehicles specifications'!$B$2:$CK$2,0))*INDEX('ei names mapping'!$B$137:$BK$220,MATCH(B441,'ei names mapping'!$A$137:$A$220,0),MATCH(G469,'ei names mapping'!$B$136:$BK$136,0))</f>
        <v>-3.0000000000000001E-6</v>
      </c>
      <c r="C469" s="12" t="str">
        <f>INDEX('ei names mapping'!$B$38:$BK$67,MATCH($B$179,'ei names mapping'!$A$4:$A$33,0),MATCH(G469,'ei names mapping'!$B$3:$BK$3,0))</f>
        <v>RER</v>
      </c>
      <c r="D469" s="12" t="str">
        <f>INDEX('ei names mapping'!$B$104:$BK$133,MATCH($B$179,'ei names mapping'!$A$4:$A$33,0),MATCH(G469,'ei names mapping'!$B$3:$BK$3,0))</f>
        <v>kilogram</v>
      </c>
      <c r="E469" s="12"/>
      <c r="F469" s="12" t="s">
        <v>91</v>
      </c>
      <c r="G469" t="s">
        <v>29</v>
      </c>
      <c r="H469" s="12" t="str">
        <f>INDEX('ei names mapping'!$B$71:$BK$100,MATCH(B438,'ei names mapping'!$A$4:$A$33,0),MATCH(G469,'ei names mapping'!$B$3:$BK$3,0))</f>
        <v>road wear emissions, passenger car</v>
      </c>
    </row>
    <row r="470" spans="1:8" x14ac:dyDescent="0.3">
      <c r="A470" s="12" t="str">
        <f>INDEX('ei names mapping'!$B$4:$BK$33,MATCH($B$179,'ei names mapping'!$A$4:$A$33,0),MATCH(G470,'ei names mapping'!$B$3:$BK$3,0))</f>
        <v>treatment of tyre wear emissions, passenger car</v>
      </c>
      <c r="B470" s="15">
        <f>INDEX('vehicles specifications'!$B$3:$CK$86,MATCH(B441,'vehicles specifications'!$A$3:$A$86,0),MATCH(G470,'vehicles specifications'!$B$2:$CK$2,0))*INDEX('ei names mapping'!$B$137:$BK$220,MATCH(B441,'ei names mapping'!$A$137:$A$220,0),MATCH(G470,'ei names mapping'!$B$136:$BK$136,0))</f>
        <v>-2.9189999999999999E-6</v>
      </c>
      <c r="C470" s="12" t="str">
        <f>INDEX('ei names mapping'!$B$38:$BK$67,MATCH($B$179,'ei names mapping'!$A$4:$A$33,0),MATCH(G470,'ei names mapping'!$B$3:$BK$3,0))</f>
        <v>RER</v>
      </c>
      <c r="D470" s="12" t="str">
        <f>INDEX('ei names mapping'!$B$104:$BK$133,MATCH($B$179,'ei names mapping'!$A$4:$A$33,0),MATCH(G470,'ei names mapping'!$B$3:$BK$3,0))</f>
        <v>kilogram</v>
      </c>
      <c r="E470" s="12"/>
      <c r="F470" s="12" t="s">
        <v>91</v>
      </c>
      <c r="G470" t="s">
        <v>30</v>
      </c>
      <c r="H470" s="12" t="str">
        <f>INDEX('ei names mapping'!$B$71:$BK$100,MATCH($B$179,'ei names mapping'!$A$4:$A$33,0),MATCH(G470,'ei names mapping'!$B$3:$BK$3,0))</f>
        <v>tyre wear emissions, passenger car</v>
      </c>
    </row>
    <row r="471" spans="1:8" x14ac:dyDescent="0.3">
      <c r="A471" s="12" t="str">
        <f>INDEX('ei names mapping'!$B$4:$BK$33,MATCH($B$179,'ei names mapping'!$A$4:$A$33,0),MATCH(G471,'ei names mapping'!$B$3:$BK$3,0))</f>
        <v>treatment of brake wear emissions, passenger car</v>
      </c>
      <c r="B471" s="15">
        <f>INDEX('vehicles specifications'!$B$3:$CK$86,MATCH(B441,'vehicles specifications'!$A$3:$A$86,0),MATCH(G471,'vehicles specifications'!$B$2:$CK$2,0))*INDEX('ei names mapping'!$B$137:$BK$220,MATCH(B441,'ei names mapping'!$A$137:$A$220,0),MATCH(G471,'ei names mapping'!$B$136:$BK$136,0))</f>
        <v>-1.8370000000000002E-6</v>
      </c>
      <c r="C471" s="12" t="str">
        <f>INDEX('ei names mapping'!$B$38:$BK$67,MATCH($B$179,'ei names mapping'!$A$4:$A$33,0),MATCH(G471,'ei names mapping'!$B$3:$BK$3,0))</f>
        <v>RER</v>
      </c>
      <c r="D471" s="12" t="str">
        <f>INDEX('ei names mapping'!$B$104:$BK$133,MATCH($B$179,'ei names mapping'!$A$4:$A$33,0),MATCH(G471,'ei names mapping'!$B$3:$BK$3,0))</f>
        <v>kilogram</v>
      </c>
      <c r="E471" s="12"/>
      <c r="F471" s="12" t="s">
        <v>91</v>
      </c>
      <c r="G471" t="s">
        <v>31</v>
      </c>
      <c r="H471" s="12" t="str">
        <f>INDEX('ei names mapping'!$B$71:$BK$100,MATCH($B$179,'ei names mapping'!$A$4:$A$33,0),MATCH(G471,'ei names mapping'!$B$3:$BK$3,0))</f>
        <v>brake wear emissions, passenger car</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9"/>
  <sheetViews>
    <sheetView topLeftCell="A139" workbookViewId="0">
      <selection activeCell="B188" sqref="B188"/>
    </sheetView>
  </sheetViews>
  <sheetFormatPr defaultRowHeight="14.4" x14ac:dyDescent="0.3"/>
  <cols>
    <col min="1" max="1" width="48.21875" bestFit="1" customWidth="1"/>
    <col min="2" max="2" width="15.6640625" bestFit="1" customWidth="1"/>
    <col min="7" max="7" width="32" bestFit="1" customWidth="1"/>
  </cols>
  <sheetData>
    <row r="1" spans="1:2" ht="15.6" x14ac:dyDescent="0.3">
      <c r="A1" s="11" t="s">
        <v>72</v>
      </c>
      <c r="B1" s="9" t="str">
        <f>B3&amp;", "&amp;B5</f>
        <v>Tram, electric, 2020</v>
      </c>
    </row>
    <row r="2" spans="1:2" x14ac:dyDescent="0.3">
      <c r="A2" t="s">
        <v>73</v>
      </c>
      <c r="B2" t="s">
        <v>37</v>
      </c>
    </row>
    <row r="3" spans="1:2" x14ac:dyDescent="0.3">
      <c r="A3" t="s">
        <v>87</v>
      </c>
      <c r="B3" t="s">
        <v>519</v>
      </c>
    </row>
    <row r="4" spans="1:2" x14ac:dyDescent="0.3">
      <c r="A4" t="s">
        <v>88</v>
      </c>
      <c r="B4" s="12"/>
    </row>
    <row r="5" spans="1:2" x14ac:dyDescent="0.3">
      <c r="A5" t="s">
        <v>89</v>
      </c>
      <c r="B5" s="12">
        <v>2020</v>
      </c>
    </row>
    <row r="6" spans="1:2" x14ac:dyDescent="0.3">
      <c r="A6" t="s">
        <v>131</v>
      </c>
      <c r="B6" s="12" t="str">
        <f>B3&amp;" - "&amp;B5&amp;" - "&amp;B2</f>
        <v>Tram, electric - 2020 - CH</v>
      </c>
    </row>
    <row r="7" spans="1:2" x14ac:dyDescent="0.3">
      <c r="A7" t="s">
        <v>74</v>
      </c>
      <c r="B7" t="str">
        <f>B3</f>
        <v>Tram, electric</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2800000</v>
      </c>
    </row>
    <row r="12" spans="1:2" x14ac:dyDescent="0.3">
      <c r="A12" t="s">
        <v>133</v>
      </c>
      <c r="B12">
        <f>INDEX('vehicles specifications'!$B$3:$CK$86,MATCH(B6,'vehicles specifications'!$A$3:$A$86,0),MATCH("Passengers [unit]",'vehicles specifications'!$B$2:$CK$2,0))</f>
        <v>38</v>
      </c>
    </row>
    <row r="13" spans="1:2" x14ac:dyDescent="0.3">
      <c r="A13" t="s">
        <v>134</v>
      </c>
      <c r="B13">
        <f>INDEX('vehicles specifications'!$B$3:$CK$86,MATCH(B6,'vehicles specifications'!$A$3:$A$86,0),MATCH("Servicing [unit]",'vehicles specifications'!$B$2:$CK$2,0))</f>
        <v>1.3333333333333333</v>
      </c>
    </row>
    <row r="14" spans="1:2" x14ac:dyDescent="0.3">
      <c r="A14" t="s">
        <v>135</v>
      </c>
      <c r="B14">
        <f>INDEX('vehicles specifications'!$B$3:$CK$86,MATCH(B6,'vehicles specifications'!$A$3:$A$86,0),MATCH("Energy battery replacement [unit]",'vehicles specifications'!$B$2:$CK$2,0))</f>
        <v>0</v>
      </c>
    </row>
    <row r="15" spans="1:2" x14ac:dyDescent="0.3">
      <c r="A15" t="s">
        <v>136</v>
      </c>
      <c r="B15">
        <f>INDEX('vehicles specifications'!$B$3:$CK$86,MATCH(B6,'vehicles specifications'!$A$3:$A$86,0),MATCH("Annual kilometers [km]",'vehicles specifications'!$B$2:$CK$2,0))</f>
        <v>70000</v>
      </c>
    </row>
    <row r="16" spans="1:2" x14ac:dyDescent="0.3">
      <c r="A16" t="s">
        <v>137</v>
      </c>
      <c r="B16">
        <f>INDEX('vehicles specifications'!$B$3:$CK$86,MATCH(B6,'vehicles specifications'!$A$3:$A$86,0),MATCH("Curb mass [kg]",'vehicles specifications'!$B$2:$CK$2,0))</f>
        <v>54000</v>
      </c>
    </row>
    <row r="17" spans="1:8" x14ac:dyDescent="0.3">
      <c r="A17" t="s">
        <v>138</v>
      </c>
      <c r="B17">
        <f>INDEX('vehicles specifications'!$B$3:$CK$86,MATCH(B6,'vehicles specifications'!$A$3:$A$86,0),MATCH("Power [kW]",'vehicles specifications'!$B$2:$CK$2,0))</f>
        <v>660</v>
      </c>
    </row>
    <row r="18" spans="1:8" x14ac:dyDescent="0.3">
      <c r="A18" t="s">
        <v>139</v>
      </c>
      <c r="B18">
        <f>INDEX('vehicles specifications'!$B$3:$CK$86,MATCH(B6,'vehicles specifications'!$A$3:$A$86,0),MATCH("Energy battery mass [kg]",'vehicles specifications'!$B$2:$CK$2,0))</f>
        <v>0</v>
      </c>
    </row>
    <row r="19" spans="1:8" x14ac:dyDescent="0.3">
      <c r="A19" t="s">
        <v>140</v>
      </c>
      <c r="B19">
        <f>INDEX('vehicles specifications'!$B$3:$CK$86,MATCH(B6,'vehicles specifications'!$A$3:$A$86,0),MATCH("Electric energy available [kWh]",'vehicles specifications'!$B$2:$CK$2,0))</f>
        <v>0</v>
      </c>
    </row>
    <row r="20" spans="1:8" x14ac:dyDescent="0.3">
      <c r="A20" t="s">
        <v>143</v>
      </c>
      <c r="B20">
        <f>INDEX('vehicles specifications'!$B$3:$CK$86,MATCH(B6,'vehicles specifications'!$A$3:$A$86,0),MATCH("Oxydation energy stored [kWh]",'vehicles specifications'!$B$2:$CK$2,0))</f>
        <v>0</v>
      </c>
    </row>
    <row r="21" spans="1:8" x14ac:dyDescent="0.3">
      <c r="A21" t="s">
        <v>145</v>
      </c>
      <c r="B21">
        <f>INDEX('vehicles specifications'!$B$3:$CK$86,MATCH(B6,'vehicles specifications'!$A$3:$A$86,0),MATCH("Fuel mass [kg]",'vehicles specifications'!$B$2:$CK$2,0))</f>
        <v>0</v>
      </c>
    </row>
    <row r="22" spans="1:8" x14ac:dyDescent="0.3">
      <c r="A22" t="s">
        <v>141</v>
      </c>
      <c r="B22">
        <f>INDEX('vehicles specifications'!$B$3:$CK$86,MATCH(B6,'vehicles specifications'!$A$3:$A$86,0),MATCH("Range [km]",'vehicles specifications'!$B$2:$CK$2,0))</f>
        <v>0</v>
      </c>
    </row>
    <row r="23" spans="1:8" x14ac:dyDescent="0.3">
      <c r="A23" t="s">
        <v>142</v>
      </c>
      <c r="B23" t="str">
        <f>INDEX('vehicles specifications'!$B$3:$CK$86,MATCH(B6,'vehicles specifications'!$A$3:$A$86,0),MATCH("Emission standard",'vehicles specifications'!$B$2:$CK$2,0))</f>
        <v>None</v>
      </c>
    </row>
    <row r="24" spans="1:8" x14ac:dyDescent="0.3">
      <c r="A24" t="s">
        <v>144</v>
      </c>
      <c r="B24" s="6">
        <f>INDEX('vehicles specifications'!$B$3:$CK$86,MATCH(B6,'vehicles specifications'!$A$3:$A$86,0),MATCH("Lightweighting rate [%]",'vehicles specifications'!$B$2:$CK$2,0))</f>
        <v>0</v>
      </c>
    </row>
    <row r="25" spans="1:8" s="21" customFormat="1" x14ac:dyDescent="0.3">
      <c r="A25" s="21" t="s">
        <v>513</v>
      </c>
      <c r="B25" s="6" t="s">
        <v>558</v>
      </c>
    </row>
    <row r="26" spans="1:8" s="21" customFormat="1" x14ac:dyDescent="0.3">
      <c r="A26" s="21" t="s">
        <v>515</v>
      </c>
      <c r="B26" s="2">
        <v>0</v>
      </c>
    </row>
    <row r="27" spans="1:8" s="21" customFormat="1" x14ac:dyDescent="0.3">
      <c r="A27" s="21" t="s">
        <v>516</v>
      </c>
      <c r="B27" s="2">
        <v>1000</v>
      </c>
    </row>
    <row r="28" spans="1:8" s="21" customFormat="1" x14ac:dyDescent="0.3">
      <c r="A28" s="21" t="s">
        <v>84</v>
      </c>
      <c r="B28" s="21" t="str">
        <f>"Power: "&amp;B17&amp;" kW. Lifetime: "&amp;B11&amp;" km. Annual kilometers: "&amp;ROUND(B15,0)&amp;" km. Number of passengers: "&amp;ROUND(B12,1)&amp;". Curb mass: "&amp;ROUND(B16,1)&amp;" kg. Lightweighting of glider: "&amp;ROUND(B24*100,0)&amp;"%. Emission standard: "&amp;B23&amp;". Service visits throughout lifetime: every year for "&amp;B11/B15&amp;" years. Range: "&amp;ROUND(B22,0)&amp;" km. Battery capacity: "&amp;ROUND(B19,1)&amp;" kWh. Battery mass: "&amp;ROUND(B18,1)&amp; " kg. Battery replacement throughout lifetime: "&amp;ROUND(B14,1)&amp;". Fuel tank capacity: "&amp;ROUND(B20,1)&amp;" kWh. Fuel mass: "&amp;ROUND(B21,1)&amp;" kg. Origin of manufacture: "&amp;B25&amp;". Shipping distance: "&amp;B26&amp;" km. Lorry distribution distance: "&amp;B27&amp;" km. Documentation: "&amp;Readmefirst!$B$2&amp;", "&amp;Readmefirst!$B$3&amp;". "&amp;B10</f>
        <v>Power: 660 kW. Lifetime: 2800000 km. Annual kilometers: 70000 km. Number of passengers: 38. Curb mass: 54000 kg. Lightweighting of glider: 0%. Emission standard: None. Service visits throughout lifetime: every year for 40 years. Range: 0 km. Battery capacity: 0 kWh. Battery mass: 0 kg. Battery replacement throughout lifetime: 0. Fuel tank capacity: 0 kWh. Fuel mass: 0 kg. Origin of manufacture: Europe. Shipping distance: 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9" spans="1:8" ht="15.6" x14ac:dyDescent="0.3">
      <c r="A29" s="11" t="s">
        <v>80</v>
      </c>
    </row>
    <row r="30" spans="1:8" x14ac:dyDescent="0.3">
      <c r="A30" t="s">
        <v>81</v>
      </c>
      <c r="B30" t="s">
        <v>82</v>
      </c>
      <c r="C30" t="s">
        <v>73</v>
      </c>
      <c r="D30" t="s">
        <v>77</v>
      </c>
      <c r="E30" t="s">
        <v>83</v>
      </c>
      <c r="F30" t="s">
        <v>75</v>
      </c>
      <c r="G30" t="s">
        <v>84</v>
      </c>
      <c r="H30" t="s">
        <v>74</v>
      </c>
    </row>
    <row r="31" spans="1:8" x14ac:dyDescent="0.3">
      <c r="A31" s="12" t="str">
        <f>B1</f>
        <v>Tram, electric, 2020</v>
      </c>
      <c r="B31" s="12">
        <v>1</v>
      </c>
      <c r="C31" s="12" t="str">
        <f>B2</f>
        <v>CH</v>
      </c>
      <c r="D31" s="12" t="str">
        <f>B9</f>
        <v>unit</v>
      </c>
      <c r="E31" s="12"/>
      <c r="F31" s="12" t="s">
        <v>85</v>
      </c>
      <c r="G31" s="12" t="s">
        <v>86</v>
      </c>
      <c r="H31" s="12" t="str">
        <f>B3</f>
        <v>Tram, electric</v>
      </c>
    </row>
    <row r="32" spans="1:8" x14ac:dyDescent="0.3">
      <c r="A32" s="12" t="str">
        <f>INDEX('ei names mapping'!$B$4:$R$33,MATCH($B$3,'ei names mapping'!$A$4:$A$33,0),MATCH(G32,'ei names mapping'!$B$3:$R$3,0))</f>
        <v>tram production</v>
      </c>
      <c r="B32" s="14">
        <f>INDEX('vehicles specifications'!$B$3:$CK$86,MATCH(B6,'vehicles specifications'!$A$3:$A$86,0),MATCH(G32,'vehicles specifications'!$B$2:$CK$2,0))*INDEX('ei names mapping'!$B$137:$BK$220,MATCH(B6,'ei names mapping'!$A$137:$A$220,0),MATCH(G32,'ei names mapping'!$B$136:$BK$136,0))</f>
        <v>2.0579268292682928</v>
      </c>
      <c r="C32" s="12" t="str">
        <f>INDEX('ei names mapping'!$B$38:$R$67,MATCH($B$3,'ei names mapping'!$A$4:$A$33,0),MATCH(G32,'ei names mapping'!$B$3:$R$3,0))</f>
        <v>RER</v>
      </c>
      <c r="D32" s="12" t="str">
        <f>INDEX('ei names mapping'!$B$104:$R$133,MATCH(B3,'ei names mapping'!$A$104:$A$133,0),MATCH(G32,'ei names mapping'!$B$3:$R$3,0))</f>
        <v>unit</v>
      </c>
      <c r="E32" s="12"/>
      <c r="F32" s="12" t="s">
        <v>91</v>
      </c>
      <c r="G32" s="21" t="s">
        <v>15</v>
      </c>
      <c r="H32" s="12" t="str">
        <f>INDEX('ei names mapping'!$B$71:$R$100,MATCH($B$3,'ei names mapping'!$A$4:$A$33,0),MATCH(G32,'ei names mapping'!$B$3:$R$3,0))</f>
        <v>tram</v>
      </c>
    </row>
    <row r="33" spans="1:8" x14ac:dyDescent="0.3">
      <c r="A33" s="12" t="str">
        <f>INDEX('ei names mapping'!$B$4:$R$33,MATCH($B$3,'ei names mapping'!$A$4:$A$33,0),MATCH(G33,'ei names mapping'!$B$3:$R$3,0))</f>
        <v>tram production</v>
      </c>
      <c r="B33" s="14">
        <f>INDEX('vehicles specifications'!$B$3:$CK$86,MATCH(B6,'vehicles specifications'!$A$3:$A$86,0),MATCH(G33,'vehicles specifications'!$B$2:$CK$2,0))*INDEX('ei names mapping'!$B$137:$BK$220,MATCH(B6,'ei names mapping'!$A$137:$A$220,0),MATCH(G33,'ei names mapping'!$B$136:$BK$136,0))</f>
        <v>0.37157012195121952</v>
      </c>
      <c r="C33" s="12" t="str">
        <f>INDEX('ei names mapping'!$B$38:$R$67,MATCH($B$3,'ei names mapping'!$A$4:$A$33,0),MATCH(G33,'ei names mapping'!$B$3:$R$3,0))</f>
        <v>RER</v>
      </c>
      <c r="D33" s="12" t="str">
        <f>INDEX('ei names mapping'!$B$104:$R$133,MATCH(B3,'ei names mapping'!$A$104:$A$133,0),MATCH(G33,'ei names mapping'!$B$3:$R$3,0))</f>
        <v>unit</v>
      </c>
      <c r="E33" s="12"/>
      <c r="F33" s="12" t="s">
        <v>91</v>
      </c>
      <c r="G33" t="s">
        <v>16</v>
      </c>
      <c r="H33" s="12" t="str">
        <f>INDEX('ei names mapping'!$B$71:$R$100,MATCH($B$3,'ei names mapping'!$A$4:$A$33,0),MATCH(G33,'ei names mapping'!$B$3:$R$3,0))</f>
        <v>tram</v>
      </c>
    </row>
    <row r="34" spans="1:8" x14ac:dyDescent="0.3">
      <c r="A34" s="12" t="str">
        <f>INDEX('ei names mapping'!$B$4:$R$33,MATCH($B$3,'ei names mapping'!$A$4:$A$33,0),MATCH(G34,'ei names mapping'!$B$3:$R$3,0))</f>
        <v>tram production</v>
      </c>
      <c r="B34" s="14">
        <f>INDEX('vehicles specifications'!$B$3:$CK$86,MATCH(B6,'vehicles specifications'!$A$3:$A$86,0),MATCH(G34,'vehicles specifications'!$B$2:$CK$2,0))*INDEX('ei names mapping'!$B$137:$BK$220,MATCH(B6,'ei names mapping'!$A$137:$A$220,0),MATCH(G34,'ei names mapping'!$B$136:$BK$136,0))</f>
        <v>0.14291158536585366</v>
      </c>
      <c r="C34" s="12" t="str">
        <f>INDEX('ei names mapping'!$B$38:$R$67,MATCH($B$3,'ei names mapping'!$A$4:$A$33,0),MATCH(G34,'ei names mapping'!$B$3:$R$3,0))</f>
        <v>RER</v>
      </c>
      <c r="D34" s="12" t="str">
        <f>INDEX('ei names mapping'!$B$104:$R$133,MATCH(B3,'ei names mapping'!$A$104:$A$133,0),MATCH(G34,'ei names mapping'!$B$3:$R$3,0))</f>
        <v>unit</v>
      </c>
      <c r="E34" s="12"/>
      <c r="F34" s="12" t="s">
        <v>91</v>
      </c>
      <c r="G34" t="s">
        <v>557</v>
      </c>
      <c r="H34" s="12" t="str">
        <f>INDEX('ei names mapping'!$B$71:$R$100,MATCH($B$3,'ei names mapping'!$A$4:$A$33,0),MATCH(G34,'ei names mapping'!$B$3:$R$3,0))</f>
        <v>tram</v>
      </c>
    </row>
    <row r="35" spans="1:8" s="21" customFormat="1" x14ac:dyDescent="0.3">
      <c r="A35" s="12" t="str">
        <f>INDEX('ei names mapping'!$B$4:$R$33,MATCH(B3,'ei names mapping'!$A$4:$A$33,0),MATCH(G35,'ei names mapping'!$B$3:$R$3,0))</f>
        <v>glider lightweighting</v>
      </c>
      <c r="B35" s="16">
        <f>INDEX('vehicles specifications'!$B$3:$CK$86,MATCH(B6,'vehicles specifications'!$A$3:$A$86,0),MATCH(G35,'vehicles specifications'!$B$2:$CK$2,0))*INDEX('ei names mapping'!$B$137:$BK$220,MATCH(B6,'ei names mapping'!$A$137:$A$220,0),MATCH(G35,'ei names mapping'!$B$136:$BK$136,0))</f>
        <v>0</v>
      </c>
      <c r="C35" s="12" t="str">
        <f>INDEX('ei names mapping'!$B$38:$R$67,MATCH(B3,'ei names mapping'!$A$4:$A$33,0),MATCH(G35,'ei names mapping'!$B$3:$R$3,0))</f>
        <v>GLO</v>
      </c>
      <c r="D35" s="12" t="str">
        <f>INDEX('ei names mapping'!$B$104:$R$133,MATCH(B3,'ei names mapping'!$A$104:$A$133,0),MATCH(G35,'ei names mapping'!$B$3:$R$3,0))</f>
        <v>kilogram</v>
      </c>
      <c r="E35" s="12"/>
      <c r="F35" s="12" t="s">
        <v>91</v>
      </c>
      <c r="G35" s="21" t="s">
        <v>14</v>
      </c>
      <c r="H35" s="12" t="str">
        <f>INDEX('ei names mapping'!$B$71:$R$100,MATCH(B3,'ei names mapping'!$A$4:$A$33,0),MATCH(G35,'ei names mapping'!$B$3:$R$3,0))</f>
        <v>glider lightweighting</v>
      </c>
    </row>
    <row r="36" spans="1:8" x14ac:dyDescent="0.3">
      <c r="A36" s="12" t="str">
        <f>INDEX('ei names mapping'!$B$4:$R$33,MATCH($B$3,'ei names mapping'!$A$4:$A$33,0),MATCH(G36,'ei names mapping'!$B$3:$R$3,0))</f>
        <v>tram track construction</v>
      </c>
      <c r="B36" s="18">
        <f>INDEX('vehicles specifications'!$B$3:$CK$86,MATCH(B6,'vehicles specifications'!$A$3:$A$86,0),MATCH(G36,'vehicles specifications'!$B$2:$CK$2,0))*INDEX('ei names mapping'!$B$137:$BK$220,MATCH(B6,'ei names mapping'!$A$137:$A$220,0),MATCH(G36,'ei names mapping'!$B$136:$BK$136,0))</f>
        <v>4.5599999999999998E-3</v>
      </c>
      <c r="C36" s="12" t="str">
        <f>INDEX('ei names mapping'!$B$38:$R$67,MATCH($B$3,'ei names mapping'!$A$4:$A$33,0),MATCH(G36,'ei names mapping'!$B$3:$R$3,0))</f>
        <v>CH</v>
      </c>
      <c r="D36" s="12" t="str">
        <f>INDEX('ei names mapping'!$B$104:$R$133,MATCH(B3,'ei names mapping'!$A$104:$A$133,0),MATCH(G36,'ei names mapping'!$B$3:$R$3,0))</f>
        <v>meter-year</v>
      </c>
      <c r="E36" s="12"/>
      <c r="F36" s="12" t="s">
        <v>91</v>
      </c>
      <c r="G36" t="s">
        <v>108</v>
      </c>
      <c r="H36" s="12" t="str">
        <f>INDEX('ei names mapping'!$B$71:$R$100,MATCH($B$3,'ei names mapping'!$A$4:$A$33,0),MATCH(G36,'ei names mapping'!$B$3:$R$3,0))</f>
        <v>tram track</v>
      </c>
    </row>
    <row r="37" spans="1:8" s="21" customFormat="1" x14ac:dyDescent="0.3">
      <c r="A37" s="12" t="s">
        <v>572</v>
      </c>
      <c r="B37" s="18">
        <f>-1*B36</f>
        <v>-4.5599999999999998E-3</v>
      </c>
      <c r="C37" s="12" t="s">
        <v>37</v>
      </c>
      <c r="D37" s="12" t="s">
        <v>110</v>
      </c>
      <c r="E37" s="12"/>
      <c r="F37" s="12" t="s">
        <v>91</v>
      </c>
      <c r="G37" s="21" t="s">
        <v>570</v>
      </c>
      <c r="H37" s="12" t="s">
        <v>571</v>
      </c>
    </row>
    <row r="38" spans="1:8" s="21" customFormat="1" x14ac:dyDescent="0.3">
      <c r="A38" s="22" t="s">
        <v>468</v>
      </c>
      <c r="B38" s="21">
        <f>(B16/1000)*B27</f>
        <v>54000</v>
      </c>
      <c r="C38" s="21" t="s">
        <v>94</v>
      </c>
      <c r="D38" s="21" t="s">
        <v>243</v>
      </c>
      <c r="F38" s="21" t="s">
        <v>91</v>
      </c>
      <c r="H38" s="22" t="s">
        <v>469</v>
      </c>
    </row>
    <row r="39" spans="1:8" x14ac:dyDescent="0.3">
      <c r="A39" s="12"/>
      <c r="B39" s="16"/>
      <c r="C39" s="12"/>
      <c r="D39" s="12"/>
      <c r="E39" s="12"/>
      <c r="F39" s="12"/>
      <c r="H39" s="12"/>
    </row>
    <row r="40" spans="1:8" ht="15.6" x14ac:dyDescent="0.3">
      <c r="A40" s="11" t="s">
        <v>72</v>
      </c>
      <c r="B40" s="9" t="str">
        <f>B42&amp;", "&amp;B44</f>
        <v>Tram, electric, 2030</v>
      </c>
    </row>
    <row r="41" spans="1:8" x14ac:dyDescent="0.3">
      <c r="A41" t="s">
        <v>73</v>
      </c>
      <c r="B41" t="s">
        <v>37</v>
      </c>
    </row>
    <row r="42" spans="1:8" x14ac:dyDescent="0.3">
      <c r="A42" t="s">
        <v>87</v>
      </c>
      <c r="B42" s="21" t="s">
        <v>519</v>
      </c>
    </row>
    <row r="43" spans="1:8" x14ac:dyDescent="0.3">
      <c r="A43" t="s">
        <v>88</v>
      </c>
      <c r="B43" s="12"/>
    </row>
    <row r="44" spans="1:8" x14ac:dyDescent="0.3">
      <c r="A44" t="s">
        <v>89</v>
      </c>
      <c r="B44" s="12">
        <v>2030</v>
      </c>
    </row>
    <row r="45" spans="1:8" x14ac:dyDescent="0.3">
      <c r="A45" t="s">
        <v>131</v>
      </c>
      <c r="B45" s="12" t="str">
        <f>B42&amp;" - "&amp;B44&amp;" - "&amp;B41</f>
        <v>Tram, electric - 2030 - CH</v>
      </c>
    </row>
    <row r="46" spans="1:8" x14ac:dyDescent="0.3">
      <c r="A46" t="s">
        <v>74</v>
      </c>
      <c r="B46" t="str">
        <f>B42</f>
        <v>Tram, electric</v>
      </c>
    </row>
    <row r="47" spans="1:8" x14ac:dyDescent="0.3">
      <c r="A47" t="s">
        <v>75</v>
      </c>
      <c r="B47" t="s">
        <v>76</v>
      </c>
    </row>
    <row r="48" spans="1:8" x14ac:dyDescent="0.3">
      <c r="A48" t="s">
        <v>77</v>
      </c>
      <c r="B48" t="s">
        <v>77</v>
      </c>
    </row>
    <row r="49" spans="1:2" x14ac:dyDescent="0.3">
      <c r="A49" t="s">
        <v>79</v>
      </c>
      <c r="B49" t="s">
        <v>90</v>
      </c>
    </row>
    <row r="50" spans="1:2" x14ac:dyDescent="0.3">
      <c r="A50" t="s">
        <v>132</v>
      </c>
      <c r="B50">
        <f>INDEX('vehicles specifications'!$B$3:$CK$86,MATCH(B45,'vehicles specifications'!$A$3:$A$86,0),MATCH("Lifetime [km]",'vehicles specifications'!$B$2:$CK$2,0))</f>
        <v>2800000</v>
      </c>
    </row>
    <row r="51" spans="1:2" x14ac:dyDescent="0.3">
      <c r="A51" t="s">
        <v>133</v>
      </c>
      <c r="B51">
        <f>INDEX('vehicles specifications'!$B$3:$CK$86,MATCH(B45,'vehicles specifications'!$A$3:$A$86,0),MATCH("Passengers [unit]",'vehicles specifications'!$B$2:$CK$2,0))</f>
        <v>38</v>
      </c>
    </row>
    <row r="52" spans="1:2" x14ac:dyDescent="0.3">
      <c r="A52" t="s">
        <v>134</v>
      </c>
      <c r="B52">
        <f>INDEX('vehicles specifications'!$B$3:$CK$86,MATCH(B45,'vehicles specifications'!$A$3:$A$86,0),MATCH("Servicing [unit]",'vehicles specifications'!$B$2:$CK$2,0))</f>
        <v>1.3333333333333333</v>
      </c>
    </row>
    <row r="53" spans="1:2" x14ac:dyDescent="0.3">
      <c r="A53" t="s">
        <v>135</v>
      </c>
      <c r="B53">
        <f>INDEX('vehicles specifications'!$B$3:$CK$86,MATCH(B45,'vehicles specifications'!$A$3:$A$86,0),MATCH("Energy battery replacement [unit]",'vehicles specifications'!$B$2:$CK$2,0))</f>
        <v>0</v>
      </c>
    </row>
    <row r="54" spans="1:2" x14ac:dyDescent="0.3">
      <c r="A54" t="s">
        <v>136</v>
      </c>
      <c r="B54">
        <f>INDEX('vehicles specifications'!$B$3:$CK$86,MATCH(B45,'vehicles specifications'!$A$3:$A$86,0),MATCH("Annual kilometers [km]",'vehicles specifications'!$B$2:$CK$2,0))</f>
        <v>70000</v>
      </c>
    </row>
    <row r="55" spans="1:2" x14ac:dyDescent="0.3">
      <c r="A55" t="s">
        <v>137</v>
      </c>
      <c r="B55">
        <f>INDEX('vehicles specifications'!$B$3:$CK$86,MATCH(B45,'vehicles specifications'!$A$3:$A$86,0),MATCH("Curb mass [kg]",'vehicles specifications'!$B$2:$CK$2,0))</f>
        <v>52380</v>
      </c>
    </row>
    <row r="56" spans="1:2" x14ac:dyDescent="0.3">
      <c r="A56" t="s">
        <v>138</v>
      </c>
      <c r="B56">
        <f>INDEX('vehicles specifications'!$B$3:$CK$86,MATCH(B45,'vehicles specifications'!$A$3:$A$86,0),MATCH("Power [kW]",'vehicles specifications'!$B$2:$CK$2,0))</f>
        <v>660</v>
      </c>
    </row>
    <row r="57" spans="1:2" x14ac:dyDescent="0.3">
      <c r="A57" t="s">
        <v>139</v>
      </c>
      <c r="B57">
        <f>INDEX('vehicles specifications'!$B$3:$CK$86,MATCH(B45,'vehicles specifications'!$A$3:$A$86,0),MATCH("Energy battery mass [kg]",'vehicles specifications'!$B$2:$CK$2,0))</f>
        <v>0</v>
      </c>
    </row>
    <row r="58" spans="1:2" x14ac:dyDescent="0.3">
      <c r="A58" t="s">
        <v>140</v>
      </c>
      <c r="B58">
        <f>INDEX('vehicles specifications'!$B$3:$CK$86,MATCH(B45,'vehicles specifications'!$A$3:$A$86,0),MATCH("Electric energy available [kWh]",'vehicles specifications'!$B$2:$CK$2,0))</f>
        <v>0</v>
      </c>
    </row>
    <row r="59" spans="1:2" x14ac:dyDescent="0.3">
      <c r="A59" t="s">
        <v>143</v>
      </c>
      <c r="B59">
        <f>INDEX('vehicles specifications'!$B$3:$CK$86,MATCH(B45,'vehicles specifications'!$A$3:$A$86,0),MATCH("Oxydation energy stored [kWh]",'vehicles specifications'!$B$2:$CK$2,0))</f>
        <v>0</v>
      </c>
    </row>
    <row r="60" spans="1:2" x14ac:dyDescent="0.3">
      <c r="A60" t="s">
        <v>145</v>
      </c>
      <c r="B60">
        <f>INDEX('vehicles specifications'!$B$3:$CK$86,MATCH(B45,'vehicles specifications'!$A$3:$A$86,0),MATCH("Fuel mass [kg]",'vehicles specifications'!$B$2:$CK$2,0))</f>
        <v>0</v>
      </c>
    </row>
    <row r="61" spans="1:2" x14ac:dyDescent="0.3">
      <c r="A61" t="s">
        <v>141</v>
      </c>
      <c r="B61">
        <f>INDEX('vehicles specifications'!$B$3:$CK$86,MATCH(B45,'vehicles specifications'!$A$3:$A$86,0),MATCH("Range [km]",'vehicles specifications'!$B$2:$CK$2,0))</f>
        <v>0</v>
      </c>
    </row>
    <row r="62" spans="1:2" x14ac:dyDescent="0.3">
      <c r="A62" t="s">
        <v>142</v>
      </c>
      <c r="B62" t="str">
        <f>INDEX('vehicles specifications'!$B$3:$CK$86,MATCH(B45,'vehicles specifications'!$A$3:$A$86,0),MATCH("Emission standard",'vehicles specifications'!$B$2:$CK$2,0))</f>
        <v>None</v>
      </c>
    </row>
    <row r="63" spans="1:2" x14ac:dyDescent="0.3">
      <c r="A63" t="s">
        <v>144</v>
      </c>
      <c r="B63" s="6">
        <f>INDEX('vehicles specifications'!$B$3:$CK$86,MATCH(B45,'vehicles specifications'!$A$3:$A$86,0),MATCH("Lightweighting rate [%]",'vehicles specifications'!$B$2:$CK$2,0))</f>
        <v>0.03</v>
      </c>
    </row>
    <row r="64" spans="1:2" s="21" customFormat="1" x14ac:dyDescent="0.3">
      <c r="A64" s="21" t="s">
        <v>513</v>
      </c>
      <c r="B64" s="6" t="s">
        <v>558</v>
      </c>
    </row>
    <row r="65" spans="1:8" s="21" customFormat="1" x14ac:dyDescent="0.3">
      <c r="A65" s="21" t="s">
        <v>515</v>
      </c>
      <c r="B65" s="2">
        <v>0</v>
      </c>
    </row>
    <row r="66" spans="1:8" s="21" customFormat="1" x14ac:dyDescent="0.3">
      <c r="A66" s="21" t="s">
        <v>516</v>
      </c>
      <c r="B66" s="2">
        <v>1000</v>
      </c>
    </row>
    <row r="67" spans="1:8" s="21" customFormat="1" x14ac:dyDescent="0.3">
      <c r="A67" s="21" t="s">
        <v>84</v>
      </c>
      <c r="B67" s="21" t="str">
        <f>"Power: "&amp;B56&amp;" kW. Lifetime: "&amp;B50&amp;" km. Annual kilometers: "&amp;ROUND(B54,0)&amp;" km. Number of passengers: "&amp;ROUND(B51,1)&amp;". Curb mass: "&amp;ROUND(B55,1)&amp;" kg. Lightweighting of glider: "&amp;ROUND(B63*100,0)&amp;"%. Emission standard: "&amp;B62&amp;". Service visits throughout lifetime: every year for "&amp;B50/B54&amp;" years. Range: "&amp;ROUND(B61,0)&amp;" km. Battery capacity: "&amp;ROUND(B58,1)&amp;" kWh. Battery mass: "&amp;ROUND(B57,1)&amp; " kg. Battery replacement throughout lifetime: "&amp;ROUND(B53,1)&amp;". Fuel tank capacity: "&amp;ROUND(B59,1)&amp;" kWh. Fuel mass: "&amp;ROUND(B60,1)&amp;" kg. Origin of manufacture: "&amp;B64&amp;". Shipping distance: "&amp;B65&amp;" km. Lorry distribution distance: "&amp;B66&amp;" km. Documentation: "&amp;Readmefirst!$B$2&amp;", "&amp;Readmefirst!$B$3&amp;". "&amp;B49</f>
        <v>Power: 660 kW. Lifetime: 2800000 km. Annual kilometers: 70000 km. Number of passengers: 38. Curb mass: 52380 kg. Lightweighting of glider: 3%. Emission standard: None. Service visits throughout lifetime: every year for 40 years. Range: 0 km. Battery capacity: 0 kWh. Battery mass: 0 kg. Battery replacement throughout lifetime: 0. Fuel tank capacity: 0 kWh. Fuel mass: 0 kg. Origin of manufacture: Europe. Shipping distance: 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68" spans="1:8" ht="15.6" x14ac:dyDescent="0.3">
      <c r="A68" s="11" t="s">
        <v>80</v>
      </c>
    </row>
    <row r="69" spans="1:8" x14ac:dyDescent="0.3">
      <c r="A69" t="s">
        <v>81</v>
      </c>
      <c r="B69" t="s">
        <v>82</v>
      </c>
      <c r="C69" t="s">
        <v>73</v>
      </c>
      <c r="D69" t="s">
        <v>77</v>
      </c>
      <c r="E69" t="s">
        <v>83</v>
      </c>
      <c r="F69" t="s">
        <v>75</v>
      </c>
      <c r="G69" t="s">
        <v>84</v>
      </c>
      <c r="H69" t="s">
        <v>74</v>
      </c>
    </row>
    <row r="70" spans="1:8" x14ac:dyDescent="0.3">
      <c r="A70" s="12" t="str">
        <f>B40</f>
        <v>Tram, electric, 2030</v>
      </c>
      <c r="B70" s="12">
        <v>1</v>
      </c>
      <c r="C70" s="12" t="str">
        <f>B41</f>
        <v>CH</v>
      </c>
      <c r="D70" s="12" t="str">
        <f>B48</f>
        <v>unit</v>
      </c>
      <c r="E70" s="12"/>
      <c r="F70" s="12" t="s">
        <v>85</v>
      </c>
      <c r="G70" s="12" t="s">
        <v>86</v>
      </c>
      <c r="H70" s="12" t="str">
        <f>B42</f>
        <v>Tram, electric</v>
      </c>
    </row>
    <row r="71" spans="1:8" x14ac:dyDescent="0.3">
      <c r="A71" s="12" t="str">
        <f>INDEX('ei names mapping'!$B$4:$R$33,MATCH($B$3,'ei names mapping'!$A$4:$A$33,0),MATCH(G71,'ei names mapping'!$B$3:$R$3,0))</f>
        <v>tram production</v>
      </c>
      <c r="B71" s="14">
        <f>INDEX('vehicles specifications'!$B$3:$CK$86,MATCH(B45,'vehicles specifications'!$A$3:$A$86,0),MATCH(G71,'vehicles specifications'!$B$2:$CK$2,0))*INDEX('ei names mapping'!$B$137:$BK$220,MATCH(B45,'ei names mapping'!$A$137:$A$220,0),MATCH(G71,'ei names mapping'!$B$136:$BK$136,0))</f>
        <v>2.0579268292682928</v>
      </c>
      <c r="C71" s="12" t="str">
        <f>INDEX('ei names mapping'!$B$38:$R$67,MATCH($B$3,'ei names mapping'!$A$4:$A$33,0),MATCH(G71,'ei names mapping'!$B$3:$R$3,0))</f>
        <v>RER</v>
      </c>
      <c r="D71" s="12" t="str">
        <f>INDEX('ei names mapping'!$B$104:$R$133,MATCH(B42,'ei names mapping'!$A$104:$A$133,0),MATCH(G71,'ei names mapping'!$B$3:$R$3,0))</f>
        <v>unit</v>
      </c>
      <c r="E71" s="12"/>
      <c r="F71" s="12" t="s">
        <v>91</v>
      </c>
      <c r="G71" s="21" t="s">
        <v>15</v>
      </c>
      <c r="H71" s="12" t="str">
        <f>INDEX('ei names mapping'!$B$71:$R$100,MATCH($B$3,'ei names mapping'!$A$4:$A$33,0),MATCH(G71,'ei names mapping'!$B$3:$R$3,0))</f>
        <v>tram</v>
      </c>
    </row>
    <row r="72" spans="1:8" x14ac:dyDescent="0.3">
      <c r="A72" s="12" t="str">
        <f>INDEX('ei names mapping'!$B$4:$R$33,MATCH($B$3,'ei names mapping'!$A$4:$A$33,0),MATCH(G72,'ei names mapping'!$B$3:$R$3,0))</f>
        <v>tram production</v>
      </c>
      <c r="B72" s="14">
        <f>INDEX('vehicles specifications'!$B$3:$CK$86,MATCH(B45,'vehicles specifications'!$A$3:$A$86,0),MATCH(G72,'vehicles specifications'!$B$2:$CK$2,0))*INDEX('ei names mapping'!$B$137:$BK$220,MATCH(B45,'ei names mapping'!$A$137:$A$220,0),MATCH(G72,'ei names mapping'!$B$136:$BK$136,0))</f>
        <v>0.36042301829268292</v>
      </c>
      <c r="C72" s="12" t="str">
        <f>INDEX('ei names mapping'!$B$38:$R$67,MATCH($B$3,'ei names mapping'!$A$4:$A$33,0),MATCH(G72,'ei names mapping'!$B$3:$R$3,0))</f>
        <v>RER</v>
      </c>
      <c r="D72" s="12" t="str">
        <f>INDEX('ei names mapping'!$B$104:$R$133,MATCH(B42,'ei names mapping'!$A$104:$A$133,0),MATCH(G72,'ei names mapping'!$B$3:$R$3,0))</f>
        <v>unit</v>
      </c>
      <c r="E72" s="12"/>
      <c r="F72" s="12" t="s">
        <v>91</v>
      </c>
      <c r="G72" t="s">
        <v>16</v>
      </c>
      <c r="H72" s="12" t="str">
        <f>INDEX('ei names mapping'!$B$71:$R$100,MATCH($B$3,'ei names mapping'!$A$4:$A$33,0),MATCH(G72,'ei names mapping'!$B$3:$R$3,0))</f>
        <v>tram</v>
      </c>
    </row>
    <row r="73" spans="1:8" x14ac:dyDescent="0.3">
      <c r="A73" s="12" t="str">
        <f>INDEX('ei names mapping'!$B$4:$R$33,MATCH($B$3,'ei names mapping'!$A$4:$A$33,0),MATCH(G73,'ei names mapping'!$B$3:$R$3,0))</f>
        <v>tram production</v>
      </c>
      <c r="B73" s="14">
        <f>INDEX('vehicles specifications'!$B$3:$CK$86,MATCH(B45,'vehicles specifications'!$A$3:$A$86,0),MATCH(G73,'vehicles specifications'!$B$2:$CK$2,0))*INDEX('ei names mapping'!$B$137:$BK$220,MATCH(B45,'ei names mapping'!$A$137:$A$220,0),MATCH(G73,'ei names mapping'!$B$136:$BK$136,0))</f>
        <v>0.13862423780487806</v>
      </c>
      <c r="C73" s="12" t="str">
        <f>INDEX('ei names mapping'!$B$38:$R$67,MATCH($B$3,'ei names mapping'!$A$4:$A$33,0),MATCH(G73,'ei names mapping'!$B$3:$R$3,0))</f>
        <v>RER</v>
      </c>
      <c r="D73" s="12" t="str">
        <f>INDEX('ei names mapping'!$B$104:$R$133,MATCH(B42,'ei names mapping'!$A$104:$A$133,0),MATCH(G73,'ei names mapping'!$B$3:$R$3,0))</f>
        <v>unit</v>
      </c>
      <c r="E73" s="12"/>
      <c r="F73" s="12" t="s">
        <v>91</v>
      </c>
      <c r="G73" t="s">
        <v>557</v>
      </c>
      <c r="H73" s="12" t="str">
        <f>INDEX('ei names mapping'!$B$71:$R$100,MATCH($B$3,'ei names mapping'!$A$4:$A$33,0),MATCH(G73,'ei names mapping'!$B$3:$R$3,0))</f>
        <v>tram</v>
      </c>
    </row>
    <row r="74" spans="1:8" s="21" customFormat="1" x14ac:dyDescent="0.3">
      <c r="A74" s="12" t="str">
        <f>INDEX('ei names mapping'!$B$4:$R$33,MATCH(B42,'ei names mapping'!$A$4:$A$33,0),MATCH(G74,'ei names mapping'!$B$3:$R$3,0))</f>
        <v>glider lightweighting</v>
      </c>
      <c r="B74" s="16">
        <f>INDEX('vehicles specifications'!$B$3:$CK$86,MATCH(B45,'vehicles specifications'!$A$3:$A$86,0),MATCH(G74,'vehicles specifications'!$B$2:$CK$2,0))*INDEX('ei names mapping'!$B$137:$BK$220,MATCH(B45,'ei names mapping'!$A$137:$A$220,0),MATCH(G74,'ei names mapping'!$B$136:$BK$136,0))</f>
        <v>1296</v>
      </c>
      <c r="C74" s="12" t="str">
        <f>INDEX('ei names mapping'!$B$38:$R$67,MATCH(B42,'ei names mapping'!$A$4:$A$33,0),MATCH(G74,'ei names mapping'!$B$3:$R$3,0))</f>
        <v>GLO</v>
      </c>
      <c r="D74" s="12" t="str">
        <f>INDEX('ei names mapping'!$B$104:$R$133,MATCH(B42,'ei names mapping'!$A$104:$A$133,0),MATCH(G74,'ei names mapping'!$B$3:$R$3,0))</f>
        <v>kilogram</v>
      </c>
      <c r="E74" s="12"/>
      <c r="F74" s="12" t="s">
        <v>91</v>
      </c>
      <c r="G74" s="21" t="s">
        <v>14</v>
      </c>
      <c r="H74" s="12" t="str">
        <f>INDEX('ei names mapping'!$B$71:$R$100,MATCH(B42,'ei names mapping'!$A$4:$A$33,0),MATCH(G74,'ei names mapping'!$B$3:$R$3,0))</f>
        <v>glider lightweighting</v>
      </c>
    </row>
    <row r="75" spans="1:8" x14ac:dyDescent="0.3">
      <c r="A75" s="12" t="str">
        <f>INDEX('ei names mapping'!$B$4:$R$33,MATCH($B$3,'ei names mapping'!$A$4:$A$33,0),MATCH(G75,'ei names mapping'!$B$3:$R$3,0))</f>
        <v>tram track construction</v>
      </c>
      <c r="B75" s="18">
        <f>INDEX('vehicles specifications'!$B$3:$CK$86,MATCH(B45,'vehicles specifications'!$A$3:$A$86,0),MATCH(G75,'vehicles specifications'!$B$2:$CK$2,0))*INDEX('ei names mapping'!$B$137:$BK$220,MATCH(B45,'ei names mapping'!$A$137:$A$220,0),MATCH(G75,'ei names mapping'!$B$136:$BK$136,0))</f>
        <v>4.5599999999999998E-3</v>
      </c>
      <c r="C75" s="12" t="str">
        <f>INDEX('ei names mapping'!$B$38:$R$67,MATCH($B$3,'ei names mapping'!$A$4:$A$33,0),MATCH(G75,'ei names mapping'!$B$3:$R$3,0))</f>
        <v>CH</v>
      </c>
      <c r="D75" s="12" t="str">
        <f>INDEX('ei names mapping'!$B$104:$R$133,MATCH(B42,'ei names mapping'!$A$104:$A$133,0),MATCH(G75,'ei names mapping'!$B$3:$R$3,0))</f>
        <v>meter-year</v>
      </c>
      <c r="E75" s="12"/>
      <c r="F75" s="12" t="s">
        <v>91</v>
      </c>
      <c r="G75" t="s">
        <v>108</v>
      </c>
      <c r="H75" s="12" t="str">
        <f>INDEX('ei names mapping'!$B$71:$R$100,MATCH($B$3,'ei names mapping'!$A$4:$A$33,0),MATCH(G75,'ei names mapping'!$B$3:$R$3,0))</f>
        <v>tram track</v>
      </c>
    </row>
    <row r="76" spans="1:8" s="21" customFormat="1" x14ac:dyDescent="0.3">
      <c r="A76" s="12" t="s">
        <v>572</v>
      </c>
      <c r="B76" s="18">
        <f>-1*B75</f>
        <v>-4.5599999999999998E-3</v>
      </c>
      <c r="C76" s="12" t="s">
        <v>37</v>
      </c>
      <c r="D76" s="12" t="s">
        <v>110</v>
      </c>
      <c r="E76" s="12"/>
      <c r="F76" s="12" t="s">
        <v>91</v>
      </c>
      <c r="G76" s="21" t="s">
        <v>570</v>
      </c>
      <c r="H76" s="12" t="s">
        <v>571</v>
      </c>
    </row>
    <row r="77" spans="1:8" s="21" customFormat="1" x14ac:dyDescent="0.3">
      <c r="A77" s="22" t="s">
        <v>468</v>
      </c>
      <c r="B77" s="21">
        <f>(B55/1000)*B66</f>
        <v>52380</v>
      </c>
      <c r="C77" s="21" t="s">
        <v>94</v>
      </c>
      <c r="D77" s="21" t="s">
        <v>243</v>
      </c>
      <c r="F77" s="21" t="s">
        <v>91</v>
      </c>
      <c r="H77" s="22" t="s">
        <v>469</v>
      </c>
    </row>
    <row r="78" spans="1:8" x14ac:dyDescent="0.3">
      <c r="B78" s="12"/>
    </row>
    <row r="79" spans="1:8" ht="15.6" x14ac:dyDescent="0.3">
      <c r="A79" s="11" t="s">
        <v>72</v>
      </c>
      <c r="B79" s="9" t="str">
        <f>B81&amp;", "&amp;B83</f>
        <v>Tram, electric, 2040</v>
      </c>
    </row>
    <row r="80" spans="1:8" x14ac:dyDescent="0.3">
      <c r="A80" t="s">
        <v>73</v>
      </c>
      <c r="B80" t="s">
        <v>37</v>
      </c>
    </row>
    <row r="81" spans="1:2" x14ac:dyDescent="0.3">
      <c r="A81" t="s">
        <v>87</v>
      </c>
      <c r="B81" s="21" t="s">
        <v>519</v>
      </c>
    </row>
    <row r="82" spans="1:2" x14ac:dyDescent="0.3">
      <c r="A82" t="s">
        <v>88</v>
      </c>
      <c r="B82" s="12"/>
    </row>
    <row r="83" spans="1:2" x14ac:dyDescent="0.3">
      <c r="A83" t="s">
        <v>89</v>
      </c>
      <c r="B83" s="12">
        <v>2040</v>
      </c>
    </row>
    <row r="84" spans="1:2" x14ac:dyDescent="0.3">
      <c r="A84" t="s">
        <v>131</v>
      </c>
      <c r="B84" s="12" t="str">
        <f>B81&amp;" - "&amp;B83&amp;" - "&amp;B80</f>
        <v>Tram, electric - 2040 - CH</v>
      </c>
    </row>
    <row r="85" spans="1:2" x14ac:dyDescent="0.3">
      <c r="A85" t="s">
        <v>74</v>
      </c>
      <c r="B85" t="str">
        <f>B81</f>
        <v>Tram, electric</v>
      </c>
    </row>
    <row r="86" spans="1:2" x14ac:dyDescent="0.3">
      <c r="A86" t="s">
        <v>75</v>
      </c>
      <c r="B86" t="s">
        <v>76</v>
      </c>
    </row>
    <row r="87" spans="1:2" x14ac:dyDescent="0.3">
      <c r="A87" t="s">
        <v>77</v>
      </c>
      <c r="B87" t="s">
        <v>77</v>
      </c>
    </row>
    <row r="88" spans="1:2" x14ac:dyDescent="0.3">
      <c r="A88" t="s">
        <v>79</v>
      </c>
      <c r="B88" t="s">
        <v>90</v>
      </c>
    </row>
    <row r="89" spans="1:2" x14ac:dyDescent="0.3">
      <c r="A89" t="s">
        <v>132</v>
      </c>
      <c r="B89">
        <f>INDEX('vehicles specifications'!$B$3:$CK$86,MATCH(B84,'vehicles specifications'!$A$3:$A$86,0),MATCH("Lifetime [km]",'vehicles specifications'!$B$2:$CK$2,0))</f>
        <v>2800000</v>
      </c>
    </row>
    <row r="90" spans="1:2" x14ac:dyDescent="0.3">
      <c r="A90" t="s">
        <v>133</v>
      </c>
      <c r="B90">
        <f>INDEX('vehicles specifications'!$B$3:$CK$86,MATCH(B84,'vehicles specifications'!$A$3:$A$86,0),MATCH("Passengers [unit]",'vehicles specifications'!$B$2:$CK$2,0))</f>
        <v>38</v>
      </c>
    </row>
    <row r="91" spans="1:2" x14ac:dyDescent="0.3">
      <c r="A91" t="s">
        <v>134</v>
      </c>
      <c r="B91">
        <f>INDEX('vehicles specifications'!$B$3:$CK$86,MATCH(B84,'vehicles specifications'!$A$3:$A$86,0),MATCH("Servicing [unit]",'vehicles specifications'!$B$2:$CK$2,0))</f>
        <v>1.3333333333333333</v>
      </c>
    </row>
    <row r="92" spans="1:2" x14ac:dyDescent="0.3">
      <c r="A92" t="s">
        <v>135</v>
      </c>
      <c r="B92">
        <f>INDEX('vehicles specifications'!$B$3:$CK$86,MATCH(B84,'vehicles specifications'!$A$3:$A$86,0),MATCH("Energy battery replacement [unit]",'vehicles specifications'!$B$2:$CK$2,0))</f>
        <v>0</v>
      </c>
    </row>
    <row r="93" spans="1:2" x14ac:dyDescent="0.3">
      <c r="A93" t="s">
        <v>136</v>
      </c>
      <c r="B93">
        <f>INDEX('vehicles specifications'!$B$3:$CK$86,MATCH(B84,'vehicles specifications'!$A$3:$A$86,0),MATCH("Annual kilometers [km]",'vehicles specifications'!$B$2:$CK$2,0))</f>
        <v>70000</v>
      </c>
    </row>
    <row r="94" spans="1:2" x14ac:dyDescent="0.3">
      <c r="A94" t="s">
        <v>137</v>
      </c>
      <c r="B94">
        <f>INDEX('vehicles specifications'!$B$3:$CK$86,MATCH(B84,'vehicles specifications'!$A$3:$A$86,0),MATCH("Curb mass [kg]",'vehicles specifications'!$B$2:$CK$2,0))</f>
        <v>51202</v>
      </c>
    </row>
    <row r="95" spans="1:2" x14ac:dyDescent="0.3">
      <c r="A95" t="s">
        <v>138</v>
      </c>
      <c r="B95">
        <f>INDEX('vehicles specifications'!$B$3:$CK$86,MATCH(B84,'vehicles specifications'!$A$3:$A$86,0),MATCH("Power [kW]",'vehicles specifications'!$B$2:$CK$2,0))</f>
        <v>660</v>
      </c>
    </row>
    <row r="96" spans="1:2" x14ac:dyDescent="0.3">
      <c r="A96" t="s">
        <v>139</v>
      </c>
      <c r="B96">
        <f>INDEX('vehicles specifications'!$B$3:$CK$86,MATCH(B84,'vehicles specifications'!$A$3:$A$86,0),MATCH("Energy battery mass [kg]",'vehicles specifications'!$B$2:$CK$2,0))</f>
        <v>0</v>
      </c>
    </row>
    <row r="97" spans="1:8" x14ac:dyDescent="0.3">
      <c r="A97" t="s">
        <v>140</v>
      </c>
      <c r="B97">
        <f>INDEX('vehicles specifications'!$B$3:$CK$86,MATCH(B84,'vehicles specifications'!$A$3:$A$86,0),MATCH("Electric energy available [kWh]",'vehicles specifications'!$B$2:$CK$2,0))</f>
        <v>0</v>
      </c>
    </row>
    <row r="98" spans="1:8" x14ac:dyDescent="0.3">
      <c r="A98" t="s">
        <v>143</v>
      </c>
      <c r="B98">
        <f>INDEX('vehicles specifications'!$B$3:$CK$86,MATCH(B84,'vehicles specifications'!$A$3:$A$86,0),MATCH("Oxydation energy stored [kWh]",'vehicles specifications'!$B$2:$CK$2,0))</f>
        <v>0</v>
      </c>
    </row>
    <row r="99" spans="1:8" x14ac:dyDescent="0.3">
      <c r="A99" t="s">
        <v>145</v>
      </c>
      <c r="B99">
        <f>INDEX('vehicles specifications'!$B$3:$CK$86,MATCH(B84,'vehicles specifications'!$A$3:$A$86,0),MATCH("Fuel mass [kg]",'vehicles specifications'!$B$2:$CK$2,0))</f>
        <v>0</v>
      </c>
    </row>
    <row r="100" spans="1:8" x14ac:dyDescent="0.3">
      <c r="A100" t="s">
        <v>141</v>
      </c>
      <c r="B100">
        <f>INDEX('vehicles specifications'!$B$3:$CK$86,MATCH(B84,'vehicles specifications'!$A$3:$A$86,0),MATCH("Range [km]",'vehicles specifications'!$B$2:$CK$2,0))</f>
        <v>0</v>
      </c>
    </row>
    <row r="101" spans="1:8" x14ac:dyDescent="0.3">
      <c r="A101" t="s">
        <v>142</v>
      </c>
      <c r="B101" t="str">
        <f>INDEX('vehicles specifications'!$B$3:$CK$86,MATCH(B84,'vehicles specifications'!$A$3:$A$86,0),MATCH("Emission standard",'vehicles specifications'!$B$2:$CK$2,0))</f>
        <v>None</v>
      </c>
    </row>
    <row r="102" spans="1:8" x14ac:dyDescent="0.3">
      <c r="A102" t="s">
        <v>144</v>
      </c>
      <c r="B102" s="6">
        <f>INDEX('vehicles specifications'!$B$3:$CK$86,MATCH(B84,'vehicles specifications'!$A$3:$A$86,0),MATCH("Lightweighting rate [%]",'vehicles specifications'!$B$2:$CK$2,0))</f>
        <v>0.05</v>
      </c>
    </row>
    <row r="103" spans="1:8" s="21" customFormat="1" x14ac:dyDescent="0.3">
      <c r="A103" s="21" t="s">
        <v>513</v>
      </c>
      <c r="B103" s="6" t="s">
        <v>558</v>
      </c>
    </row>
    <row r="104" spans="1:8" s="21" customFormat="1" x14ac:dyDescent="0.3">
      <c r="A104" s="21" t="s">
        <v>515</v>
      </c>
      <c r="B104" s="2">
        <v>0</v>
      </c>
    </row>
    <row r="105" spans="1:8" s="21" customFormat="1" x14ac:dyDescent="0.3">
      <c r="A105" s="21" t="s">
        <v>516</v>
      </c>
      <c r="B105" s="2">
        <v>1000</v>
      </c>
    </row>
    <row r="106" spans="1:8" s="21" customFormat="1" x14ac:dyDescent="0.3">
      <c r="A106" s="21" t="s">
        <v>84</v>
      </c>
      <c r="B106" s="21" t="str">
        <f>"Power: "&amp;B95&amp;" kW. Lifetime: "&amp;B89&amp;" km. Annual kilometers: "&amp;ROUND(B93,0)&amp;" km. Number of passengers: "&amp;ROUND(B90,1)&amp;". Curb mass: "&amp;ROUND(B94,1)&amp;" kg. Lightweighting of glider: "&amp;ROUND(B102*100,0)&amp;"%. Emission standard: "&amp;B101&amp;". Service visits throughout lifetime: every year for "&amp;B89/B93&amp;" years. Range: "&amp;ROUND(B100,0)&amp;" km. Battery capacity: "&amp;ROUND(B97,1)&amp;" kWh. Battery mass: "&amp;ROUND(B96,1)&amp; " kg. Battery replacement throughout lifetime: "&amp;ROUND(B92,1)&amp;". Fuel tank capacity: "&amp;ROUND(B98,1)&amp;" kWh. Fuel mass: "&amp;ROUND(B99,1)&amp;" kg. Origin of manufacture: "&amp;B103&amp;". Shipping distance: "&amp;B104&amp;" km. Lorry distribution distance: "&amp;B105&amp;" km. Documentation: "&amp;Readmefirst!$B$2&amp;", "&amp;Readmefirst!$B$3&amp;". "&amp;B88</f>
        <v>Power: 660 kW. Lifetime: 2800000 km. Annual kilometers: 70000 km. Number of passengers: 38. Curb mass: 51202 kg. Lightweighting of glider: 5%. Emission standard: None. Service visits throughout lifetime: every year for 40 years. Range: 0 km. Battery capacity: 0 kWh. Battery mass: 0 kg. Battery replacement throughout lifetime: 0. Fuel tank capacity: 0 kWh. Fuel mass: 0 kg. Origin of manufacture: Europe. Shipping distance: 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07" spans="1:8" ht="15.6" x14ac:dyDescent="0.3">
      <c r="A107" s="11" t="s">
        <v>80</v>
      </c>
    </row>
    <row r="108" spans="1:8" x14ac:dyDescent="0.3">
      <c r="A108" t="s">
        <v>81</v>
      </c>
      <c r="B108" t="s">
        <v>82</v>
      </c>
      <c r="C108" t="s">
        <v>73</v>
      </c>
      <c r="D108" t="s">
        <v>77</v>
      </c>
      <c r="E108" t="s">
        <v>83</v>
      </c>
      <c r="F108" t="s">
        <v>75</v>
      </c>
      <c r="G108" t="s">
        <v>84</v>
      </c>
      <c r="H108" t="s">
        <v>74</v>
      </c>
    </row>
    <row r="109" spans="1:8" x14ac:dyDescent="0.3">
      <c r="A109" s="12" t="str">
        <f>B79</f>
        <v>Tram, electric, 2040</v>
      </c>
      <c r="B109" s="12">
        <v>1</v>
      </c>
      <c r="C109" s="12" t="str">
        <f>B80</f>
        <v>CH</v>
      </c>
      <c r="D109" s="12" t="str">
        <f>B87</f>
        <v>unit</v>
      </c>
      <c r="E109" s="12"/>
      <c r="F109" s="12" t="s">
        <v>85</v>
      </c>
      <c r="G109" s="12" t="s">
        <v>86</v>
      </c>
      <c r="H109" s="12" t="str">
        <f>B81</f>
        <v>Tram, electric</v>
      </c>
    </row>
    <row r="110" spans="1:8" x14ac:dyDescent="0.3">
      <c r="A110" s="12" t="str">
        <f>INDEX('ei names mapping'!$B$4:$R$33,MATCH($B$3,'ei names mapping'!$A$4:$A$33,0),MATCH(G110,'ei names mapping'!$B$3:$R$3,0))</f>
        <v>tram production</v>
      </c>
      <c r="B110" s="14">
        <f>INDEX('vehicles specifications'!$B$3:$CK$86,MATCH(B84,'vehicles specifications'!$A$3:$A$86,0),MATCH(G110,'vehicles specifications'!$B$2:$CK$2,0))*INDEX('ei names mapping'!$B$137:$BK$220,MATCH(B84,'ei names mapping'!$A$137:$A$220,0),MATCH(G110,'ei names mapping'!$B$136:$BK$136,0))</f>
        <v>2.0579268292682928</v>
      </c>
      <c r="C110" s="12" t="str">
        <f>INDEX('ei names mapping'!$B$38:$R$67,MATCH($B$3,'ei names mapping'!$A$4:$A$33,0),MATCH(G110,'ei names mapping'!$B$3:$R$3,0))</f>
        <v>RER</v>
      </c>
      <c r="D110" s="12" t="str">
        <f>INDEX('ei names mapping'!$B$104:$R$133,MATCH(B81,'ei names mapping'!$A$104:$A$133,0),MATCH(G110,'ei names mapping'!$B$3:$R$3,0))</f>
        <v>unit</v>
      </c>
      <c r="E110" s="12"/>
      <c r="F110" s="12" t="s">
        <v>91</v>
      </c>
      <c r="G110" s="21" t="s">
        <v>15</v>
      </c>
      <c r="H110" s="12" t="str">
        <f>INDEX('ei names mapping'!$B$71:$R$100,MATCH($B$3,'ei names mapping'!$A$4:$A$33,0),MATCH(G110,'ei names mapping'!$B$3:$R$3,0))</f>
        <v>tram</v>
      </c>
    </row>
    <row r="111" spans="1:8" x14ac:dyDescent="0.3">
      <c r="A111" s="12" t="str">
        <f>INDEX('ei names mapping'!$B$4:$R$33,MATCH($B$3,'ei names mapping'!$A$4:$A$33,0),MATCH(G111,'ei names mapping'!$B$3:$R$3,0))</f>
        <v>tram production</v>
      </c>
      <c r="B111" s="14">
        <f>INDEX('vehicles specifications'!$B$3:$CK$86,MATCH(B84,'vehicles specifications'!$A$3:$A$86,0),MATCH(G111,'vehicles specifications'!$B$2:$CK$2,0))*INDEX('ei names mapping'!$B$137:$BK$220,MATCH(B84,'ei names mapping'!$A$137:$A$220,0),MATCH(G111,'ei names mapping'!$B$136:$BK$136,0))</f>
        <v>0.34965701219512196</v>
      </c>
      <c r="C111" s="12" t="str">
        <f>INDEX('ei names mapping'!$B$38:$R$67,MATCH($B$3,'ei names mapping'!$A$4:$A$33,0),MATCH(G111,'ei names mapping'!$B$3:$R$3,0))</f>
        <v>RER</v>
      </c>
      <c r="D111" s="12" t="str">
        <f>INDEX('ei names mapping'!$B$104:$R$133,MATCH(B81,'ei names mapping'!$A$104:$A$133,0),MATCH(G111,'ei names mapping'!$B$3:$R$3,0))</f>
        <v>unit</v>
      </c>
      <c r="E111" s="12"/>
      <c r="F111" s="12" t="s">
        <v>91</v>
      </c>
      <c r="G111" t="s">
        <v>16</v>
      </c>
      <c r="H111" s="12" t="str">
        <f>INDEX('ei names mapping'!$B$71:$R$100,MATCH($B$3,'ei names mapping'!$A$4:$A$33,0),MATCH(G111,'ei names mapping'!$B$3:$R$3,0))</f>
        <v>tram</v>
      </c>
    </row>
    <row r="112" spans="1:8" x14ac:dyDescent="0.3">
      <c r="A112" s="12" t="str">
        <f>INDEX('ei names mapping'!$B$4:$R$33,MATCH($B$3,'ei names mapping'!$A$4:$A$33,0),MATCH(G112,'ei names mapping'!$B$3:$R$3,0))</f>
        <v>tram production</v>
      </c>
      <c r="B112" s="14">
        <f>INDEX('vehicles specifications'!$B$3:$CK$86,MATCH(B84,'vehicles specifications'!$A$3:$A$86,0),MATCH(G112,'vehicles specifications'!$B$2:$CK$2,0))*INDEX('ei names mapping'!$B$137:$BK$220,MATCH(B84,'ei names mapping'!$A$137:$A$220,0),MATCH(G112,'ei names mapping'!$B$136:$BK$136,0))</f>
        <v>0.13443216463414634</v>
      </c>
      <c r="C112" s="12" t="str">
        <f>INDEX('ei names mapping'!$B$38:$R$67,MATCH($B$3,'ei names mapping'!$A$4:$A$33,0),MATCH(G112,'ei names mapping'!$B$3:$R$3,0))</f>
        <v>RER</v>
      </c>
      <c r="D112" s="12" t="str">
        <f>INDEX('ei names mapping'!$B$104:$R$133,MATCH(B81,'ei names mapping'!$A$104:$A$133,0),MATCH(G112,'ei names mapping'!$B$3:$R$3,0))</f>
        <v>unit</v>
      </c>
      <c r="E112" s="12"/>
      <c r="F112" s="12" t="s">
        <v>91</v>
      </c>
      <c r="G112" t="s">
        <v>557</v>
      </c>
      <c r="H112" s="12" t="str">
        <f>INDEX('ei names mapping'!$B$71:$R$100,MATCH($B$3,'ei names mapping'!$A$4:$A$33,0),MATCH(G112,'ei names mapping'!$B$3:$R$3,0))</f>
        <v>tram</v>
      </c>
    </row>
    <row r="113" spans="1:8" s="21" customFormat="1" x14ac:dyDescent="0.3">
      <c r="A113" s="12" t="str">
        <f>INDEX('ei names mapping'!$B$4:$R$33,MATCH(B81,'ei names mapping'!$A$4:$A$33,0),MATCH(G113,'ei names mapping'!$B$3:$R$3,0))</f>
        <v>glider lightweighting</v>
      </c>
      <c r="B113" s="16">
        <f>INDEX('vehicles specifications'!$B$3:$CK$86,MATCH(B84,'vehicles specifications'!$A$3:$A$86,0),MATCH(G113,'vehicles specifications'!$B$2:$CK$2,0))*INDEX('ei names mapping'!$B$137:$BK$220,MATCH(B84,'ei names mapping'!$A$137:$A$220,0),MATCH(G113,'ei names mapping'!$B$136:$BK$136,0))</f>
        <v>2160</v>
      </c>
      <c r="C113" s="12" t="str">
        <f>INDEX('ei names mapping'!$B$38:$R$67,MATCH(B81,'ei names mapping'!$A$4:$A$33,0),MATCH(G113,'ei names mapping'!$B$3:$R$3,0))</f>
        <v>GLO</v>
      </c>
      <c r="D113" s="12" t="str">
        <f>INDEX('ei names mapping'!$B$104:$R$133,MATCH(B81,'ei names mapping'!$A$104:$A$133,0),MATCH(G113,'ei names mapping'!$B$3:$R$3,0))</f>
        <v>kilogram</v>
      </c>
      <c r="E113" s="12"/>
      <c r="F113" s="12" t="s">
        <v>91</v>
      </c>
      <c r="G113" s="21" t="s">
        <v>14</v>
      </c>
      <c r="H113" s="12" t="str">
        <f>INDEX('ei names mapping'!$B$71:$R$100,MATCH(B81,'ei names mapping'!$A$4:$A$33,0),MATCH(G113,'ei names mapping'!$B$3:$R$3,0))</f>
        <v>glider lightweighting</v>
      </c>
    </row>
    <row r="114" spans="1:8" x14ac:dyDescent="0.3">
      <c r="A114" s="12" t="str">
        <f>INDEX('ei names mapping'!$B$4:$R$33,MATCH($B$3,'ei names mapping'!$A$4:$A$33,0),MATCH(G114,'ei names mapping'!$B$3:$R$3,0))</f>
        <v>tram track construction</v>
      </c>
      <c r="B114" s="18">
        <f>INDEX('vehicles specifications'!$B$3:$CK$86,MATCH(B84,'vehicles specifications'!$A$3:$A$86,0),MATCH(G114,'vehicles specifications'!$B$2:$CK$2,0))*INDEX('ei names mapping'!$B$137:$BK$220,MATCH(B84,'ei names mapping'!$A$137:$A$220,0),MATCH(G114,'ei names mapping'!$B$136:$BK$136,0))</f>
        <v>4.5599999999999998E-3</v>
      </c>
      <c r="C114" s="12" t="str">
        <f>INDEX('ei names mapping'!$B$38:$R$67,MATCH($B$3,'ei names mapping'!$A$4:$A$33,0),MATCH(G114,'ei names mapping'!$B$3:$R$3,0))</f>
        <v>CH</v>
      </c>
      <c r="D114" s="12" t="str">
        <f>INDEX('ei names mapping'!$B$104:$R$133,MATCH(B81,'ei names mapping'!$A$104:$A$133,0),MATCH(G114,'ei names mapping'!$B$3:$R$3,0))</f>
        <v>meter-year</v>
      </c>
      <c r="E114" s="12"/>
      <c r="F114" s="12" t="s">
        <v>91</v>
      </c>
      <c r="G114" t="s">
        <v>108</v>
      </c>
      <c r="H114" s="12" t="str">
        <f>INDEX('ei names mapping'!$B$71:$R$100,MATCH($B$3,'ei names mapping'!$A$4:$A$33,0),MATCH(G114,'ei names mapping'!$B$3:$R$3,0))</f>
        <v>tram track</v>
      </c>
    </row>
    <row r="115" spans="1:8" s="21" customFormat="1" x14ac:dyDescent="0.3">
      <c r="A115" s="12" t="s">
        <v>572</v>
      </c>
      <c r="B115" s="18">
        <f>-1*B114</f>
        <v>-4.5599999999999998E-3</v>
      </c>
      <c r="C115" s="12" t="s">
        <v>37</v>
      </c>
      <c r="D115" s="12" t="s">
        <v>110</v>
      </c>
      <c r="E115" s="12"/>
      <c r="F115" s="12" t="s">
        <v>91</v>
      </c>
      <c r="G115" s="21" t="s">
        <v>570</v>
      </c>
      <c r="H115" s="12" t="s">
        <v>571</v>
      </c>
    </row>
    <row r="116" spans="1:8" s="21" customFormat="1" x14ac:dyDescent="0.3">
      <c r="A116" s="22" t="s">
        <v>468</v>
      </c>
      <c r="B116" s="21">
        <f>(B94/1000)*B105</f>
        <v>51202</v>
      </c>
      <c r="C116" s="21" t="s">
        <v>94</v>
      </c>
      <c r="D116" s="21" t="s">
        <v>243</v>
      </c>
      <c r="F116" s="21" t="s">
        <v>91</v>
      </c>
      <c r="H116" s="22" t="s">
        <v>469</v>
      </c>
    </row>
    <row r="118" spans="1:8" ht="15.6" x14ac:dyDescent="0.3">
      <c r="A118" s="11" t="s">
        <v>72</v>
      </c>
      <c r="B118" s="9" t="str">
        <f>B120&amp;", "&amp;B122</f>
        <v>Tram, electric, 2050</v>
      </c>
    </row>
    <row r="119" spans="1:8" x14ac:dyDescent="0.3">
      <c r="A119" t="s">
        <v>73</v>
      </c>
      <c r="B119" t="s">
        <v>37</v>
      </c>
    </row>
    <row r="120" spans="1:8" x14ac:dyDescent="0.3">
      <c r="A120" t="s">
        <v>87</v>
      </c>
      <c r="B120" s="21" t="s">
        <v>519</v>
      </c>
    </row>
    <row r="121" spans="1:8" x14ac:dyDescent="0.3">
      <c r="A121" t="s">
        <v>88</v>
      </c>
      <c r="B121" s="12"/>
    </row>
    <row r="122" spans="1:8" x14ac:dyDescent="0.3">
      <c r="A122" t="s">
        <v>89</v>
      </c>
      <c r="B122" s="12">
        <v>2050</v>
      </c>
    </row>
    <row r="123" spans="1:8" x14ac:dyDescent="0.3">
      <c r="A123" t="s">
        <v>131</v>
      </c>
      <c r="B123" s="12" t="str">
        <f>B120&amp;" - "&amp;B122&amp;" - "&amp;B119</f>
        <v>Tram, electric - 2050 - CH</v>
      </c>
    </row>
    <row r="124" spans="1:8" x14ac:dyDescent="0.3">
      <c r="A124" t="s">
        <v>74</v>
      </c>
      <c r="B124" t="str">
        <f>B120</f>
        <v>Tram, electric</v>
      </c>
    </row>
    <row r="125" spans="1:8" x14ac:dyDescent="0.3">
      <c r="A125" t="s">
        <v>75</v>
      </c>
      <c r="B125" t="s">
        <v>76</v>
      </c>
    </row>
    <row r="126" spans="1:8" x14ac:dyDescent="0.3">
      <c r="A126" t="s">
        <v>77</v>
      </c>
      <c r="B126" t="s">
        <v>77</v>
      </c>
    </row>
    <row r="127" spans="1:8" x14ac:dyDescent="0.3">
      <c r="A127" t="s">
        <v>79</v>
      </c>
      <c r="B127" t="s">
        <v>90</v>
      </c>
    </row>
    <row r="128" spans="1:8" x14ac:dyDescent="0.3">
      <c r="A128" t="s">
        <v>132</v>
      </c>
      <c r="B128">
        <f>INDEX('vehicles specifications'!$B$3:$CK$86,MATCH(B123,'vehicles specifications'!$A$3:$A$86,0),MATCH("Lifetime [km]",'vehicles specifications'!$B$2:$CK$2,0))</f>
        <v>2800000</v>
      </c>
    </row>
    <row r="129" spans="1:2" x14ac:dyDescent="0.3">
      <c r="A129" t="s">
        <v>133</v>
      </c>
      <c r="B129">
        <f>INDEX('vehicles specifications'!$B$3:$CK$86,MATCH(B123,'vehicles specifications'!$A$3:$A$86,0),MATCH("Passengers [unit]",'vehicles specifications'!$B$2:$CK$2,0))</f>
        <v>38</v>
      </c>
    </row>
    <row r="130" spans="1:2" x14ac:dyDescent="0.3">
      <c r="A130" t="s">
        <v>134</v>
      </c>
      <c r="B130">
        <f>INDEX('vehicles specifications'!$B$3:$CK$86,MATCH(B123,'vehicles specifications'!$A$3:$A$86,0),MATCH("Servicing [unit]",'vehicles specifications'!$B$2:$CK$2,0))</f>
        <v>1.3333333333333333</v>
      </c>
    </row>
    <row r="131" spans="1:2" x14ac:dyDescent="0.3">
      <c r="A131" t="s">
        <v>135</v>
      </c>
      <c r="B131">
        <f>INDEX('vehicles specifications'!$B$3:$CK$86,MATCH(B123,'vehicles specifications'!$A$3:$A$86,0),MATCH("Energy battery replacement [unit]",'vehicles specifications'!$B$2:$CK$2,0))</f>
        <v>0</v>
      </c>
    </row>
    <row r="132" spans="1:2" x14ac:dyDescent="0.3">
      <c r="A132" t="s">
        <v>136</v>
      </c>
      <c r="B132">
        <f>INDEX('vehicles specifications'!$B$3:$CK$86,MATCH(B123,'vehicles specifications'!$A$3:$A$86,0),MATCH("Annual kilometers [km]",'vehicles specifications'!$B$2:$CK$2,0))</f>
        <v>70000</v>
      </c>
    </row>
    <row r="133" spans="1:2" x14ac:dyDescent="0.3">
      <c r="A133" t="s">
        <v>137</v>
      </c>
      <c r="B133">
        <f>INDEX('vehicles specifications'!$B$3:$CK$86,MATCH(B123,'vehicles specifications'!$A$3:$A$86,0),MATCH("Curb mass [kg]",'vehicles specifications'!$B$2:$CK$2,0))</f>
        <v>50033</v>
      </c>
    </row>
    <row r="134" spans="1:2" x14ac:dyDescent="0.3">
      <c r="A134" t="s">
        <v>138</v>
      </c>
      <c r="B134">
        <f>INDEX('vehicles specifications'!$B$3:$CK$86,MATCH(B123,'vehicles specifications'!$A$3:$A$86,0),MATCH("Power [kW]",'vehicles specifications'!$B$2:$CK$2,0))</f>
        <v>660</v>
      </c>
    </row>
    <row r="135" spans="1:2" x14ac:dyDescent="0.3">
      <c r="A135" t="s">
        <v>139</v>
      </c>
      <c r="B135">
        <f>INDEX('vehicles specifications'!$B$3:$CK$86,MATCH(B123,'vehicles specifications'!$A$3:$A$86,0),MATCH("Energy battery mass [kg]",'vehicles specifications'!$B$2:$CK$2,0))</f>
        <v>0</v>
      </c>
    </row>
    <row r="136" spans="1:2" x14ac:dyDescent="0.3">
      <c r="A136" t="s">
        <v>140</v>
      </c>
      <c r="B136">
        <f>INDEX('vehicles specifications'!$B$3:$CK$86,MATCH(B123,'vehicles specifications'!$A$3:$A$86,0),MATCH("Electric energy available [kWh]",'vehicles specifications'!$B$2:$CK$2,0))</f>
        <v>0</v>
      </c>
    </row>
    <row r="137" spans="1:2" x14ac:dyDescent="0.3">
      <c r="A137" t="s">
        <v>143</v>
      </c>
      <c r="B137">
        <f>INDEX('vehicles specifications'!$B$3:$CK$86,MATCH(B123,'vehicles specifications'!$A$3:$A$86,0),MATCH("Oxydation energy stored [kWh]",'vehicles specifications'!$B$2:$CK$2,0))</f>
        <v>0</v>
      </c>
    </row>
    <row r="138" spans="1:2" x14ac:dyDescent="0.3">
      <c r="A138" t="s">
        <v>145</v>
      </c>
      <c r="B138">
        <f>INDEX('vehicles specifications'!$B$3:$CK$86,MATCH(B123,'vehicles specifications'!$A$3:$A$86,0),MATCH("Fuel mass [kg]",'vehicles specifications'!$B$2:$CK$2,0))</f>
        <v>0</v>
      </c>
    </row>
    <row r="139" spans="1:2" x14ac:dyDescent="0.3">
      <c r="A139" t="s">
        <v>141</v>
      </c>
      <c r="B139">
        <f>INDEX('vehicles specifications'!$B$3:$CK$86,MATCH(B123,'vehicles specifications'!$A$3:$A$86,0),MATCH("Range [km]",'vehicles specifications'!$B$2:$CK$2,0))</f>
        <v>0</v>
      </c>
    </row>
    <row r="140" spans="1:2" x14ac:dyDescent="0.3">
      <c r="A140" t="s">
        <v>142</v>
      </c>
      <c r="B140" t="str">
        <f>INDEX('vehicles specifications'!$B$3:$CK$86,MATCH(B123,'vehicles specifications'!$A$3:$A$86,0),MATCH("Emission standard",'vehicles specifications'!$B$2:$CK$2,0))</f>
        <v>None</v>
      </c>
    </row>
    <row r="141" spans="1:2" x14ac:dyDescent="0.3">
      <c r="A141" t="s">
        <v>144</v>
      </c>
      <c r="B141" s="6">
        <f>INDEX('vehicles specifications'!$B$3:$CK$86,MATCH(B123,'vehicles specifications'!$A$3:$A$86,0),MATCH("Lightweighting rate [%]",'vehicles specifications'!$B$2:$CK$2,0))</f>
        <v>7.0000000000000007E-2</v>
      </c>
    </row>
    <row r="142" spans="1:2" s="21" customFormat="1" x14ac:dyDescent="0.3">
      <c r="A142" s="21" t="s">
        <v>513</v>
      </c>
      <c r="B142" s="6" t="s">
        <v>558</v>
      </c>
    </row>
    <row r="143" spans="1:2" s="21" customFormat="1" x14ac:dyDescent="0.3">
      <c r="A143" s="21" t="s">
        <v>515</v>
      </c>
      <c r="B143" s="2">
        <v>0</v>
      </c>
    </row>
    <row r="144" spans="1:2" s="21" customFormat="1" x14ac:dyDescent="0.3">
      <c r="A144" s="21" t="s">
        <v>516</v>
      </c>
      <c r="B144" s="2">
        <v>1000</v>
      </c>
    </row>
    <row r="145" spans="1:8" s="21" customFormat="1" x14ac:dyDescent="0.3">
      <c r="A145" s="21" t="s">
        <v>84</v>
      </c>
      <c r="B145" s="21" t="str">
        <f>"Power: "&amp;B134&amp;" kW. Lifetime: "&amp;B128&amp;" km. Annual kilometers: "&amp;ROUND(B132,0)&amp;" km. Number of passengers: "&amp;ROUND(B129,1)&amp;". Curb mass: "&amp;ROUND(B133,1)&amp;" kg. Lightweighting of glider: "&amp;ROUND(B141*100,0)&amp;"%. Emission standard: "&amp;B140&amp;". Service visits throughout lifetime: every year for "&amp;B128/B132&amp;" years. Range: "&amp;ROUND(B139,0)&amp;" km. Battery capacity: "&amp;ROUND(B136,1)&amp;" kWh. Battery mass: "&amp;ROUND(B135,1)&amp; " kg. Battery replacement throughout lifetime: "&amp;ROUND(B131,1)&amp;". Fuel tank capacity: "&amp;ROUND(B137,1)&amp;" kWh. Fuel mass: "&amp;ROUND(B138,1)&amp;" kg. Origin of manufacture: "&amp;B142&amp;". Shipping distance: "&amp;B143&amp;" km. Lorry distribution distance: "&amp;B144&amp;" km. Documentation: "&amp;Readmefirst!$B$2&amp;", "&amp;Readmefirst!$B$3&amp;". "&amp;B127</f>
        <v>Power: 660 kW. Lifetime: 2800000 km. Annual kilometers: 70000 km. Number of passengers: 38. Curb mass: 50033 kg. Lightweighting of glider: 7%. Emission standard: None. Service visits throughout lifetime: every year for 40 years. Range: 0 km. Battery capacity: 0 kWh. Battery mass: 0 kg. Battery replacement throughout lifetime: 0. Fuel tank capacity: 0 kWh. Fuel mass: 0 kg. Origin of manufacture: Europe. Shipping distance: 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46" spans="1:8" ht="15.6" x14ac:dyDescent="0.3">
      <c r="A146" s="11" t="s">
        <v>80</v>
      </c>
    </row>
    <row r="147" spans="1:8" x14ac:dyDescent="0.3">
      <c r="A147" t="s">
        <v>81</v>
      </c>
      <c r="B147" t="s">
        <v>82</v>
      </c>
      <c r="C147" t="s">
        <v>73</v>
      </c>
      <c r="D147" t="s">
        <v>77</v>
      </c>
      <c r="E147" t="s">
        <v>83</v>
      </c>
      <c r="F147" t="s">
        <v>75</v>
      </c>
      <c r="G147" t="s">
        <v>84</v>
      </c>
      <c r="H147" t="s">
        <v>74</v>
      </c>
    </row>
    <row r="148" spans="1:8" x14ac:dyDescent="0.3">
      <c r="A148" s="12" t="str">
        <f>B118</f>
        <v>Tram, electric, 2050</v>
      </c>
      <c r="B148" s="12">
        <v>1</v>
      </c>
      <c r="C148" s="12" t="str">
        <f>B119</f>
        <v>CH</v>
      </c>
      <c r="D148" s="12" t="str">
        <f>B126</f>
        <v>unit</v>
      </c>
      <c r="E148" s="12"/>
      <c r="F148" s="12" t="s">
        <v>85</v>
      </c>
      <c r="G148" s="12" t="s">
        <v>86</v>
      </c>
      <c r="H148" s="12" t="str">
        <f>B120</f>
        <v>Tram, electric</v>
      </c>
    </row>
    <row r="149" spans="1:8" x14ac:dyDescent="0.3">
      <c r="A149" s="12" t="str">
        <f>INDEX('ei names mapping'!$B$4:$R$33,MATCH($B$3,'ei names mapping'!$A$4:$A$33,0),MATCH(G149,'ei names mapping'!$B$3:$R$3,0))</f>
        <v>tram production</v>
      </c>
      <c r="B149" s="23">
        <f>INDEX('vehicles specifications'!$B$3:$CK$86,MATCH(B123,'vehicles specifications'!$A$3:$A$86,0),MATCH(G149,'vehicles specifications'!$B$2:$CK$2,0))*INDEX('ei names mapping'!$B$137:$BK$220,MATCH(B123,'ei names mapping'!$A$137:$A$220,0),MATCH(G149,'ei names mapping'!$B$136:$BK$136,0))</f>
        <v>2.0579268292682928</v>
      </c>
      <c r="C149" s="12" t="str">
        <f>INDEX('ei names mapping'!$B$38:$R$67,MATCH($B$3,'ei names mapping'!$A$4:$A$33,0),MATCH(G149,'ei names mapping'!$B$3:$R$3,0))</f>
        <v>RER</v>
      </c>
      <c r="D149" s="12" t="str">
        <f>INDEX('ei names mapping'!$B$104:$R$133,MATCH(B120,'ei names mapping'!$A$104:$A$133,0),MATCH(G149,'ei names mapping'!$B$3:$R$3,0))</f>
        <v>unit</v>
      </c>
      <c r="E149" s="12"/>
      <c r="F149" s="12" t="s">
        <v>91</v>
      </c>
      <c r="G149" s="21" t="s">
        <v>15</v>
      </c>
      <c r="H149" s="12" t="str">
        <f>INDEX('ei names mapping'!$B$71:$R$100,MATCH($B$3,'ei names mapping'!$A$4:$A$33,0),MATCH(G149,'ei names mapping'!$B$3:$R$3,0))</f>
        <v>tram</v>
      </c>
    </row>
    <row r="150" spans="1:8" x14ac:dyDescent="0.3">
      <c r="A150" s="12" t="str">
        <f>INDEX('ei names mapping'!$B$4:$R$33,MATCH($B$3,'ei names mapping'!$A$4:$A$33,0),MATCH(G150,'ei names mapping'!$B$3:$R$3,0))</f>
        <v>tram production</v>
      </c>
      <c r="B150" s="23">
        <f>INDEX('vehicles specifications'!$B$3:$CK$86,MATCH(B123,'vehicles specifications'!$A$3:$A$86,0),MATCH(G150,'vehicles specifications'!$B$2:$CK$2,0))*INDEX('ei names mapping'!$B$137:$BK$220,MATCH(B123,'ei names mapping'!$A$137:$A$220,0),MATCH(G150,'ei names mapping'!$B$136:$BK$136,0))</f>
        <v>0.33912919207317077</v>
      </c>
      <c r="C150" s="12" t="str">
        <f>INDEX('ei names mapping'!$B$38:$R$67,MATCH($B$3,'ei names mapping'!$A$4:$A$33,0),MATCH(G150,'ei names mapping'!$B$3:$R$3,0))</f>
        <v>RER</v>
      </c>
      <c r="D150" s="12" t="str">
        <f>INDEX('ei names mapping'!$B$104:$R$133,MATCH(B120,'ei names mapping'!$A$104:$A$133,0),MATCH(G150,'ei names mapping'!$B$3:$R$3,0))</f>
        <v>unit</v>
      </c>
      <c r="E150" s="12"/>
      <c r="F150" s="12" t="s">
        <v>91</v>
      </c>
      <c r="G150" t="s">
        <v>16</v>
      </c>
      <c r="H150" s="12" t="str">
        <f>INDEX('ei names mapping'!$B$71:$R$100,MATCH($B$3,'ei names mapping'!$A$4:$A$33,0),MATCH(G150,'ei names mapping'!$B$3:$R$3,0))</f>
        <v>tram</v>
      </c>
    </row>
    <row r="151" spans="1:8" x14ac:dyDescent="0.3">
      <c r="A151" s="12" t="str">
        <f>INDEX('ei names mapping'!$B$4:$R$33,MATCH($B$3,'ei names mapping'!$A$4:$A$33,0),MATCH(G151,'ei names mapping'!$B$3:$R$3,0))</f>
        <v>tram production</v>
      </c>
      <c r="B151" s="23">
        <f>INDEX('vehicles specifications'!$B$3:$CK$86,MATCH(B123,'vehicles specifications'!$A$3:$A$86,0),MATCH(G151,'vehicles specifications'!$B$2:$CK$2,0))*INDEX('ei names mapping'!$B$137:$BK$220,MATCH(B123,'ei names mapping'!$A$137:$A$220,0),MATCH(G151,'ei names mapping'!$B$136:$BK$136,0))</f>
        <v>0.13043064024390244</v>
      </c>
      <c r="C151" s="12" t="str">
        <f>INDEX('ei names mapping'!$B$38:$R$67,MATCH($B$3,'ei names mapping'!$A$4:$A$33,0),MATCH(G151,'ei names mapping'!$B$3:$R$3,0))</f>
        <v>RER</v>
      </c>
      <c r="D151" s="12" t="str">
        <f>INDEX('ei names mapping'!$B$104:$R$133,MATCH(B120,'ei names mapping'!$A$104:$A$133,0),MATCH(G151,'ei names mapping'!$B$3:$R$3,0))</f>
        <v>unit</v>
      </c>
      <c r="E151" s="12"/>
      <c r="F151" s="12" t="s">
        <v>91</v>
      </c>
      <c r="G151" t="s">
        <v>557</v>
      </c>
      <c r="H151" s="12" t="str">
        <f>INDEX('ei names mapping'!$B$71:$R$100,MATCH($B$3,'ei names mapping'!$A$4:$A$33,0),MATCH(G151,'ei names mapping'!$B$3:$R$3,0))</f>
        <v>tram</v>
      </c>
    </row>
    <row r="152" spans="1:8" s="21" customFormat="1" x14ac:dyDescent="0.3">
      <c r="A152" s="12" t="str">
        <f>INDEX('ei names mapping'!$B$4:$R$33,MATCH(B120,'ei names mapping'!$A$4:$A$33,0),MATCH(G152,'ei names mapping'!$B$3:$R$3,0))</f>
        <v>glider lightweighting</v>
      </c>
      <c r="B152" s="23">
        <f>INDEX('vehicles specifications'!$B$3:$CK$86,MATCH(B123,'vehicles specifications'!$A$3:$A$86,0),MATCH(G152,'vehicles specifications'!$B$2:$CK$2,0))*INDEX('ei names mapping'!$B$137:$BK$220,MATCH(B123,'ei names mapping'!$A$137:$A$220,0),MATCH(G152,'ei names mapping'!$B$136:$BK$136,0))</f>
        <v>3024.0000000000005</v>
      </c>
      <c r="C152" s="12" t="str">
        <f>INDEX('ei names mapping'!$B$38:$R$67,MATCH(B120,'ei names mapping'!$A$4:$A$33,0),MATCH(G152,'ei names mapping'!$B$3:$R$3,0))</f>
        <v>GLO</v>
      </c>
      <c r="D152" s="12" t="str">
        <f>INDEX('ei names mapping'!$B$104:$R$133,MATCH(B120,'ei names mapping'!$A$104:$A$133,0),MATCH(G152,'ei names mapping'!$B$3:$R$3,0))</f>
        <v>kilogram</v>
      </c>
      <c r="E152" s="12"/>
      <c r="F152" s="12" t="s">
        <v>91</v>
      </c>
      <c r="G152" s="21" t="s">
        <v>14</v>
      </c>
      <c r="H152" s="12" t="str">
        <f>INDEX('ei names mapping'!$B$71:$R$100,MATCH(B120,'ei names mapping'!$A$4:$A$33,0),MATCH(G152,'ei names mapping'!$B$3:$R$3,0))</f>
        <v>glider lightweighting</v>
      </c>
    </row>
    <row r="153" spans="1:8" x14ac:dyDescent="0.3">
      <c r="A153" s="12" t="str">
        <f>INDEX('ei names mapping'!$B$4:$R$33,MATCH($B$3,'ei names mapping'!$A$4:$A$33,0),MATCH(G153,'ei names mapping'!$B$3:$R$3,0))</f>
        <v>tram track construction</v>
      </c>
      <c r="B153" s="23">
        <f>INDEX('vehicles specifications'!$B$3:$CK$86,MATCH(B123,'vehicles specifications'!$A$3:$A$86,0),MATCH(G153,'vehicles specifications'!$B$2:$CK$2,0))*INDEX('ei names mapping'!$B$137:$BK$220,MATCH(B123,'ei names mapping'!$A$137:$A$220,0),MATCH(G153,'ei names mapping'!$B$136:$BK$136,0))</f>
        <v>4.5599999999999998E-3</v>
      </c>
      <c r="C153" s="12" t="str">
        <f>INDEX('ei names mapping'!$B$38:$R$67,MATCH($B$3,'ei names mapping'!$A$4:$A$33,0),MATCH(G153,'ei names mapping'!$B$3:$R$3,0))</f>
        <v>CH</v>
      </c>
      <c r="D153" s="12" t="str">
        <f>INDEX('ei names mapping'!$B$104:$R$133,MATCH(B120,'ei names mapping'!$A$104:$A$133,0),MATCH(G153,'ei names mapping'!$B$3:$R$3,0))</f>
        <v>meter-year</v>
      </c>
      <c r="E153" s="12"/>
      <c r="F153" s="12" t="s">
        <v>91</v>
      </c>
      <c r="G153" t="s">
        <v>108</v>
      </c>
      <c r="H153" s="12" t="str">
        <f>INDEX('ei names mapping'!$B$71:$R$100,MATCH($B$3,'ei names mapping'!$A$4:$A$33,0),MATCH(G153,'ei names mapping'!$B$3:$R$3,0))</f>
        <v>tram track</v>
      </c>
    </row>
    <row r="154" spans="1:8" s="21" customFormat="1" x14ac:dyDescent="0.3">
      <c r="A154" s="12" t="s">
        <v>572</v>
      </c>
      <c r="B154" s="23">
        <f>-1*B153</f>
        <v>-4.5599999999999998E-3</v>
      </c>
      <c r="C154" s="12" t="s">
        <v>37</v>
      </c>
      <c r="D154" s="12" t="s">
        <v>110</v>
      </c>
      <c r="E154" s="12"/>
      <c r="F154" s="12" t="s">
        <v>91</v>
      </c>
      <c r="G154" s="21" t="s">
        <v>570</v>
      </c>
      <c r="H154" s="12" t="s">
        <v>571</v>
      </c>
    </row>
    <row r="155" spans="1:8" s="21" customFormat="1" x14ac:dyDescent="0.3">
      <c r="A155" s="22" t="s">
        <v>468</v>
      </c>
      <c r="B155" s="3">
        <f>(B133/1000)*B144</f>
        <v>50033</v>
      </c>
      <c r="C155" s="21" t="s">
        <v>94</v>
      </c>
      <c r="D155" s="21" t="s">
        <v>243</v>
      </c>
      <c r="F155" s="21" t="s">
        <v>91</v>
      </c>
      <c r="H155" s="22" t="s">
        <v>469</v>
      </c>
    </row>
    <row r="157" spans="1:8" ht="15.6" x14ac:dyDescent="0.3">
      <c r="A157" s="11" t="s">
        <v>72</v>
      </c>
      <c r="B157" s="9" t="str">
        <f>"transport, "&amp;B159&amp;", "&amp;B161</f>
        <v>transport, Tram, electric, 2020</v>
      </c>
    </row>
    <row r="158" spans="1:8" x14ac:dyDescent="0.3">
      <c r="A158" t="s">
        <v>73</v>
      </c>
      <c r="B158" t="s">
        <v>37</v>
      </c>
    </row>
    <row r="159" spans="1:8" x14ac:dyDescent="0.3">
      <c r="A159" t="s">
        <v>87</v>
      </c>
      <c r="B159" t="s">
        <v>519</v>
      </c>
    </row>
    <row r="160" spans="1:8" x14ac:dyDescent="0.3">
      <c r="A160" t="s">
        <v>88</v>
      </c>
      <c r="B160" s="12"/>
    </row>
    <row r="161" spans="1:2" x14ac:dyDescent="0.3">
      <c r="A161" t="s">
        <v>89</v>
      </c>
      <c r="B161" s="12">
        <v>2020</v>
      </c>
    </row>
    <row r="162" spans="1:2" x14ac:dyDescent="0.3">
      <c r="A162" t="s">
        <v>131</v>
      </c>
      <c r="B162" s="12" t="str">
        <f>B159&amp;" - "&amp;B161&amp;" - "&amp;B158</f>
        <v>Tram, electric - 2020 - CH</v>
      </c>
    </row>
    <row r="163" spans="1:2" x14ac:dyDescent="0.3">
      <c r="A163" t="s">
        <v>74</v>
      </c>
      <c r="B163" t="str">
        <f>"transport, "&amp;B159</f>
        <v>transport, Tram, electric</v>
      </c>
    </row>
    <row r="164" spans="1:2" x14ac:dyDescent="0.3">
      <c r="A164" t="s">
        <v>75</v>
      </c>
      <c r="B164" t="s">
        <v>76</v>
      </c>
    </row>
    <row r="165" spans="1:2" x14ac:dyDescent="0.3">
      <c r="A165" t="s">
        <v>77</v>
      </c>
      <c r="B165" t="s">
        <v>175</v>
      </c>
    </row>
    <row r="166" spans="1:2" x14ac:dyDescent="0.3">
      <c r="A166" t="s">
        <v>79</v>
      </c>
      <c r="B166" t="s">
        <v>90</v>
      </c>
    </row>
    <row r="167" spans="1:2" x14ac:dyDescent="0.3">
      <c r="A167" t="s">
        <v>132</v>
      </c>
      <c r="B167">
        <f>INDEX('vehicles specifications'!$B$3:$CK$86,MATCH(B162,'vehicles specifications'!$A$3:$A$86,0),MATCH("Lifetime [km]",'vehicles specifications'!$B$2:$CK$2,0))</f>
        <v>2800000</v>
      </c>
    </row>
    <row r="168" spans="1:2" x14ac:dyDescent="0.3">
      <c r="A168" t="s">
        <v>133</v>
      </c>
      <c r="B168">
        <f>INDEX('vehicles specifications'!$B$3:$CK$86,MATCH(B162,'vehicles specifications'!$A$3:$A$86,0),MATCH("Passengers [unit]",'vehicles specifications'!$B$2:$CK$2,0))</f>
        <v>38</v>
      </c>
    </row>
    <row r="169" spans="1:2" x14ac:dyDescent="0.3">
      <c r="A169" t="s">
        <v>134</v>
      </c>
      <c r="B169">
        <f>INDEX('vehicles specifications'!$B$3:$CK$86,MATCH(B162,'vehicles specifications'!$A$3:$A$86,0),MATCH("Servicing [unit]",'vehicles specifications'!$B$2:$CK$2,0))</f>
        <v>1.3333333333333333</v>
      </c>
    </row>
    <row r="170" spans="1:2" x14ac:dyDescent="0.3">
      <c r="A170" t="s">
        <v>135</v>
      </c>
      <c r="B170">
        <f>INDEX('vehicles specifications'!$B$3:$CK$86,MATCH(B162,'vehicles specifications'!$A$3:$A$86,0),MATCH("Energy battery replacement [unit]",'vehicles specifications'!$B$2:$CK$2,0))</f>
        <v>0</v>
      </c>
    </row>
    <row r="171" spans="1:2" x14ac:dyDescent="0.3">
      <c r="A171" t="s">
        <v>136</v>
      </c>
      <c r="B171">
        <f>INDEX('vehicles specifications'!$B$3:$CK$86,MATCH(B162,'vehicles specifications'!$A$3:$A$86,0),MATCH("Annual kilometers [km]",'vehicles specifications'!$B$2:$CK$2,0))</f>
        <v>70000</v>
      </c>
    </row>
    <row r="172" spans="1:2" x14ac:dyDescent="0.3">
      <c r="A172" t="s">
        <v>137</v>
      </c>
      <c r="B172">
        <f>INDEX('vehicles specifications'!$B$3:$CK$86,MATCH(B162,'vehicles specifications'!$A$3:$A$86,0),MATCH("Curb mass [kg]",'vehicles specifications'!$B$2:$CK$2,0))</f>
        <v>54000</v>
      </c>
    </row>
    <row r="173" spans="1:2" x14ac:dyDescent="0.3">
      <c r="A173" t="s">
        <v>138</v>
      </c>
      <c r="B173">
        <f>INDEX('vehicles specifications'!$B$3:$CK$86,MATCH(B162,'vehicles specifications'!$A$3:$A$86,0),MATCH("Power [kW]",'vehicles specifications'!$B$2:$CK$2,0))</f>
        <v>660</v>
      </c>
    </row>
    <row r="174" spans="1:2" x14ac:dyDescent="0.3">
      <c r="A174" t="s">
        <v>139</v>
      </c>
      <c r="B174">
        <f>INDEX('vehicles specifications'!$B$3:$CK$86,MATCH(B162,'vehicles specifications'!$A$3:$A$86,0),MATCH("Energy battery mass [kg]",'vehicles specifications'!$B$2:$CK$2,0))</f>
        <v>0</v>
      </c>
    </row>
    <row r="175" spans="1:2" x14ac:dyDescent="0.3">
      <c r="A175" t="s">
        <v>140</v>
      </c>
      <c r="B175">
        <f>INDEX('vehicles specifications'!$B$3:$CK$86,MATCH(B162,'vehicles specifications'!$A$3:$A$86,0),MATCH("Electric energy available [kWh]",'vehicles specifications'!$B$2:$CK$2,0))</f>
        <v>0</v>
      </c>
    </row>
    <row r="176" spans="1:2" x14ac:dyDescent="0.3">
      <c r="A176" t="s">
        <v>143</v>
      </c>
      <c r="B176">
        <f>INDEX('vehicles specifications'!$B$3:$CK$86,MATCH(B162,'vehicles specifications'!$A$3:$A$86,0),MATCH("Oxydation energy stored [kWh]",'vehicles specifications'!$B$2:$CK$2,0))</f>
        <v>0</v>
      </c>
    </row>
    <row r="177" spans="1:12" x14ac:dyDescent="0.3">
      <c r="A177" t="s">
        <v>145</v>
      </c>
      <c r="B177">
        <f>INDEX('vehicles specifications'!$B$3:$CK$86,MATCH(B162,'vehicles specifications'!$A$3:$A$86,0),MATCH("Fuel mass [kg]",'vehicles specifications'!$B$2:$CK$2,0))</f>
        <v>0</v>
      </c>
    </row>
    <row r="178" spans="1:12" x14ac:dyDescent="0.3">
      <c r="A178" t="s">
        <v>141</v>
      </c>
      <c r="B178">
        <f>INDEX('vehicles specifications'!$B$3:$CK$86,MATCH(B162,'vehicles specifications'!$A$3:$A$86,0),MATCH("Range [km]",'vehicles specifications'!$B$2:$CK$2,0))</f>
        <v>0</v>
      </c>
    </row>
    <row r="179" spans="1:12" x14ac:dyDescent="0.3">
      <c r="A179" t="s">
        <v>142</v>
      </c>
      <c r="B179" t="str">
        <f>INDEX('vehicles specifications'!$B$3:$CK$86,MATCH(B162,'vehicles specifications'!$A$3:$A$86,0),MATCH("Emission standard",'vehicles specifications'!$B$2:$CK$2,0))</f>
        <v>None</v>
      </c>
    </row>
    <row r="180" spans="1:12" x14ac:dyDescent="0.3">
      <c r="A180" t="s">
        <v>144</v>
      </c>
      <c r="B180" s="6">
        <f>INDEX('vehicles specifications'!$B$3:$CK$86,MATCH(B162,'vehicles specifications'!$A$3:$A$86,0),MATCH("Lightweighting rate [%]",'vehicles specifications'!$B$2:$CK$2,0))</f>
        <v>0</v>
      </c>
    </row>
    <row r="181" spans="1:12" x14ac:dyDescent="0.3">
      <c r="A181" t="s">
        <v>84</v>
      </c>
      <c r="B181" s="21" t="str">
        <f>"Power: "&amp;B173&amp;" kW. Lifetime: "&amp;B167&amp;" km. Annual kilometers: "&amp;B171&amp;" km. Number of passengers: "&amp;B168&amp;". Curb mass: "&amp;ROUND(B172,1)&amp;" kg. Lightweighting of glider: "&amp;ROUND(B180*100,0)&amp;"%. Emission standard: "&amp;B179&amp;". Service visits throughout lifetime: every year for "&amp;B167/B171&amp;" years. Range: "&amp;ROUND(B178,0)&amp;" km. Battery capacity: "&amp;ROUND(B175,1)&amp;" kWh. Battery mass: "&amp;ROUND(B174,1)&amp; " kg. Battery replacement throughout lifetime: "&amp;ROUND(B170,1)&amp;". Fuel tank capacity: "&amp;ROUND(B176,1)&amp;" kWh. Fuel mass: "&amp;ROUND(B177,1)&amp;" kg. Documentation: "&amp;Readmefirst!$B$2&amp;", "&amp;Readmefirst!$B$3&amp;". "&amp;B166</f>
        <v>Power: 660 kW. Lifetime: 2800000 km. Annual kilometers: 70000 km. Number of passengers: 38. Curb mass: 54000 kg. Lightweighting of glider: 0%.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82" spans="1:12" ht="15.6" x14ac:dyDescent="0.3">
      <c r="A182" s="11" t="s">
        <v>80</v>
      </c>
    </row>
    <row r="183" spans="1:12" x14ac:dyDescent="0.3">
      <c r="A183" t="s">
        <v>81</v>
      </c>
      <c r="B183" t="s">
        <v>82</v>
      </c>
      <c r="C183" t="s">
        <v>73</v>
      </c>
      <c r="D183" t="s">
        <v>77</v>
      </c>
      <c r="E183" t="s">
        <v>83</v>
      </c>
      <c r="F183" t="s">
        <v>75</v>
      </c>
      <c r="G183" t="s">
        <v>84</v>
      </c>
      <c r="H183" t="s">
        <v>74</v>
      </c>
    </row>
    <row r="184" spans="1:12" x14ac:dyDescent="0.3">
      <c r="A184" s="12" t="str">
        <f>B157</f>
        <v>transport, Tram, electric, 2020</v>
      </c>
      <c r="B184" s="12">
        <v>1</v>
      </c>
      <c r="C184" s="12" t="str">
        <f>B158</f>
        <v>CH</v>
      </c>
      <c r="D184" s="12" t="str">
        <f>B165</f>
        <v>person-kilometer</v>
      </c>
      <c r="E184" s="12"/>
      <c r="F184" s="12" t="s">
        <v>85</v>
      </c>
      <c r="G184" s="12" t="s">
        <v>86</v>
      </c>
      <c r="H184" s="12" t="str">
        <f>B163</f>
        <v>transport, Tram, electric</v>
      </c>
    </row>
    <row r="185" spans="1:12" x14ac:dyDescent="0.3">
      <c r="A185" s="12" t="str">
        <f>RIGHT(A184,LEN(A184)-11)</f>
        <v>Tram, electric, 2020</v>
      </c>
      <c r="B185" s="12">
        <f>1/B167/B168</f>
        <v>9.3984962406015038E-9</v>
      </c>
      <c r="C185" s="12" t="str">
        <f>B158</f>
        <v>CH</v>
      </c>
      <c r="D185" s="12" t="s">
        <v>77</v>
      </c>
      <c r="E185" s="12"/>
      <c r="F185" s="12" t="s">
        <v>91</v>
      </c>
      <c r="G185" s="12"/>
      <c r="H185" s="12" t="str">
        <f>RIGHT(H184,LEN(H184)-11)</f>
        <v>Tram, electric</v>
      </c>
    </row>
    <row r="186" spans="1:12" x14ac:dyDescent="0.3">
      <c r="A186" s="12" t="str">
        <f>INDEX('ei names mapping'!$B$4:$R$33,MATCH(B159,'ei names mapping'!$A$4:$A$33,0),MATCH(G186,'ei names mapping'!$B$3:$R$3,0))</f>
        <v>market for electricity, medium voltage</v>
      </c>
      <c r="B186" s="14">
        <f>INDEX('vehicles specifications'!$B$3:$CK$86,MATCH(B162,'vehicles specifications'!$A$3:$A$86,0),MATCH(G186,'vehicles specifications'!$B$2:$CK$2,0))*INDEX('ei names mapping'!$B$137:$BK$220,MATCH(B162,'ei names mapping'!$A$137:$A$220,0),MATCH(G186,'ei names mapping'!$B$136:$BK$136,0))</f>
        <v>9.7222222222222224E-2</v>
      </c>
      <c r="C186" s="12" t="str">
        <f>INDEX('ei names mapping'!$B$38:$BK$67,MATCH(B159,'ei names mapping'!$A$4:$A$33,0),MATCH(G186,'ei names mapping'!$B$3:$BK$3,0))</f>
        <v>CH</v>
      </c>
      <c r="D186" s="12" t="str">
        <f>INDEX('ei names mapping'!$B$104:$BK$133,MATCH(B159,'ei names mapping'!$A$4:$A$33,0),MATCH(G186,'ei names mapping'!$B$3:$BK$3,0))</f>
        <v>kilowatt hour</v>
      </c>
      <c r="E186" s="12"/>
      <c r="F186" s="12" t="s">
        <v>91</v>
      </c>
      <c r="G186" t="s">
        <v>28</v>
      </c>
      <c r="H186" s="12" t="str">
        <f>INDEX('ei names mapping'!$B$71:$BK$100,MATCH(B159,'ei names mapping'!$A$4:$A$33,0),MATCH(G186,'ei names mapping'!$B$3:$BK$3,0))</f>
        <v>electricity, medium voltage</v>
      </c>
    </row>
    <row r="187" spans="1:12" s="21" customFormat="1" x14ac:dyDescent="0.3">
      <c r="A187" s="12" t="s">
        <v>575</v>
      </c>
      <c r="B187" s="15">
        <f>16/B167/B168</f>
        <v>1.5037593984962406E-7</v>
      </c>
      <c r="C187" s="12" t="s">
        <v>98</v>
      </c>
      <c r="D187" s="12" t="s">
        <v>78</v>
      </c>
      <c r="E187" s="12"/>
      <c r="F187" s="12" t="s">
        <v>91</v>
      </c>
      <c r="G187" s="21" t="s">
        <v>577</v>
      </c>
      <c r="H187" s="12" t="s">
        <v>576</v>
      </c>
    </row>
    <row r="188" spans="1:12" x14ac:dyDescent="0.3">
      <c r="A188" s="12" t="str">
        <f>INDEX('ei names mapping'!$B$4:$R$33,MATCH(B159,'ei names mapping'!$A$4:$A$33,0),MATCH(G188,'ei names mapping'!$B$3:$R$3,0))</f>
        <v>maintenance, tram</v>
      </c>
      <c r="B188" s="15">
        <f>INDEX('vehicles specifications'!$B$3:$CK$86,MATCH(B162,'vehicles specifications'!$A$3:$A$86,0),MATCH(G188,'vehicles specifications'!$B$2:$CK$2,0))*INDEX('ei names mapping'!$B$137:$BK$220,MATCH(B162,'ei names mapping'!$A$137:$A$220,0),MATCH(G188,'ei names mapping'!$B$136:$BK$136,0))</f>
        <v>1.2531328320802004E-8</v>
      </c>
      <c r="C188" s="12" t="str">
        <f>INDEX('ei names mapping'!$B$38:$BK$67,MATCH(B159,'ei names mapping'!$A$4:$A$33,0),MATCH(G188,'ei names mapping'!$B$3:$BK$3,0))</f>
        <v>CH</v>
      </c>
      <c r="D188" s="12" t="str">
        <f>INDEX('ei names mapping'!$B$104:$BK$133,MATCH(B159,'ei names mapping'!$A$4:$A$33,0),MATCH(G188,'ei names mapping'!$B$3:$BK$3,0))</f>
        <v>unit</v>
      </c>
      <c r="E188" s="12"/>
      <c r="F188" s="12" t="s">
        <v>91</v>
      </c>
      <c r="G188" t="s">
        <v>123</v>
      </c>
      <c r="H188" s="12" t="str">
        <f>INDEX('ei names mapping'!$B$71:$BK$100,MATCH(B159,'ei names mapping'!$A$4:$A$33,0),MATCH(G188,'ei names mapping'!$B$3:$BK$3,0))</f>
        <v>maintenance, tram</v>
      </c>
    </row>
    <row r="189" spans="1:12" s="21" customFormat="1" x14ac:dyDescent="0.3">
      <c r="A189" s="21" t="s">
        <v>578</v>
      </c>
      <c r="B189" s="15">
        <f>B187</f>
        <v>1.5037593984962406E-7</v>
      </c>
      <c r="C189" s="12"/>
      <c r="D189" s="12" t="s">
        <v>78</v>
      </c>
      <c r="E189" s="12" t="s">
        <v>171</v>
      </c>
      <c r="F189" s="12" t="s">
        <v>173</v>
      </c>
      <c r="G189" s="12" t="s">
        <v>579</v>
      </c>
      <c r="H189" s="12"/>
      <c r="L189" s="6"/>
    </row>
    <row r="190" spans="1:12" s="21" customFormat="1" x14ac:dyDescent="0.3">
      <c r="A190" s="21" t="s">
        <v>464</v>
      </c>
      <c r="B190" s="15">
        <f>0.00000016/B168</f>
        <v>4.2105263157894742E-9</v>
      </c>
      <c r="C190" s="12"/>
      <c r="D190" s="12" t="s">
        <v>78</v>
      </c>
      <c r="E190" s="12" t="s">
        <v>171</v>
      </c>
      <c r="F190" s="12" t="s">
        <v>173</v>
      </c>
      <c r="G190" s="12" t="s">
        <v>584</v>
      </c>
      <c r="H190" s="12"/>
    </row>
    <row r="191" spans="1:12" s="21" customFormat="1" x14ac:dyDescent="0.3">
      <c r="A191" s="21" t="s">
        <v>580</v>
      </c>
      <c r="B191" s="15">
        <f>0.00000032/B168</f>
        <v>8.4210526315789483E-9</v>
      </c>
      <c r="C191" s="12"/>
      <c r="D191" s="12" t="s">
        <v>78</v>
      </c>
      <c r="E191" s="12" t="s">
        <v>171</v>
      </c>
      <c r="F191" s="12" t="s">
        <v>173</v>
      </c>
      <c r="G191" s="12" t="s">
        <v>584</v>
      </c>
      <c r="H191" s="12"/>
    </row>
    <row r="192" spans="1:12" s="21" customFormat="1" x14ac:dyDescent="0.3">
      <c r="A192" s="21" t="s">
        <v>581</v>
      </c>
      <c r="B192" s="15">
        <f>0.00000033/B168</f>
        <v>8.6842105263157895E-9</v>
      </c>
      <c r="C192" s="12"/>
      <c r="D192" s="12" t="s">
        <v>78</v>
      </c>
      <c r="E192" s="12" t="s">
        <v>171</v>
      </c>
      <c r="F192" s="12" t="s">
        <v>173</v>
      </c>
      <c r="G192" s="12" t="s">
        <v>584</v>
      </c>
      <c r="H192" s="12"/>
    </row>
    <row r="193" spans="1:8" s="21" customFormat="1" x14ac:dyDescent="0.3">
      <c r="A193" s="21" t="s">
        <v>464</v>
      </c>
      <c r="B193" s="15">
        <f>0.000009/B168</f>
        <v>2.368421052631579E-7</v>
      </c>
      <c r="C193" s="12"/>
      <c r="D193" s="12" t="s">
        <v>78</v>
      </c>
      <c r="E193" s="12" t="s">
        <v>171</v>
      </c>
      <c r="F193" s="12" t="s">
        <v>173</v>
      </c>
      <c r="G193" s="12" t="s">
        <v>585</v>
      </c>
      <c r="H193" s="12"/>
    </row>
    <row r="194" spans="1:8" s="21" customFormat="1" x14ac:dyDescent="0.3">
      <c r="A194" s="21" t="s">
        <v>580</v>
      </c>
      <c r="B194" s="15">
        <f>0.000018/B168</f>
        <v>4.736842105263158E-7</v>
      </c>
      <c r="C194" s="12"/>
      <c r="D194" s="12" t="s">
        <v>78</v>
      </c>
      <c r="E194" s="12" t="s">
        <v>171</v>
      </c>
      <c r="F194" s="12" t="s">
        <v>173</v>
      </c>
      <c r="G194" s="12" t="s">
        <v>585</v>
      </c>
      <c r="H194" s="12"/>
    </row>
    <row r="195" spans="1:8" s="21" customFormat="1" x14ac:dyDescent="0.3">
      <c r="A195" s="21" t="s">
        <v>464</v>
      </c>
      <c r="B195" s="15">
        <f>0.000004/B168</f>
        <v>1.0526315789473683E-7</v>
      </c>
      <c r="C195" s="12"/>
      <c r="D195" s="12" t="s">
        <v>78</v>
      </c>
      <c r="E195" s="12" t="s">
        <v>171</v>
      </c>
      <c r="F195" s="12" t="s">
        <v>173</v>
      </c>
      <c r="G195" s="12" t="s">
        <v>586</v>
      </c>
      <c r="H195" s="12"/>
    </row>
    <row r="196" spans="1:8" s="21" customFormat="1" x14ac:dyDescent="0.3">
      <c r="A196" s="21" t="s">
        <v>580</v>
      </c>
      <c r="B196" s="15">
        <f>0.000008/B168</f>
        <v>2.1052631578947366E-7</v>
      </c>
      <c r="C196" s="12"/>
      <c r="D196" s="12" t="s">
        <v>78</v>
      </c>
      <c r="E196" s="12" t="s">
        <v>171</v>
      </c>
      <c r="F196" s="12" t="s">
        <v>173</v>
      </c>
      <c r="G196" s="12" t="s">
        <v>586</v>
      </c>
      <c r="H196" s="12"/>
    </row>
    <row r="197" spans="1:8" s="21" customFormat="1" x14ac:dyDescent="0.3">
      <c r="A197" s="21" t="s">
        <v>582</v>
      </c>
      <c r="B197" s="15">
        <f>0.00000008/B168</f>
        <v>2.1052631578947371E-9</v>
      </c>
      <c r="C197" s="12"/>
      <c r="D197" s="12" t="s">
        <v>78</v>
      </c>
      <c r="E197" s="12" t="s">
        <v>171</v>
      </c>
      <c r="F197" s="12" t="s">
        <v>173</v>
      </c>
      <c r="G197" s="12" t="s">
        <v>586</v>
      </c>
      <c r="H197" s="12"/>
    </row>
    <row r="198" spans="1:8" s="21" customFormat="1" x14ac:dyDescent="0.3">
      <c r="A198" s="21" t="s">
        <v>583</v>
      </c>
      <c r="B198" s="15">
        <f>0.00000016/B168</f>
        <v>4.2105263157894742E-9</v>
      </c>
      <c r="C198" s="12"/>
      <c r="D198" s="12" t="s">
        <v>78</v>
      </c>
      <c r="E198" s="12" t="s">
        <v>171</v>
      </c>
      <c r="F198" s="12" t="s">
        <v>173</v>
      </c>
      <c r="G198" s="12" t="s">
        <v>586</v>
      </c>
      <c r="H198" s="12"/>
    </row>
    <row r="200" spans="1:8" ht="15.6" x14ac:dyDescent="0.3">
      <c r="A200" s="11" t="s">
        <v>72</v>
      </c>
      <c r="B200" s="9" t="str">
        <f>"transport, "&amp;B202&amp;", "&amp;B204</f>
        <v>transport, Tram, electric, 2030</v>
      </c>
    </row>
    <row r="201" spans="1:8" x14ac:dyDescent="0.3">
      <c r="A201" t="s">
        <v>73</v>
      </c>
      <c r="B201" t="s">
        <v>37</v>
      </c>
    </row>
    <row r="202" spans="1:8" x14ac:dyDescent="0.3">
      <c r="A202" t="s">
        <v>87</v>
      </c>
      <c r="B202" s="21" t="s">
        <v>519</v>
      </c>
    </row>
    <row r="203" spans="1:8" x14ac:dyDescent="0.3">
      <c r="A203" t="s">
        <v>88</v>
      </c>
      <c r="B203" s="12"/>
    </row>
    <row r="204" spans="1:8" x14ac:dyDescent="0.3">
      <c r="A204" t="s">
        <v>89</v>
      </c>
      <c r="B204" s="12">
        <v>2030</v>
      </c>
    </row>
    <row r="205" spans="1:8" x14ac:dyDescent="0.3">
      <c r="A205" t="s">
        <v>131</v>
      </c>
      <c r="B205" s="12" t="str">
        <f>B202&amp;" - "&amp;B204&amp;" - "&amp;B201</f>
        <v>Tram, electric - 2030 - CH</v>
      </c>
    </row>
    <row r="206" spans="1:8" x14ac:dyDescent="0.3">
      <c r="A206" t="s">
        <v>74</v>
      </c>
      <c r="B206" s="12" t="str">
        <f>"transport, "&amp;B202</f>
        <v>transport, Tram, electric</v>
      </c>
    </row>
    <row r="207" spans="1:8" x14ac:dyDescent="0.3">
      <c r="A207" t="s">
        <v>75</v>
      </c>
      <c r="B207" t="s">
        <v>76</v>
      </c>
    </row>
    <row r="208" spans="1:8" x14ac:dyDescent="0.3">
      <c r="A208" t="s">
        <v>77</v>
      </c>
      <c r="B208" t="s">
        <v>175</v>
      </c>
    </row>
    <row r="209" spans="1:2" x14ac:dyDescent="0.3">
      <c r="A209" t="s">
        <v>79</v>
      </c>
      <c r="B209" t="s">
        <v>90</v>
      </c>
    </row>
    <row r="210" spans="1:2" x14ac:dyDescent="0.3">
      <c r="A210" t="s">
        <v>132</v>
      </c>
      <c r="B210">
        <f>INDEX('vehicles specifications'!$B$3:$CK$86,MATCH(B205,'vehicles specifications'!$A$3:$A$86,0),MATCH("Lifetime [km]",'vehicles specifications'!$B$2:$CK$2,0))</f>
        <v>2800000</v>
      </c>
    </row>
    <row r="211" spans="1:2" x14ac:dyDescent="0.3">
      <c r="A211" t="s">
        <v>133</v>
      </c>
      <c r="B211">
        <f>INDEX('vehicles specifications'!$B$3:$CK$86,MATCH(B205,'vehicles specifications'!$A$3:$A$86,0),MATCH("Passengers [unit]",'vehicles specifications'!$B$2:$CK$2,0))</f>
        <v>38</v>
      </c>
    </row>
    <row r="212" spans="1:2" x14ac:dyDescent="0.3">
      <c r="A212" t="s">
        <v>134</v>
      </c>
      <c r="B212">
        <f>INDEX('vehicles specifications'!$B$3:$CK$86,MATCH(B205,'vehicles specifications'!$A$3:$A$86,0),MATCH("Servicing [unit]",'vehicles specifications'!$B$2:$CK$2,0))</f>
        <v>1.3333333333333333</v>
      </c>
    </row>
    <row r="213" spans="1:2" x14ac:dyDescent="0.3">
      <c r="A213" t="s">
        <v>135</v>
      </c>
      <c r="B213">
        <f>INDEX('vehicles specifications'!$B$3:$CK$86,MATCH(B205,'vehicles specifications'!$A$3:$A$86,0),MATCH("Energy battery replacement [unit]",'vehicles specifications'!$B$2:$CK$2,0))</f>
        <v>0</v>
      </c>
    </row>
    <row r="214" spans="1:2" x14ac:dyDescent="0.3">
      <c r="A214" t="s">
        <v>136</v>
      </c>
      <c r="B214">
        <f>INDEX('vehicles specifications'!$B$3:$CK$86,MATCH(B205,'vehicles specifications'!$A$3:$A$86,0),MATCH("Annual kilometers [km]",'vehicles specifications'!$B$2:$CK$2,0))</f>
        <v>70000</v>
      </c>
    </row>
    <row r="215" spans="1:2" x14ac:dyDescent="0.3">
      <c r="A215" t="s">
        <v>137</v>
      </c>
      <c r="B215">
        <f>INDEX('vehicles specifications'!$B$3:$CK$86,MATCH(B205,'vehicles specifications'!$A$3:$A$86,0),MATCH("Curb mass [kg]",'vehicles specifications'!$B$2:$CK$2,0))</f>
        <v>52380</v>
      </c>
    </row>
    <row r="216" spans="1:2" x14ac:dyDescent="0.3">
      <c r="A216" t="s">
        <v>138</v>
      </c>
      <c r="B216">
        <f>INDEX('vehicles specifications'!$B$3:$CK$86,MATCH(B205,'vehicles specifications'!$A$3:$A$86,0),MATCH("Power [kW]",'vehicles specifications'!$B$2:$CK$2,0))</f>
        <v>660</v>
      </c>
    </row>
    <row r="217" spans="1:2" x14ac:dyDescent="0.3">
      <c r="A217" t="s">
        <v>139</v>
      </c>
      <c r="B217">
        <f>INDEX('vehicles specifications'!$B$3:$CK$86,MATCH(B205,'vehicles specifications'!$A$3:$A$86,0),MATCH("Energy battery mass [kg]",'vehicles specifications'!$B$2:$CK$2,0))</f>
        <v>0</v>
      </c>
    </row>
    <row r="218" spans="1:2" x14ac:dyDescent="0.3">
      <c r="A218" t="s">
        <v>140</v>
      </c>
      <c r="B218">
        <f>INDEX('vehicles specifications'!$B$3:$CK$86,MATCH(B205,'vehicles specifications'!$A$3:$A$86,0),MATCH("Electric energy available [kWh]",'vehicles specifications'!$B$2:$CK$2,0))</f>
        <v>0</v>
      </c>
    </row>
    <row r="219" spans="1:2" x14ac:dyDescent="0.3">
      <c r="A219" t="s">
        <v>143</v>
      </c>
      <c r="B219">
        <f>INDEX('vehicles specifications'!$B$3:$CK$86,MATCH(B205,'vehicles specifications'!$A$3:$A$86,0),MATCH("Oxydation energy stored [kWh]",'vehicles specifications'!$B$2:$CK$2,0))</f>
        <v>0</v>
      </c>
    </row>
    <row r="220" spans="1:2" x14ac:dyDescent="0.3">
      <c r="A220" t="s">
        <v>145</v>
      </c>
      <c r="B220">
        <f>INDEX('vehicles specifications'!$B$3:$CK$86,MATCH(B205,'vehicles specifications'!$A$3:$A$86,0),MATCH("Fuel mass [kg]",'vehicles specifications'!$B$2:$CK$2,0))</f>
        <v>0</v>
      </c>
    </row>
    <row r="221" spans="1:2" x14ac:dyDescent="0.3">
      <c r="A221" t="s">
        <v>141</v>
      </c>
      <c r="B221">
        <f>INDEX('vehicles specifications'!$B$3:$CK$86,MATCH(B205,'vehicles specifications'!$A$3:$A$86,0),MATCH("Range [km]",'vehicles specifications'!$B$2:$CK$2,0))</f>
        <v>0</v>
      </c>
    </row>
    <row r="222" spans="1:2" x14ac:dyDescent="0.3">
      <c r="A222" t="s">
        <v>142</v>
      </c>
      <c r="B222" t="str">
        <f>INDEX('vehicles specifications'!$B$3:$CK$86,MATCH(B205,'vehicles specifications'!$A$3:$A$86,0),MATCH("Emission standard",'vehicles specifications'!$B$2:$CK$2,0))</f>
        <v>None</v>
      </c>
    </row>
    <row r="223" spans="1:2" x14ac:dyDescent="0.3">
      <c r="A223" t="s">
        <v>144</v>
      </c>
      <c r="B223" s="6">
        <f>INDEX('vehicles specifications'!$B$3:$CK$86,MATCH(B205,'vehicles specifications'!$A$3:$A$86,0),MATCH("Lightweighting rate [%]",'vehicles specifications'!$B$2:$CK$2,0))</f>
        <v>0.03</v>
      </c>
    </row>
    <row r="224" spans="1:2" x14ac:dyDescent="0.3">
      <c r="A224" t="s">
        <v>84</v>
      </c>
      <c r="B224" s="21" t="str">
        <f>"Power: "&amp;B216&amp;" kW. Lifetime: "&amp;B210&amp;" km. Annual kilometers: "&amp;B214&amp;" km. Number of passengers: "&amp;B211&amp;". Curb mass: "&amp;ROUND(B215,1)&amp;" kg. Lightweighting of glider: "&amp;ROUND(B223*100,0)&amp;"%. Emission standard: "&amp;B222&amp;". Service visits throughout lifetime: every year for "&amp;B210/B214&amp;" years. Range: "&amp;ROUND(B221,0)&amp;" km. Battery capacity: "&amp;ROUND(B218,1)&amp;" kWh. Battery mass: "&amp;ROUND(B217,1)&amp; " kg. Battery replacement throughout lifetime: "&amp;ROUND(B213,1)&amp;". Fuel tank capacity: "&amp;ROUND(B219,1)&amp;" kWh. Fuel mass: "&amp;ROUND(B220,1)&amp;" kg. Documentation: "&amp;Readmefirst!$B$2&amp;", "&amp;Readmefirst!$B$3&amp;". "&amp;B209</f>
        <v>Power: 660 kW. Lifetime: 2800000 km. Annual kilometers: 70000 km. Number of passengers: 38. Curb mass: 52380 kg. Lightweighting of glider: 3%.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25" spans="1:8" ht="15.6" x14ac:dyDescent="0.3">
      <c r="A225" s="11" t="s">
        <v>80</v>
      </c>
    </row>
    <row r="226" spans="1:8" x14ac:dyDescent="0.3">
      <c r="A226" t="s">
        <v>81</v>
      </c>
      <c r="B226" t="s">
        <v>82</v>
      </c>
      <c r="C226" t="s">
        <v>73</v>
      </c>
      <c r="D226" t="s">
        <v>77</v>
      </c>
      <c r="E226" t="s">
        <v>83</v>
      </c>
      <c r="F226" t="s">
        <v>75</v>
      </c>
      <c r="G226" t="s">
        <v>84</v>
      </c>
      <c r="H226" t="s">
        <v>74</v>
      </c>
    </row>
    <row r="227" spans="1:8" x14ac:dyDescent="0.3">
      <c r="A227" s="12" t="str">
        <f>B200</f>
        <v>transport, Tram, electric, 2030</v>
      </c>
      <c r="B227" s="12">
        <v>1</v>
      </c>
      <c r="C227" s="12" t="str">
        <f>B201</f>
        <v>CH</v>
      </c>
      <c r="D227" s="12" t="str">
        <f>B208</f>
        <v>person-kilometer</v>
      </c>
      <c r="E227" s="12"/>
      <c r="F227" s="12" t="s">
        <v>85</v>
      </c>
      <c r="G227" s="12" t="s">
        <v>86</v>
      </c>
      <c r="H227" s="12" t="str">
        <f>B206</f>
        <v>transport, Tram, electric</v>
      </c>
    </row>
    <row r="228" spans="1:8" x14ac:dyDescent="0.3">
      <c r="A228" s="12" t="str">
        <f>RIGHT(A227,LEN(A227)-11)</f>
        <v>Tram, electric, 2030</v>
      </c>
      <c r="B228" s="12">
        <f>1/B210/B211</f>
        <v>9.3984962406015038E-9</v>
      </c>
      <c r="C228" s="12" t="str">
        <f>B201</f>
        <v>CH</v>
      </c>
      <c r="D228" s="12" t="s">
        <v>77</v>
      </c>
      <c r="E228" s="12"/>
      <c r="F228" s="12" t="s">
        <v>91</v>
      </c>
      <c r="G228" s="12"/>
      <c r="H228" s="12" t="str">
        <f>RIGHT(H227,LEN(H227)-11)</f>
        <v>Tram, electric</v>
      </c>
    </row>
    <row r="229" spans="1:8" x14ac:dyDescent="0.3">
      <c r="A229" s="12" t="str">
        <f>INDEX('ei names mapping'!$B$4:$R$33,MATCH(B202,'ei names mapping'!$A$4:$A$33,0),MATCH(G229,'ei names mapping'!$B$3:$R$3,0))</f>
        <v>market for electricity, medium voltage</v>
      </c>
      <c r="B229" s="14">
        <f>INDEX('vehicles specifications'!$B$3:$CK$86,MATCH(B205,'vehicles specifications'!$A$3:$A$86,0),MATCH(G229,'vehicles specifications'!$B$2:$CK$2,0))*INDEX('ei names mapping'!$B$137:$BK$220,MATCH(B205,'ei names mapping'!$A$137:$A$220,0),MATCH(G229,'ei names mapping'!$B$136:$BK$136,0))</f>
        <v>9.7222222222222224E-2</v>
      </c>
      <c r="C229" s="12" t="str">
        <f>INDEX('ei names mapping'!$B$38:$BK$67,MATCH(B202,'ei names mapping'!$A$4:$A$33,0),MATCH(G229,'ei names mapping'!$B$3:$BK$3,0))</f>
        <v>CH</v>
      </c>
      <c r="D229" s="12" t="str">
        <f>INDEX('ei names mapping'!$B$104:$BK$133,MATCH(B202,'ei names mapping'!$A$4:$A$33,0),MATCH(G229,'ei names mapping'!$B$3:$BK$3,0))</f>
        <v>kilowatt hour</v>
      </c>
      <c r="E229" s="12"/>
      <c r="F229" s="12" t="s">
        <v>91</v>
      </c>
      <c r="G229" t="s">
        <v>28</v>
      </c>
      <c r="H229" s="12" t="str">
        <f>INDEX('ei names mapping'!$B$71:$BK$100,MATCH(B202,'ei names mapping'!$A$4:$A$33,0),MATCH(G229,'ei names mapping'!$B$3:$BK$3,0))</f>
        <v>electricity, medium voltage</v>
      </c>
    </row>
    <row r="230" spans="1:8" s="21" customFormat="1" x14ac:dyDescent="0.3">
      <c r="A230" s="12" t="s">
        <v>575</v>
      </c>
      <c r="B230" s="15">
        <f>0.00000971/B211</f>
        <v>2.5552631578947371E-7</v>
      </c>
      <c r="C230" s="12" t="s">
        <v>98</v>
      </c>
      <c r="D230" s="12" t="s">
        <v>78</v>
      </c>
      <c r="E230" s="12"/>
      <c r="F230" s="12" t="s">
        <v>91</v>
      </c>
      <c r="G230" s="21" t="s">
        <v>577</v>
      </c>
      <c r="H230" s="12" t="s">
        <v>576</v>
      </c>
    </row>
    <row r="231" spans="1:8" x14ac:dyDescent="0.3">
      <c r="A231" s="12" t="str">
        <f>INDEX('ei names mapping'!$B$4:$R$33,MATCH(B202,'ei names mapping'!$A$4:$A$33,0),MATCH(G231,'ei names mapping'!$B$3:$R$3,0))</f>
        <v>maintenance, tram</v>
      </c>
      <c r="B231" s="15">
        <f>INDEX('vehicles specifications'!$B$3:$CK$86,MATCH(B205,'vehicles specifications'!$A$3:$A$86,0),MATCH(G231,'vehicles specifications'!$B$2:$CK$2,0))*INDEX('ei names mapping'!$B$137:$BK$220,MATCH(B205,'ei names mapping'!$A$137:$A$220,0),MATCH(G231,'ei names mapping'!$B$136:$BK$136,0))</f>
        <v>1.2531328320802004E-8</v>
      </c>
      <c r="C231" s="12" t="str">
        <f>INDEX('ei names mapping'!$B$38:$BK$67,MATCH(B202,'ei names mapping'!$A$4:$A$33,0),MATCH(G231,'ei names mapping'!$B$3:$BK$3,0))</f>
        <v>CH</v>
      </c>
      <c r="D231" s="12" t="str">
        <f>INDEX('ei names mapping'!$B$104:$BK$133,MATCH(B202,'ei names mapping'!$A$4:$A$33,0),MATCH(G231,'ei names mapping'!$B$3:$BK$3,0))</f>
        <v>unit</v>
      </c>
      <c r="E231" s="12"/>
      <c r="F231" s="12" t="s">
        <v>91</v>
      </c>
      <c r="G231" t="s">
        <v>123</v>
      </c>
      <c r="H231" s="12" t="str">
        <f>INDEX('ei names mapping'!$B$71:$BK$100,MATCH(B202,'ei names mapping'!$A$4:$A$33,0),MATCH(G231,'ei names mapping'!$B$3:$BK$3,0))</f>
        <v>maintenance, tram</v>
      </c>
    </row>
    <row r="232" spans="1:8" s="21" customFormat="1" x14ac:dyDescent="0.3">
      <c r="A232" s="21" t="s">
        <v>578</v>
      </c>
      <c r="B232" s="15">
        <f>B230</f>
        <v>2.5552631578947371E-7</v>
      </c>
      <c r="C232" s="12"/>
      <c r="D232" s="12" t="s">
        <v>78</v>
      </c>
      <c r="E232" s="12" t="s">
        <v>171</v>
      </c>
      <c r="F232" s="12" t="s">
        <v>173</v>
      </c>
      <c r="G232" s="12" t="s">
        <v>579</v>
      </c>
      <c r="H232" s="12"/>
    </row>
    <row r="233" spans="1:8" s="21" customFormat="1" x14ac:dyDescent="0.3">
      <c r="A233" s="21" t="s">
        <v>464</v>
      </c>
      <c r="B233" s="15">
        <f>0.00000016/B211</f>
        <v>4.2105263157894742E-9</v>
      </c>
      <c r="C233" s="12"/>
      <c r="D233" s="12" t="s">
        <v>78</v>
      </c>
      <c r="E233" s="12" t="s">
        <v>171</v>
      </c>
      <c r="F233" s="12" t="s">
        <v>173</v>
      </c>
      <c r="G233" s="12" t="s">
        <v>584</v>
      </c>
      <c r="H233" s="12"/>
    </row>
    <row r="234" spans="1:8" s="21" customFormat="1" x14ac:dyDescent="0.3">
      <c r="A234" s="21" t="s">
        <v>580</v>
      </c>
      <c r="B234" s="15">
        <f>0.00000032/B211</f>
        <v>8.4210526315789483E-9</v>
      </c>
      <c r="C234" s="12"/>
      <c r="D234" s="12" t="s">
        <v>78</v>
      </c>
      <c r="E234" s="12" t="s">
        <v>171</v>
      </c>
      <c r="F234" s="12" t="s">
        <v>173</v>
      </c>
      <c r="G234" s="12" t="s">
        <v>584</v>
      </c>
      <c r="H234" s="12"/>
    </row>
    <row r="235" spans="1:8" s="21" customFormat="1" x14ac:dyDescent="0.3">
      <c r="A235" s="21" t="s">
        <v>581</v>
      </c>
      <c r="B235" s="15">
        <f>0.00000033/B211</f>
        <v>8.6842105263157895E-9</v>
      </c>
      <c r="C235" s="12"/>
      <c r="D235" s="12" t="s">
        <v>78</v>
      </c>
      <c r="E235" s="12" t="s">
        <v>171</v>
      </c>
      <c r="F235" s="12" t="s">
        <v>173</v>
      </c>
      <c r="G235" s="12" t="s">
        <v>584</v>
      </c>
      <c r="H235" s="12"/>
    </row>
    <row r="236" spans="1:8" s="21" customFormat="1" x14ac:dyDescent="0.3">
      <c r="A236" s="21" t="s">
        <v>464</v>
      </c>
      <c r="B236" s="15">
        <f>0.000009/B211</f>
        <v>2.368421052631579E-7</v>
      </c>
      <c r="C236" s="12"/>
      <c r="D236" s="12" t="s">
        <v>78</v>
      </c>
      <c r="E236" s="12" t="s">
        <v>171</v>
      </c>
      <c r="F236" s="12" t="s">
        <v>173</v>
      </c>
      <c r="G236" s="12" t="s">
        <v>585</v>
      </c>
      <c r="H236" s="12"/>
    </row>
    <row r="237" spans="1:8" s="21" customFormat="1" x14ac:dyDescent="0.3">
      <c r="A237" s="21" t="s">
        <v>580</v>
      </c>
      <c r="B237" s="15">
        <f>0.000018/B211</f>
        <v>4.736842105263158E-7</v>
      </c>
      <c r="C237" s="12"/>
      <c r="D237" s="12" t="s">
        <v>78</v>
      </c>
      <c r="E237" s="12" t="s">
        <v>171</v>
      </c>
      <c r="F237" s="12" t="s">
        <v>173</v>
      </c>
      <c r="G237" s="12" t="s">
        <v>585</v>
      </c>
      <c r="H237" s="12"/>
    </row>
    <row r="238" spans="1:8" s="21" customFormat="1" x14ac:dyDescent="0.3">
      <c r="A238" s="21" t="s">
        <v>464</v>
      </c>
      <c r="B238" s="15">
        <f>0.000004/B211</f>
        <v>1.0526315789473683E-7</v>
      </c>
      <c r="C238" s="12"/>
      <c r="D238" s="12" t="s">
        <v>78</v>
      </c>
      <c r="E238" s="12" t="s">
        <v>171</v>
      </c>
      <c r="F238" s="12" t="s">
        <v>173</v>
      </c>
      <c r="G238" s="12" t="s">
        <v>586</v>
      </c>
      <c r="H238" s="12"/>
    </row>
    <row r="239" spans="1:8" s="21" customFormat="1" x14ac:dyDescent="0.3">
      <c r="A239" s="21" t="s">
        <v>580</v>
      </c>
      <c r="B239" s="15">
        <f>0.000008/B211</f>
        <v>2.1052631578947366E-7</v>
      </c>
      <c r="C239" s="12"/>
      <c r="D239" s="12" t="s">
        <v>78</v>
      </c>
      <c r="E239" s="12" t="s">
        <v>171</v>
      </c>
      <c r="F239" s="12" t="s">
        <v>173</v>
      </c>
      <c r="G239" s="12" t="s">
        <v>586</v>
      </c>
      <c r="H239" s="12"/>
    </row>
    <row r="240" spans="1:8" s="21" customFormat="1" x14ac:dyDescent="0.3">
      <c r="A240" s="21" t="s">
        <v>582</v>
      </c>
      <c r="B240" s="15">
        <f>0.00000008/B211</f>
        <v>2.1052631578947371E-9</v>
      </c>
      <c r="C240" s="12"/>
      <c r="D240" s="12" t="s">
        <v>78</v>
      </c>
      <c r="E240" s="12" t="s">
        <v>171</v>
      </c>
      <c r="F240" s="12" t="s">
        <v>173</v>
      </c>
      <c r="G240" s="12" t="s">
        <v>586</v>
      </c>
      <c r="H240" s="12"/>
    </row>
    <row r="241" spans="1:8" s="21" customFormat="1" x14ac:dyDescent="0.3">
      <c r="A241" s="21" t="s">
        <v>583</v>
      </c>
      <c r="B241" s="15">
        <f>0.00000016/B211</f>
        <v>4.2105263157894742E-9</v>
      </c>
      <c r="C241" s="12"/>
      <c r="D241" s="12" t="s">
        <v>78</v>
      </c>
      <c r="E241" s="12" t="s">
        <v>171</v>
      </c>
      <c r="F241" s="12" t="s">
        <v>173</v>
      </c>
      <c r="G241" s="12" t="s">
        <v>586</v>
      </c>
      <c r="H241" s="12"/>
    </row>
    <row r="243" spans="1:8" ht="15.6" x14ac:dyDescent="0.3">
      <c r="A243" s="11" t="s">
        <v>72</v>
      </c>
      <c r="B243" s="9" t="str">
        <f>"transport, "&amp;B245&amp;", "&amp;B247</f>
        <v>transport, Tram, electric, 2040</v>
      </c>
    </row>
    <row r="244" spans="1:8" x14ac:dyDescent="0.3">
      <c r="A244" t="s">
        <v>73</v>
      </c>
      <c r="B244" t="s">
        <v>37</v>
      </c>
    </row>
    <row r="245" spans="1:8" x14ac:dyDescent="0.3">
      <c r="A245" t="s">
        <v>87</v>
      </c>
      <c r="B245" s="21" t="s">
        <v>519</v>
      </c>
    </row>
    <row r="246" spans="1:8" x14ac:dyDescent="0.3">
      <c r="A246" t="s">
        <v>88</v>
      </c>
      <c r="B246" s="12"/>
    </row>
    <row r="247" spans="1:8" x14ac:dyDescent="0.3">
      <c r="A247" t="s">
        <v>89</v>
      </c>
      <c r="B247" s="12">
        <v>2040</v>
      </c>
    </row>
    <row r="248" spans="1:8" x14ac:dyDescent="0.3">
      <c r="A248" t="s">
        <v>131</v>
      </c>
      <c r="B248" s="12" t="str">
        <f>B245&amp;" - "&amp;B247&amp;" - "&amp;B244</f>
        <v>Tram, electric - 2040 - CH</v>
      </c>
    </row>
    <row r="249" spans="1:8" x14ac:dyDescent="0.3">
      <c r="A249" t="s">
        <v>74</v>
      </c>
      <c r="B249" s="12" t="str">
        <f>"transport, "&amp;B245</f>
        <v>transport, Tram, electric</v>
      </c>
    </row>
    <row r="250" spans="1:8" x14ac:dyDescent="0.3">
      <c r="A250" t="s">
        <v>75</v>
      </c>
      <c r="B250" t="s">
        <v>76</v>
      </c>
    </row>
    <row r="251" spans="1:8" x14ac:dyDescent="0.3">
      <c r="A251" t="s">
        <v>77</v>
      </c>
      <c r="B251" t="s">
        <v>175</v>
      </c>
    </row>
    <row r="252" spans="1:8" x14ac:dyDescent="0.3">
      <c r="A252" t="s">
        <v>79</v>
      </c>
      <c r="B252" t="s">
        <v>90</v>
      </c>
    </row>
    <row r="253" spans="1:8" x14ac:dyDescent="0.3">
      <c r="A253" t="s">
        <v>132</v>
      </c>
      <c r="B253">
        <f>INDEX('vehicles specifications'!$B$3:$CK$86,MATCH(B248,'vehicles specifications'!$A$3:$A$86,0),MATCH("Lifetime [km]",'vehicles specifications'!$B$2:$CK$2,0))</f>
        <v>2800000</v>
      </c>
    </row>
    <row r="254" spans="1:8" x14ac:dyDescent="0.3">
      <c r="A254" t="s">
        <v>133</v>
      </c>
      <c r="B254">
        <f>INDEX('vehicles specifications'!$B$3:$CK$86,MATCH(B248,'vehicles specifications'!$A$3:$A$86,0),MATCH("Passengers [unit]",'vehicles specifications'!$B$2:$CK$2,0))</f>
        <v>38</v>
      </c>
    </row>
    <row r="255" spans="1:8" x14ac:dyDescent="0.3">
      <c r="A255" t="s">
        <v>134</v>
      </c>
      <c r="B255">
        <f>INDEX('vehicles specifications'!$B$3:$CK$86,MATCH(B248,'vehicles specifications'!$A$3:$A$86,0),MATCH("Servicing [unit]",'vehicles specifications'!$B$2:$CK$2,0))</f>
        <v>1.3333333333333333</v>
      </c>
    </row>
    <row r="256" spans="1:8" x14ac:dyDescent="0.3">
      <c r="A256" t="s">
        <v>135</v>
      </c>
      <c r="B256">
        <f>INDEX('vehicles specifications'!$B$3:$CK$86,MATCH(B248,'vehicles specifications'!$A$3:$A$86,0),MATCH("Energy battery replacement [unit]",'vehicles specifications'!$B$2:$CK$2,0))</f>
        <v>0</v>
      </c>
    </row>
    <row r="257" spans="1:8" x14ac:dyDescent="0.3">
      <c r="A257" t="s">
        <v>136</v>
      </c>
      <c r="B257">
        <f>INDEX('vehicles specifications'!$B$3:$CK$86,MATCH(B248,'vehicles specifications'!$A$3:$A$86,0),MATCH("Annual kilometers [km]",'vehicles specifications'!$B$2:$CK$2,0))</f>
        <v>70000</v>
      </c>
    </row>
    <row r="258" spans="1:8" x14ac:dyDescent="0.3">
      <c r="A258" t="s">
        <v>137</v>
      </c>
      <c r="B258">
        <f>INDEX('vehicles specifications'!$B$3:$CK$86,MATCH(B248,'vehicles specifications'!$A$3:$A$86,0),MATCH("Curb mass [kg]",'vehicles specifications'!$B$2:$CK$2,0))</f>
        <v>51202</v>
      </c>
    </row>
    <row r="259" spans="1:8" x14ac:dyDescent="0.3">
      <c r="A259" t="s">
        <v>138</v>
      </c>
      <c r="B259">
        <f>INDEX('vehicles specifications'!$B$3:$CK$86,MATCH(B248,'vehicles specifications'!$A$3:$A$86,0),MATCH("Power [kW]",'vehicles specifications'!$B$2:$CK$2,0))</f>
        <v>660</v>
      </c>
    </row>
    <row r="260" spans="1:8" x14ac:dyDescent="0.3">
      <c r="A260" t="s">
        <v>139</v>
      </c>
      <c r="B260">
        <f>INDEX('vehicles specifications'!$B$3:$CK$86,MATCH(B248,'vehicles specifications'!$A$3:$A$86,0),MATCH("Energy battery mass [kg]",'vehicles specifications'!$B$2:$CK$2,0))</f>
        <v>0</v>
      </c>
    </row>
    <row r="261" spans="1:8" x14ac:dyDescent="0.3">
      <c r="A261" t="s">
        <v>140</v>
      </c>
      <c r="B261">
        <f>INDEX('vehicles specifications'!$B$3:$CK$86,MATCH(B248,'vehicles specifications'!$A$3:$A$86,0),MATCH("Electric energy available [kWh]",'vehicles specifications'!$B$2:$CK$2,0))</f>
        <v>0</v>
      </c>
    </row>
    <row r="262" spans="1:8" x14ac:dyDescent="0.3">
      <c r="A262" t="s">
        <v>143</v>
      </c>
      <c r="B262">
        <f>INDEX('vehicles specifications'!$B$3:$CK$86,MATCH(B248,'vehicles specifications'!$A$3:$A$86,0),MATCH("Oxydation energy stored [kWh]",'vehicles specifications'!$B$2:$CK$2,0))</f>
        <v>0</v>
      </c>
    </row>
    <row r="263" spans="1:8" x14ac:dyDescent="0.3">
      <c r="A263" t="s">
        <v>145</v>
      </c>
      <c r="B263">
        <f>INDEX('vehicles specifications'!$B$3:$CK$86,MATCH(B248,'vehicles specifications'!$A$3:$A$86,0),MATCH("Fuel mass [kg]",'vehicles specifications'!$B$2:$CK$2,0))</f>
        <v>0</v>
      </c>
    </row>
    <row r="264" spans="1:8" x14ac:dyDescent="0.3">
      <c r="A264" t="s">
        <v>141</v>
      </c>
      <c r="B264">
        <f>INDEX('vehicles specifications'!$B$3:$CK$86,MATCH(B248,'vehicles specifications'!$A$3:$A$86,0),MATCH("Range [km]",'vehicles specifications'!$B$2:$CK$2,0))</f>
        <v>0</v>
      </c>
    </row>
    <row r="265" spans="1:8" x14ac:dyDescent="0.3">
      <c r="A265" t="s">
        <v>142</v>
      </c>
      <c r="B265" t="str">
        <f>INDEX('vehicles specifications'!$B$3:$CK$86,MATCH(B248,'vehicles specifications'!$A$3:$A$86,0),MATCH("Emission standard",'vehicles specifications'!$B$2:$CK$2,0))</f>
        <v>None</v>
      </c>
    </row>
    <row r="266" spans="1:8" x14ac:dyDescent="0.3">
      <c r="A266" t="s">
        <v>144</v>
      </c>
      <c r="B266" s="6">
        <f>INDEX('vehicles specifications'!$B$3:$CK$86,MATCH(B248,'vehicles specifications'!$A$3:$A$86,0),MATCH("Lightweighting rate [%]",'vehicles specifications'!$B$2:$CK$2,0))</f>
        <v>0.05</v>
      </c>
    </row>
    <row r="267" spans="1:8" x14ac:dyDescent="0.3">
      <c r="A267" t="s">
        <v>84</v>
      </c>
      <c r="B267" s="21" t="str">
        <f>"Power: "&amp;B259&amp;" kW. Lifetime: "&amp;B253&amp;" km. Annual kilometers: "&amp;B257&amp;" km. Number of passengers: "&amp;B254&amp;". Curb mass: "&amp;ROUND(B258,1)&amp;" kg. Lightweighting of glider: "&amp;ROUND(B266*100,0)&amp;"%. Emission standard: "&amp;B265&amp;". Service visits throughout lifetime: every year for "&amp;B253/B257&amp;" years. Range: "&amp;ROUND(B264,0)&amp;" km. Battery capacity: "&amp;ROUND(B261,1)&amp;" kWh. Battery mass: "&amp;ROUND(B260,1)&amp; " kg. Battery replacement throughout lifetime: "&amp;ROUND(B256,1)&amp;". Fuel tank capacity: "&amp;ROUND(B262,1)&amp;" kWh. Fuel mass: "&amp;ROUND(B263,1)&amp;" kg. Documentation: "&amp;Readmefirst!$B$2&amp;", "&amp;Readmefirst!$B$3&amp;". "&amp;B252</f>
        <v>Power: 660 kW. Lifetime: 2800000 km. Annual kilometers: 70000 km. Number of passengers: 38. Curb mass: 51202 kg. Lightweighting of glider: 5%.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68" spans="1:8" ht="15.6" x14ac:dyDescent="0.3">
      <c r="A268" s="11" t="s">
        <v>80</v>
      </c>
    </row>
    <row r="269" spans="1:8" x14ac:dyDescent="0.3">
      <c r="A269" t="s">
        <v>81</v>
      </c>
      <c r="B269" t="s">
        <v>82</v>
      </c>
      <c r="C269" t="s">
        <v>73</v>
      </c>
      <c r="D269" t="s">
        <v>77</v>
      </c>
      <c r="E269" t="s">
        <v>83</v>
      </c>
      <c r="F269" t="s">
        <v>75</v>
      </c>
      <c r="G269" t="s">
        <v>84</v>
      </c>
      <c r="H269" t="s">
        <v>74</v>
      </c>
    </row>
    <row r="270" spans="1:8" x14ac:dyDescent="0.3">
      <c r="A270" s="12" t="str">
        <f>B243</f>
        <v>transport, Tram, electric, 2040</v>
      </c>
      <c r="B270" s="12">
        <v>1</v>
      </c>
      <c r="C270" s="12" t="str">
        <f>B244</f>
        <v>CH</v>
      </c>
      <c r="D270" s="12" t="str">
        <f>B251</f>
        <v>person-kilometer</v>
      </c>
      <c r="E270" s="12"/>
      <c r="F270" s="12" t="s">
        <v>85</v>
      </c>
      <c r="G270" s="12" t="s">
        <v>86</v>
      </c>
      <c r="H270" s="12" t="str">
        <f>B249</f>
        <v>transport, Tram, electric</v>
      </c>
    </row>
    <row r="271" spans="1:8" x14ac:dyDescent="0.3">
      <c r="A271" s="12" t="str">
        <f>RIGHT(A270,LEN(A270)-11)</f>
        <v>Tram, electric, 2040</v>
      </c>
      <c r="B271" s="24">
        <f>1/B253/B254</f>
        <v>9.3984962406015038E-9</v>
      </c>
      <c r="C271" s="12" t="str">
        <f>B244</f>
        <v>CH</v>
      </c>
      <c r="D271" s="12" t="s">
        <v>77</v>
      </c>
      <c r="E271" s="12"/>
      <c r="F271" s="12" t="s">
        <v>91</v>
      </c>
      <c r="G271" s="12"/>
      <c r="H271" s="12" t="str">
        <f>RIGHT(H270,LEN(H270)-11)</f>
        <v>Tram, electric</v>
      </c>
    </row>
    <row r="272" spans="1:8" x14ac:dyDescent="0.3">
      <c r="A272" s="12" t="str">
        <f>INDEX('ei names mapping'!$B$4:$R$33,MATCH(B245,'ei names mapping'!$A$4:$A$33,0),MATCH(G272,'ei names mapping'!$B$3:$R$3,0))</f>
        <v>market for electricity, medium voltage</v>
      </c>
      <c r="B272" s="14">
        <f>INDEX('vehicles specifications'!$B$3:$CK$86,MATCH(B248,'vehicles specifications'!$A$3:$A$86,0),MATCH(G272,'vehicles specifications'!$B$2:$CK$2,0))*INDEX('ei names mapping'!$B$137:$BK$220,MATCH(B248,'ei names mapping'!$A$137:$A$220,0),MATCH(G272,'ei names mapping'!$B$136:$BK$136,0))</f>
        <v>9.7222222222222224E-2</v>
      </c>
      <c r="C272" s="12" t="str">
        <f>INDEX('ei names mapping'!$B$38:$BK$67,MATCH(B245,'ei names mapping'!$A$4:$A$33,0),MATCH(G272,'ei names mapping'!$B$3:$BK$3,0))</f>
        <v>CH</v>
      </c>
      <c r="D272" s="12" t="str">
        <f>INDEX('ei names mapping'!$B$104:$BK$133,MATCH(B245,'ei names mapping'!$A$4:$A$33,0),MATCH(G272,'ei names mapping'!$B$3:$BK$3,0))</f>
        <v>kilowatt hour</v>
      </c>
      <c r="E272" s="12"/>
      <c r="F272" s="12" t="s">
        <v>91</v>
      </c>
      <c r="G272" t="s">
        <v>28</v>
      </c>
      <c r="H272" s="12" t="str">
        <f>INDEX('ei names mapping'!$B$71:$BK$100,MATCH(B245,'ei names mapping'!$A$4:$A$33,0),MATCH(G272,'ei names mapping'!$B$3:$BK$3,0))</f>
        <v>electricity, medium voltage</v>
      </c>
    </row>
    <row r="273" spans="1:8" s="21" customFormat="1" x14ac:dyDescent="0.3">
      <c r="A273" s="12" t="s">
        <v>575</v>
      </c>
      <c r="B273" s="15">
        <f>0.00000971/B254</f>
        <v>2.5552631578947371E-7</v>
      </c>
      <c r="C273" s="12" t="s">
        <v>98</v>
      </c>
      <c r="D273" s="12" t="s">
        <v>78</v>
      </c>
      <c r="E273" s="12"/>
      <c r="F273" s="12" t="s">
        <v>91</v>
      </c>
      <c r="G273" s="21" t="s">
        <v>577</v>
      </c>
      <c r="H273" s="12" t="s">
        <v>576</v>
      </c>
    </row>
    <row r="274" spans="1:8" x14ac:dyDescent="0.3">
      <c r="A274" s="12" t="str">
        <f>INDEX('ei names mapping'!$B$4:$R$33,MATCH(B245,'ei names mapping'!$A$4:$A$33,0),MATCH(G274,'ei names mapping'!$B$3:$R$3,0))</f>
        <v>maintenance, tram</v>
      </c>
      <c r="B274" s="15">
        <f>INDEX('vehicles specifications'!$B$3:$CK$86,MATCH(B248,'vehicles specifications'!$A$3:$A$86,0),MATCH(G274,'vehicles specifications'!$B$2:$CK$2,0))*INDEX('ei names mapping'!$B$137:$BK$220,MATCH(B248,'ei names mapping'!$A$137:$A$220,0),MATCH(G274,'ei names mapping'!$B$136:$BK$136,0))</f>
        <v>1.2531328320802004E-8</v>
      </c>
      <c r="C274" s="12" t="str">
        <f>INDEX('ei names mapping'!$B$38:$BK$67,MATCH(B245,'ei names mapping'!$A$4:$A$33,0),MATCH(G274,'ei names mapping'!$B$3:$BK$3,0))</f>
        <v>CH</v>
      </c>
      <c r="D274" s="12" t="str">
        <f>INDEX('ei names mapping'!$B$104:$BK$133,MATCH(B245,'ei names mapping'!$A$4:$A$33,0),MATCH(G274,'ei names mapping'!$B$3:$BK$3,0))</f>
        <v>unit</v>
      </c>
      <c r="E274" s="12"/>
      <c r="F274" s="12" t="s">
        <v>91</v>
      </c>
      <c r="G274" t="s">
        <v>123</v>
      </c>
      <c r="H274" s="12" t="str">
        <f>INDEX('ei names mapping'!$B$71:$BK$100,MATCH(B245,'ei names mapping'!$A$4:$A$33,0),MATCH(G274,'ei names mapping'!$B$3:$BK$3,0))</f>
        <v>maintenance, tram</v>
      </c>
    </row>
    <row r="275" spans="1:8" s="21" customFormat="1" x14ac:dyDescent="0.3">
      <c r="A275" s="21" t="s">
        <v>578</v>
      </c>
      <c r="B275" s="15">
        <f>B273</f>
        <v>2.5552631578947371E-7</v>
      </c>
      <c r="C275" s="12"/>
      <c r="D275" s="12" t="s">
        <v>78</v>
      </c>
      <c r="E275" s="12" t="s">
        <v>171</v>
      </c>
      <c r="F275" s="12" t="s">
        <v>173</v>
      </c>
      <c r="G275" s="12" t="s">
        <v>579</v>
      </c>
      <c r="H275" s="12"/>
    </row>
    <row r="276" spans="1:8" s="21" customFormat="1" x14ac:dyDescent="0.3">
      <c r="A276" s="21" t="s">
        <v>464</v>
      </c>
      <c r="B276" s="15">
        <f>0.00000016/B254</f>
        <v>4.2105263157894742E-9</v>
      </c>
      <c r="C276" s="12"/>
      <c r="D276" s="12" t="s">
        <v>78</v>
      </c>
      <c r="E276" s="12" t="s">
        <v>171</v>
      </c>
      <c r="F276" s="12" t="s">
        <v>173</v>
      </c>
      <c r="G276" s="12" t="s">
        <v>584</v>
      </c>
      <c r="H276" s="12"/>
    </row>
    <row r="277" spans="1:8" s="21" customFormat="1" x14ac:dyDescent="0.3">
      <c r="A277" s="21" t="s">
        <v>580</v>
      </c>
      <c r="B277" s="15">
        <f>0.00000032/B254</f>
        <v>8.4210526315789483E-9</v>
      </c>
      <c r="C277" s="12"/>
      <c r="D277" s="12" t="s">
        <v>78</v>
      </c>
      <c r="E277" s="12" t="s">
        <v>171</v>
      </c>
      <c r="F277" s="12" t="s">
        <v>173</v>
      </c>
      <c r="G277" s="12" t="s">
        <v>584</v>
      </c>
      <c r="H277" s="12"/>
    </row>
    <row r="278" spans="1:8" s="21" customFormat="1" x14ac:dyDescent="0.3">
      <c r="A278" s="21" t="s">
        <v>581</v>
      </c>
      <c r="B278" s="15">
        <f>0.00000033/B254</f>
        <v>8.6842105263157895E-9</v>
      </c>
      <c r="C278" s="12"/>
      <c r="D278" s="12" t="s">
        <v>78</v>
      </c>
      <c r="E278" s="12" t="s">
        <v>171</v>
      </c>
      <c r="F278" s="12" t="s">
        <v>173</v>
      </c>
      <c r="G278" s="12" t="s">
        <v>584</v>
      </c>
      <c r="H278" s="12"/>
    </row>
    <row r="279" spans="1:8" s="21" customFormat="1" x14ac:dyDescent="0.3">
      <c r="A279" s="21" t="s">
        <v>464</v>
      </c>
      <c r="B279" s="15">
        <f>0.000009/B254</f>
        <v>2.368421052631579E-7</v>
      </c>
      <c r="C279" s="12"/>
      <c r="D279" s="12" t="s">
        <v>78</v>
      </c>
      <c r="E279" s="12" t="s">
        <v>171</v>
      </c>
      <c r="F279" s="12" t="s">
        <v>173</v>
      </c>
      <c r="G279" s="12" t="s">
        <v>585</v>
      </c>
      <c r="H279" s="12"/>
    </row>
    <row r="280" spans="1:8" s="21" customFormat="1" x14ac:dyDescent="0.3">
      <c r="A280" s="21" t="s">
        <v>580</v>
      </c>
      <c r="B280" s="15">
        <f>0.000018/B254</f>
        <v>4.736842105263158E-7</v>
      </c>
      <c r="C280" s="12"/>
      <c r="D280" s="12" t="s">
        <v>78</v>
      </c>
      <c r="E280" s="12" t="s">
        <v>171</v>
      </c>
      <c r="F280" s="12" t="s">
        <v>173</v>
      </c>
      <c r="G280" s="12" t="s">
        <v>585</v>
      </c>
      <c r="H280" s="12"/>
    </row>
    <row r="281" spans="1:8" s="21" customFormat="1" x14ac:dyDescent="0.3">
      <c r="A281" s="21" t="s">
        <v>464</v>
      </c>
      <c r="B281" s="15">
        <f>0.000004/B254</f>
        <v>1.0526315789473683E-7</v>
      </c>
      <c r="C281" s="12"/>
      <c r="D281" s="12" t="s">
        <v>78</v>
      </c>
      <c r="E281" s="12" t="s">
        <v>171</v>
      </c>
      <c r="F281" s="12" t="s">
        <v>173</v>
      </c>
      <c r="G281" s="12" t="s">
        <v>586</v>
      </c>
      <c r="H281" s="12"/>
    </row>
    <row r="282" spans="1:8" s="21" customFormat="1" x14ac:dyDescent="0.3">
      <c r="A282" s="21" t="s">
        <v>580</v>
      </c>
      <c r="B282" s="15">
        <f>0.000008/B254</f>
        <v>2.1052631578947366E-7</v>
      </c>
      <c r="C282" s="12"/>
      <c r="D282" s="12" t="s">
        <v>78</v>
      </c>
      <c r="E282" s="12" t="s">
        <v>171</v>
      </c>
      <c r="F282" s="12" t="s">
        <v>173</v>
      </c>
      <c r="G282" s="12" t="s">
        <v>586</v>
      </c>
      <c r="H282" s="12"/>
    </row>
    <row r="283" spans="1:8" s="21" customFormat="1" x14ac:dyDescent="0.3">
      <c r="A283" s="21" t="s">
        <v>582</v>
      </c>
      <c r="B283" s="15">
        <f>0.00000008/B254</f>
        <v>2.1052631578947371E-9</v>
      </c>
      <c r="C283" s="12"/>
      <c r="D283" s="12" t="s">
        <v>78</v>
      </c>
      <c r="E283" s="12" t="s">
        <v>171</v>
      </c>
      <c r="F283" s="12" t="s">
        <v>173</v>
      </c>
      <c r="G283" s="12" t="s">
        <v>586</v>
      </c>
      <c r="H283" s="12"/>
    </row>
    <row r="284" spans="1:8" s="21" customFormat="1" x14ac:dyDescent="0.3">
      <c r="A284" s="21" t="s">
        <v>583</v>
      </c>
      <c r="B284" s="15">
        <f>0.00000016/B254</f>
        <v>4.2105263157894742E-9</v>
      </c>
      <c r="C284" s="12"/>
      <c r="D284" s="12" t="s">
        <v>78</v>
      </c>
      <c r="E284" s="12" t="s">
        <v>171</v>
      </c>
      <c r="F284" s="12" t="s">
        <v>173</v>
      </c>
      <c r="G284" s="12" t="s">
        <v>586</v>
      </c>
      <c r="H284" s="12"/>
    </row>
    <row r="286" spans="1:8" ht="15.6" x14ac:dyDescent="0.3">
      <c r="A286" s="11" t="s">
        <v>72</v>
      </c>
      <c r="B286" s="9" t="str">
        <f>"transport, "&amp;B288&amp;", "&amp;B290</f>
        <v>transport, Tram, electric, 2050</v>
      </c>
    </row>
    <row r="287" spans="1:8" x14ac:dyDescent="0.3">
      <c r="A287" t="s">
        <v>73</v>
      </c>
      <c r="B287" t="s">
        <v>37</v>
      </c>
    </row>
    <row r="288" spans="1:8" x14ac:dyDescent="0.3">
      <c r="A288" t="s">
        <v>87</v>
      </c>
      <c r="B288" s="21" t="s">
        <v>519</v>
      </c>
    </row>
    <row r="289" spans="1:2" x14ac:dyDescent="0.3">
      <c r="A289" t="s">
        <v>88</v>
      </c>
      <c r="B289" s="12"/>
    </row>
    <row r="290" spans="1:2" x14ac:dyDescent="0.3">
      <c r="A290" t="s">
        <v>89</v>
      </c>
      <c r="B290" s="12">
        <v>2050</v>
      </c>
    </row>
    <row r="291" spans="1:2" x14ac:dyDescent="0.3">
      <c r="A291" t="s">
        <v>131</v>
      </c>
      <c r="B291" s="12" t="str">
        <f>B288&amp;" - "&amp;B290&amp;" - "&amp;B287</f>
        <v>Tram, electric - 2050 - CH</v>
      </c>
    </row>
    <row r="292" spans="1:2" x14ac:dyDescent="0.3">
      <c r="A292" t="s">
        <v>74</v>
      </c>
      <c r="B292" s="12" t="str">
        <f>"transport, "&amp;B288</f>
        <v>transport, Tram, electric</v>
      </c>
    </row>
    <row r="293" spans="1:2" x14ac:dyDescent="0.3">
      <c r="A293" t="s">
        <v>75</v>
      </c>
      <c r="B293" t="s">
        <v>76</v>
      </c>
    </row>
    <row r="294" spans="1:2" x14ac:dyDescent="0.3">
      <c r="A294" t="s">
        <v>77</v>
      </c>
      <c r="B294" t="s">
        <v>175</v>
      </c>
    </row>
    <row r="295" spans="1:2" x14ac:dyDescent="0.3">
      <c r="A295" t="s">
        <v>79</v>
      </c>
      <c r="B295" t="s">
        <v>90</v>
      </c>
    </row>
    <row r="296" spans="1:2" x14ac:dyDescent="0.3">
      <c r="A296" t="s">
        <v>132</v>
      </c>
      <c r="B296">
        <f>INDEX('vehicles specifications'!$B$3:$CK$86,MATCH(B291,'vehicles specifications'!$A$3:$A$86,0),MATCH("Lifetime [km]",'vehicles specifications'!$B$2:$CK$2,0))</f>
        <v>2800000</v>
      </c>
    </row>
    <row r="297" spans="1:2" x14ac:dyDescent="0.3">
      <c r="A297" t="s">
        <v>133</v>
      </c>
      <c r="B297">
        <f>INDEX('vehicles specifications'!$B$3:$CK$86,MATCH(B291,'vehicles specifications'!$A$3:$A$86,0),MATCH("Passengers [unit]",'vehicles specifications'!$B$2:$CK$2,0))</f>
        <v>38</v>
      </c>
    </row>
    <row r="298" spans="1:2" x14ac:dyDescent="0.3">
      <c r="A298" t="s">
        <v>134</v>
      </c>
      <c r="B298" s="6">
        <f>INDEX('vehicles specifications'!$B$3:$CK$86,MATCH(B291,'vehicles specifications'!$A$3:$A$86,0),MATCH("Servicing [unit]",'vehicles specifications'!$B$2:$CK$2,0))</f>
        <v>1.3333333333333333</v>
      </c>
    </row>
    <row r="299" spans="1:2" x14ac:dyDescent="0.3">
      <c r="A299" t="s">
        <v>135</v>
      </c>
      <c r="B299">
        <f>INDEX('vehicles specifications'!$B$3:$CK$86,MATCH(B291,'vehicles specifications'!$A$3:$A$86,0),MATCH("Energy battery replacement [unit]",'vehicles specifications'!$B$2:$CK$2,0))</f>
        <v>0</v>
      </c>
    </row>
    <row r="300" spans="1:2" x14ac:dyDescent="0.3">
      <c r="A300" t="s">
        <v>136</v>
      </c>
      <c r="B300">
        <f>INDEX('vehicles specifications'!$B$3:$CK$86,MATCH(B291,'vehicles specifications'!$A$3:$A$86,0),MATCH("Annual kilometers [km]",'vehicles specifications'!$B$2:$CK$2,0))</f>
        <v>70000</v>
      </c>
    </row>
    <row r="301" spans="1:2" x14ac:dyDescent="0.3">
      <c r="A301" t="s">
        <v>137</v>
      </c>
      <c r="B301">
        <f>INDEX('vehicles specifications'!$B$3:$CK$86,MATCH(B291,'vehicles specifications'!$A$3:$A$86,0),MATCH("Curb mass [kg]",'vehicles specifications'!$B$2:$CK$2,0))</f>
        <v>50033</v>
      </c>
    </row>
    <row r="302" spans="1:2" x14ac:dyDescent="0.3">
      <c r="A302" t="s">
        <v>138</v>
      </c>
      <c r="B302">
        <f>INDEX('vehicles specifications'!$B$3:$CK$86,MATCH(B291,'vehicles specifications'!$A$3:$A$86,0),MATCH("Power [kW]",'vehicles specifications'!$B$2:$CK$2,0))</f>
        <v>660</v>
      </c>
    </row>
    <row r="303" spans="1:2" x14ac:dyDescent="0.3">
      <c r="A303" t="s">
        <v>139</v>
      </c>
      <c r="B303">
        <f>INDEX('vehicles specifications'!$B$3:$CK$86,MATCH(B291,'vehicles specifications'!$A$3:$A$86,0),MATCH("Energy battery mass [kg]",'vehicles specifications'!$B$2:$CK$2,0))</f>
        <v>0</v>
      </c>
    </row>
    <row r="304" spans="1:2" x14ac:dyDescent="0.3">
      <c r="A304" t="s">
        <v>140</v>
      </c>
      <c r="B304">
        <f>INDEX('vehicles specifications'!$B$3:$CK$86,MATCH(B291,'vehicles specifications'!$A$3:$A$86,0),MATCH("Electric energy available [kWh]",'vehicles specifications'!$B$2:$CK$2,0))</f>
        <v>0</v>
      </c>
    </row>
    <row r="305" spans="1:8" x14ac:dyDescent="0.3">
      <c r="A305" t="s">
        <v>143</v>
      </c>
      <c r="B305">
        <f>INDEX('vehicles specifications'!$B$3:$CK$86,MATCH(B291,'vehicles specifications'!$A$3:$A$86,0),MATCH("Oxydation energy stored [kWh]",'vehicles specifications'!$B$2:$CK$2,0))</f>
        <v>0</v>
      </c>
    </row>
    <row r="306" spans="1:8" x14ac:dyDescent="0.3">
      <c r="A306" t="s">
        <v>145</v>
      </c>
      <c r="B306">
        <f>INDEX('vehicles specifications'!$B$3:$CK$86,MATCH(B291,'vehicles specifications'!$A$3:$A$86,0),MATCH("Fuel mass [kg]",'vehicles specifications'!$B$2:$CK$2,0))</f>
        <v>0</v>
      </c>
    </row>
    <row r="307" spans="1:8" x14ac:dyDescent="0.3">
      <c r="A307" t="s">
        <v>141</v>
      </c>
      <c r="B307">
        <f>INDEX('vehicles specifications'!$B$3:$CK$86,MATCH(B291,'vehicles specifications'!$A$3:$A$86,0),MATCH("Range [km]",'vehicles specifications'!$B$2:$CK$2,0))</f>
        <v>0</v>
      </c>
    </row>
    <row r="308" spans="1:8" x14ac:dyDescent="0.3">
      <c r="A308" t="s">
        <v>142</v>
      </c>
      <c r="B308" t="str">
        <f>INDEX('vehicles specifications'!$B$3:$CK$86,MATCH(B291,'vehicles specifications'!$A$3:$A$86,0),MATCH("Emission standard",'vehicles specifications'!$B$2:$CK$2,0))</f>
        <v>None</v>
      </c>
    </row>
    <row r="309" spans="1:8" x14ac:dyDescent="0.3">
      <c r="A309" t="s">
        <v>144</v>
      </c>
      <c r="B309" s="6">
        <f>INDEX('vehicles specifications'!$B$3:$CK$86,MATCH(B291,'vehicles specifications'!$A$3:$A$86,0),MATCH("Lightweighting rate [%]",'vehicles specifications'!$B$2:$CK$2,0))</f>
        <v>7.0000000000000007E-2</v>
      </c>
    </row>
    <row r="310" spans="1:8" x14ac:dyDescent="0.3">
      <c r="A310" t="s">
        <v>84</v>
      </c>
      <c r="B310" s="21" t="str">
        <f>"Power: "&amp;B302&amp;" kW. Lifetime: "&amp;B296&amp;" km. Annual kilometers: "&amp;B300&amp;" km. Number of passengers: "&amp;B297&amp;". Curb mass: "&amp;ROUND(B301,1)&amp;" kg. Lightweighting of glider: "&amp;ROUND(B309*100,0)&amp;"%. Emission standard: "&amp;B308&amp;". Service visits throughout lifetime: every year for "&amp;B296/B300&amp;" years. Range: "&amp;ROUND(B307,0)&amp;" km. Battery capacity: "&amp;ROUND(B304,1)&amp;" kWh. Battery mass: "&amp;ROUND(B303,1)&amp; " kg. Battery replacement throughout lifetime: "&amp;ROUND(B299,1)&amp;". Fuel tank capacity: "&amp;ROUND(B305,1)&amp;" kWh. Fuel mass: "&amp;ROUND(B306,1)&amp;" kg. Documentation: "&amp;Readmefirst!$B$2&amp;", "&amp;Readmefirst!$B$3&amp;". "&amp;B295</f>
        <v>Power: 660 kW. Lifetime: 2800000 km. Annual kilometers: 70000 km. Number of passengers: 38. Curb mass: 50033 kg. Lightweighting of glider: 7%.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11" spans="1:8" ht="15.6" x14ac:dyDescent="0.3">
      <c r="A311" s="11" t="s">
        <v>80</v>
      </c>
    </row>
    <row r="312" spans="1:8" x14ac:dyDescent="0.3">
      <c r="A312" t="s">
        <v>81</v>
      </c>
      <c r="B312" t="s">
        <v>82</v>
      </c>
      <c r="C312" t="s">
        <v>73</v>
      </c>
      <c r="D312" t="s">
        <v>77</v>
      </c>
      <c r="E312" t="s">
        <v>83</v>
      </c>
      <c r="F312" t="s">
        <v>75</v>
      </c>
      <c r="G312" t="s">
        <v>84</v>
      </c>
      <c r="H312" t="s">
        <v>74</v>
      </c>
    </row>
    <row r="313" spans="1:8" x14ac:dyDescent="0.3">
      <c r="A313" s="12" t="str">
        <f>B286</f>
        <v>transport, Tram, electric, 2050</v>
      </c>
      <c r="B313" s="12">
        <v>1</v>
      </c>
      <c r="C313" s="12" t="str">
        <f>B287</f>
        <v>CH</v>
      </c>
      <c r="D313" s="12" t="str">
        <f>B294</f>
        <v>person-kilometer</v>
      </c>
      <c r="E313" s="12"/>
      <c r="F313" s="12" t="s">
        <v>85</v>
      </c>
      <c r="G313" s="12" t="s">
        <v>86</v>
      </c>
      <c r="H313" s="12" t="str">
        <f>B292</f>
        <v>transport, Tram, electric</v>
      </c>
    </row>
    <row r="314" spans="1:8" x14ac:dyDescent="0.3">
      <c r="A314" s="12" t="str">
        <f>RIGHT(A313,LEN(A313)-11)</f>
        <v>Tram, electric, 2050</v>
      </c>
      <c r="B314" s="12">
        <f>1/B296/B297</f>
        <v>9.3984962406015038E-9</v>
      </c>
      <c r="C314" s="12" t="str">
        <f>B287</f>
        <v>CH</v>
      </c>
      <c r="D314" s="12" t="s">
        <v>77</v>
      </c>
      <c r="E314" s="12"/>
      <c r="F314" s="12" t="s">
        <v>91</v>
      </c>
      <c r="G314" s="12"/>
      <c r="H314" s="12" t="str">
        <f>RIGHT(H313,LEN(H313)-11)</f>
        <v>Tram, electric</v>
      </c>
    </row>
    <row r="315" spans="1:8" x14ac:dyDescent="0.3">
      <c r="A315" s="12" t="str">
        <f>INDEX('ei names mapping'!$B$4:$R$33,MATCH(B288,'ei names mapping'!$A$4:$A$33,0),MATCH(G315,'ei names mapping'!$B$3:$R$3,0))</f>
        <v>market for electricity, medium voltage</v>
      </c>
      <c r="B315" s="14">
        <f>INDEX('vehicles specifications'!$B$3:$CK$86,MATCH(B291,'vehicles specifications'!$A$3:$A$86,0),MATCH(G315,'vehicles specifications'!$B$2:$CK$2,0))*INDEX('ei names mapping'!$B$137:$BK$220,MATCH(B291,'ei names mapping'!$A$137:$A$220,0),MATCH(G315,'ei names mapping'!$B$136:$BK$136,0))</f>
        <v>9.7222222222222224E-2</v>
      </c>
      <c r="C315" s="12" t="str">
        <f>INDEX('ei names mapping'!$B$38:$BK$67,MATCH(B288,'ei names mapping'!$A$4:$A$33,0),MATCH(G315,'ei names mapping'!$B$3:$BK$3,0))</f>
        <v>CH</v>
      </c>
      <c r="D315" s="12" t="str">
        <f>INDEX('ei names mapping'!$B$104:$BK$133,MATCH(B288,'ei names mapping'!$A$4:$A$33,0),MATCH(G315,'ei names mapping'!$B$3:$BK$3,0))</f>
        <v>kilowatt hour</v>
      </c>
      <c r="E315" s="12"/>
      <c r="F315" s="12" t="s">
        <v>91</v>
      </c>
      <c r="G315" t="s">
        <v>28</v>
      </c>
      <c r="H315" s="12" t="str">
        <f>INDEX('ei names mapping'!$B$71:$BK$100,MATCH(B288,'ei names mapping'!$A$4:$A$33,0),MATCH(G315,'ei names mapping'!$B$3:$BK$3,0))</f>
        <v>electricity, medium voltage</v>
      </c>
    </row>
    <row r="316" spans="1:8" s="21" customFormat="1" x14ac:dyDescent="0.3">
      <c r="A316" s="12" t="s">
        <v>575</v>
      </c>
      <c r="B316" s="15">
        <f>0.00000971/B297</f>
        <v>2.5552631578947371E-7</v>
      </c>
      <c r="C316" s="12" t="s">
        <v>98</v>
      </c>
      <c r="D316" s="12" t="s">
        <v>78</v>
      </c>
      <c r="E316" s="12"/>
      <c r="F316" s="12" t="s">
        <v>91</v>
      </c>
      <c r="G316" s="21" t="s">
        <v>577</v>
      </c>
      <c r="H316" s="12" t="s">
        <v>576</v>
      </c>
    </row>
    <row r="317" spans="1:8" x14ac:dyDescent="0.3">
      <c r="A317" s="12" t="str">
        <f>INDEX('ei names mapping'!$B$4:$R$33,MATCH(B288,'ei names mapping'!$A$4:$A$33,0),MATCH(G317,'ei names mapping'!$B$3:$R$3,0))</f>
        <v>maintenance, tram</v>
      </c>
      <c r="B317" s="15">
        <f>INDEX('vehicles specifications'!$B$3:$CK$86,MATCH(B291,'vehicles specifications'!$A$3:$A$86,0),MATCH(G317,'vehicles specifications'!$B$2:$CK$2,0))*INDEX('ei names mapping'!$B$137:$BK$220,MATCH(B291,'ei names mapping'!$A$137:$A$220,0),MATCH(G317,'ei names mapping'!$B$136:$BK$136,0))</f>
        <v>1.2531328320802004E-8</v>
      </c>
      <c r="C317" s="12" t="str">
        <f>INDEX('ei names mapping'!$B$38:$BK$67,MATCH(B288,'ei names mapping'!$A$4:$A$33,0),MATCH(G317,'ei names mapping'!$B$3:$BK$3,0))</f>
        <v>CH</v>
      </c>
      <c r="D317" s="12" t="str">
        <f>INDEX('ei names mapping'!$B$104:$BK$133,MATCH(B288,'ei names mapping'!$A$4:$A$33,0),MATCH(G317,'ei names mapping'!$B$3:$BK$3,0))</f>
        <v>unit</v>
      </c>
      <c r="E317" s="12"/>
      <c r="F317" s="12" t="s">
        <v>91</v>
      </c>
      <c r="G317" t="s">
        <v>123</v>
      </c>
      <c r="H317" s="12" t="str">
        <f>INDEX('ei names mapping'!$B$71:$BK$100,MATCH(B288,'ei names mapping'!$A$4:$A$33,0),MATCH(G317,'ei names mapping'!$B$3:$BK$3,0))</f>
        <v>maintenance, tram</v>
      </c>
    </row>
    <row r="318" spans="1:8" s="21" customFormat="1" x14ac:dyDescent="0.3">
      <c r="A318" s="21" t="s">
        <v>578</v>
      </c>
      <c r="B318" s="15">
        <f>B316</f>
        <v>2.5552631578947371E-7</v>
      </c>
      <c r="C318" s="12"/>
      <c r="D318" s="12" t="s">
        <v>78</v>
      </c>
      <c r="E318" s="12" t="s">
        <v>171</v>
      </c>
      <c r="F318" s="12" t="s">
        <v>173</v>
      </c>
      <c r="G318" s="12" t="s">
        <v>579</v>
      </c>
      <c r="H318" s="12"/>
    </row>
    <row r="319" spans="1:8" s="21" customFormat="1" x14ac:dyDescent="0.3">
      <c r="A319" s="21" t="s">
        <v>464</v>
      </c>
      <c r="B319" s="15">
        <f>0.00000016/B297</f>
        <v>4.2105263157894742E-9</v>
      </c>
      <c r="C319" s="12"/>
      <c r="D319" s="12" t="s">
        <v>78</v>
      </c>
      <c r="E319" s="12" t="s">
        <v>171</v>
      </c>
      <c r="F319" s="12" t="s">
        <v>173</v>
      </c>
      <c r="G319" s="12" t="s">
        <v>584</v>
      </c>
      <c r="H319" s="12"/>
    </row>
    <row r="320" spans="1:8" s="21" customFormat="1" x14ac:dyDescent="0.3">
      <c r="A320" s="21" t="s">
        <v>580</v>
      </c>
      <c r="B320" s="15">
        <f>0.00000032/B297</f>
        <v>8.4210526315789483E-9</v>
      </c>
      <c r="C320" s="12"/>
      <c r="D320" s="12" t="s">
        <v>78</v>
      </c>
      <c r="E320" s="12" t="s">
        <v>171</v>
      </c>
      <c r="F320" s="12" t="s">
        <v>173</v>
      </c>
      <c r="G320" s="12" t="s">
        <v>584</v>
      </c>
      <c r="H320" s="12"/>
    </row>
    <row r="321" spans="1:8" s="21" customFormat="1" x14ac:dyDescent="0.3">
      <c r="A321" s="21" t="s">
        <v>581</v>
      </c>
      <c r="B321" s="15">
        <f>0.00000033/B297</f>
        <v>8.6842105263157895E-9</v>
      </c>
      <c r="C321" s="12"/>
      <c r="D321" s="12" t="s">
        <v>78</v>
      </c>
      <c r="E321" s="12" t="s">
        <v>171</v>
      </c>
      <c r="F321" s="12" t="s">
        <v>173</v>
      </c>
      <c r="G321" s="12" t="s">
        <v>584</v>
      </c>
      <c r="H321" s="12"/>
    </row>
    <row r="322" spans="1:8" s="21" customFormat="1" x14ac:dyDescent="0.3">
      <c r="A322" s="21" t="s">
        <v>464</v>
      </c>
      <c r="B322" s="15">
        <f>0.000009/B297</f>
        <v>2.368421052631579E-7</v>
      </c>
      <c r="C322" s="12"/>
      <c r="D322" s="12" t="s">
        <v>78</v>
      </c>
      <c r="E322" s="12" t="s">
        <v>171</v>
      </c>
      <c r="F322" s="12" t="s">
        <v>173</v>
      </c>
      <c r="G322" s="12" t="s">
        <v>585</v>
      </c>
      <c r="H322" s="12"/>
    </row>
    <row r="323" spans="1:8" s="21" customFormat="1" x14ac:dyDescent="0.3">
      <c r="A323" s="21" t="s">
        <v>580</v>
      </c>
      <c r="B323" s="15">
        <f>0.000018/B297</f>
        <v>4.736842105263158E-7</v>
      </c>
      <c r="C323" s="12"/>
      <c r="D323" s="12" t="s">
        <v>78</v>
      </c>
      <c r="E323" s="12" t="s">
        <v>171</v>
      </c>
      <c r="F323" s="12" t="s">
        <v>173</v>
      </c>
      <c r="G323" s="12" t="s">
        <v>585</v>
      </c>
      <c r="H323" s="12"/>
    </row>
    <row r="324" spans="1:8" s="21" customFormat="1" x14ac:dyDescent="0.3">
      <c r="A324" s="21" t="s">
        <v>464</v>
      </c>
      <c r="B324" s="15">
        <f>0.000004/B297</f>
        <v>1.0526315789473683E-7</v>
      </c>
      <c r="C324" s="12"/>
      <c r="D324" s="12" t="s">
        <v>78</v>
      </c>
      <c r="E324" s="12" t="s">
        <v>171</v>
      </c>
      <c r="F324" s="12" t="s">
        <v>173</v>
      </c>
      <c r="G324" s="12" t="s">
        <v>586</v>
      </c>
      <c r="H324" s="12"/>
    </row>
    <row r="325" spans="1:8" s="21" customFormat="1" x14ac:dyDescent="0.3">
      <c r="A325" s="21" t="s">
        <v>580</v>
      </c>
      <c r="B325" s="15">
        <f>0.000008/B297</f>
        <v>2.1052631578947366E-7</v>
      </c>
      <c r="C325" s="12"/>
      <c r="D325" s="12" t="s">
        <v>78</v>
      </c>
      <c r="E325" s="12" t="s">
        <v>171</v>
      </c>
      <c r="F325" s="12" t="s">
        <v>173</v>
      </c>
      <c r="G325" s="12" t="s">
        <v>586</v>
      </c>
      <c r="H325" s="12"/>
    </row>
    <row r="326" spans="1:8" s="21" customFormat="1" x14ac:dyDescent="0.3">
      <c r="A326" s="21" t="s">
        <v>582</v>
      </c>
      <c r="B326" s="15">
        <f>0.00000008/B297</f>
        <v>2.1052631578947371E-9</v>
      </c>
      <c r="C326" s="12"/>
      <c r="D326" s="12" t="s">
        <v>78</v>
      </c>
      <c r="E326" s="12" t="s">
        <v>171</v>
      </c>
      <c r="F326" s="12" t="s">
        <v>173</v>
      </c>
      <c r="G326" s="12" t="s">
        <v>586</v>
      </c>
      <c r="H326" s="12"/>
    </row>
    <row r="327" spans="1:8" s="21" customFormat="1" x14ac:dyDescent="0.3">
      <c r="A327" s="21" t="s">
        <v>583</v>
      </c>
      <c r="B327" s="15">
        <f>0.00000016/B297</f>
        <v>4.2105263157894742E-9</v>
      </c>
      <c r="C327" s="12"/>
      <c r="D327" s="12" t="s">
        <v>78</v>
      </c>
      <c r="E327" s="12" t="s">
        <v>171</v>
      </c>
      <c r="F327" s="12" t="s">
        <v>173</v>
      </c>
      <c r="G327" s="12" t="s">
        <v>586</v>
      </c>
      <c r="H327" s="12"/>
    </row>
    <row r="329" spans="1:8" ht="15.6" x14ac:dyDescent="0.3">
      <c r="A329" s="11" t="s">
        <v>72</v>
      </c>
      <c r="B329" s="9" t="str">
        <f>"transport, "&amp;B331&amp;", "&amp;B333&amp;", label-certified electricity"</f>
        <v>transport, Tram, electric, 2020, label-certified electricity</v>
      </c>
    </row>
    <row r="330" spans="1:8" x14ac:dyDescent="0.3">
      <c r="A330" t="s">
        <v>73</v>
      </c>
      <c r="B330" t="s">
        <v>37</v>
      </c>
    </row>
    <row r="331" spans="1:8" x14ac:dyDescent="0.3">
      <c r="A331" t="s">
        <v>87</v>
      </c>
      <c r="B331" s="21" t="s">
        <v>519</v>
      </c>
    </row>
    <row r="332" spans="1:8" x14ac:dyDescent="0.3">
      <c r="A332" t="s">
        <v>88</v>
      </c>
      <c r="B332" s="12"/>
    </row>
    <row r="333" spans="1:8" x14ac:dyDescent="0.3">
      <c r="A333" t="s">
        <v>89</v>
      </c>
      <c r="B333" s="12">
        <v>2020</v>
      </c>
    </row>
    <row r="334" spans="1:8" x14ac:dyDescent="0.3">
      <c r="A334" t="s">
        <v>131</v>
      </c>
      <c r="B334" s="12" t="str">
        <f>B331&amp;" - "&amp;B333&amp;" - "&amp;B330</f>
        <v>Tram, electric - 2020 - CH</v>
      </c>
    </row>
    <row r="335" spans="1:8" x14ac:dyDescent="0.3">
      <c r="A335" t="s">
        <v>74</v>
      </c>
      <c r="B335" s="12" t="str">
        <f>"transport, "&amp;B331</f>
        <v>transport, Tram, electric</v>
      </c>
    </row>
    <row r="336" spans="1:8" x14ac:dyDescent="0.3">
      <c r="A336" t="s">
        <v>75</v>
      </c>
      <c r="B336" t="s">
        <v>76</v>
      </c>
    </row>
    <row r="337" spans="1:2" x14ac:dyDescent="0.3">
      <c r="A337" t="s">
        <v>77</v>
      </c>
      <c r="B337" t="s">
        <v>175</v>
      </c>
    </row>
    <row r="338" spans="1:2" x14ac:dyDescent="0.3">
      <c r="A338" t="s">
        <v>79</v>
      </c>
      <c r="B338" t="s">
        <v>90</v>
      </c>
    </row>
    <row r="339" spans="1:2" x14ac:dyDescent="0.3">
      <c r="A339" t="s">
        <v>132</v>
      </c>
      <c r="B339">
        <f>INDEX('vehicles specifications'!$B$3:$CK$86,MATCH(B334,'vehicles specifications'!$A$3:$A$86,0),MATCH("Lifetime [km]",'vehicles specifications'!$B$2:$CK$2,0))</f>
        <v>2800000</v>
      </c>
    </row>
    <row r="340" spans="1:2" x14ac:dyDescent="0.3">
      <c r="A340" t="s">
        <v>133</v>
      </c>
      <c r="B340">
        <f>INDEX('vehicles specifications'!$B$3:$CK$86,MATCH(B334,'vehicles specifications'!$A$3:$A$86,0),MATCH("Passengers [unit]",'vehicles specifications'!$B$2:$CK$2,0))</f>
        <v>38</v>
      </c>
    </row>
    <row r="341" spans="1:2" x14ac:dyDescent="0.3">
      <c r="A341" t="s">
        <v>134</v>
      </c>
      <c r="B341">
        <f>INDEX('vehicles specifications'!$B$3:$CK$86,MATCH(B334,'vehicles specifications'!$A$3:$A$86,0),MATCH("Servicing [unit]",'vehicles specifications'!$B$2:$CK$2,0))</f>
        <v>1.3333333333333333</v>
      </c>
    </row>
    <row r="342" spans="1:2" x14ac:dyDescent="0.3">
      <c r="A342" t="s">
        <v>135</v>
      </c>
      <c r="B342">
        <f>INDEX('vehicles specifications'!$B$3:$CK$86,MATCH(B334,'vehicles specifications'!$A$3:$A$86,0),MATCH("Energy battery replacement [unit]",'vehicles specifications'!$B$2:$CK$2,0))</f>
        <v>0</v>
      </c>
    </row>
    <row r="343" spans="1:2" x14ac:dyDescent="0.3">
      <c r="A343" t="s">
        <v>136</v>
      </c>
      <c r="B343">
        <f>INDEX('vehicles specifications'!$B$3:$CK$86,MATCH(B334,'vehicles specifications'!$A$3:$A$86,0),MATCH("Annual kilometers [km]",'vehicles specifications'!$B$2:$CK$2,0))</f>
        <v>70000</v>
      </c>
    </row>
    <row r="344" spans="1:2" x14ac:dyDescent="0.3">
      <c r="A344" t="s">
        <v>137</v>
      </c>
      <c r="B344">
        <f>INDEX('vehicles specifications'!$B$3:$CK$86,MATCH(B334,'vehicles specifications'!$A$3:$A$86,0),MATCH("Curb mass [kg]",'vehicles specifications'!$B$2:$CK$2,0))</f>
        <v>54000</v>
      </c>
    </row>
    <row r="345" spans="1:2" x14ac:dyDescent="0.3">
      <c r="A345" t="s">
        <v>138</v>
      </c>
      <c r="B345">
        <f>INDEX('vehicles specifications'!$B$3:$CK$86,MATCH(B334,'vehicles specifications'!$A$3:$A$86,0),MATCH("Power [kW]",'vehicles specifications'!$B$2:$CK$2,0))</f>
        <v>660</v>
      </c>
    </row>
    <row r="346" spans="1:2" x14ac:dyDescent="0.3">
      <c r="A346" t="s">
        <v>139</v>
      </c>
      <c r="B346">
        <f>INDEX('vehicles specifications'!$B$3:$CK$86,MATCH(B334,'vehicles specifications'!$A$3:$A$86,0),MATCH("Energy battery mass [kg]",'vehicles specifications'!$B$2:$CK$2,0))</f>
        <v>0</v>
      </c>
    </row>
    <row r="347" spans="1:2" x14ac:dyDescent="0.3">
      <c r="A347" t="s">
        <v>140</v>
      </c>
      <c r="B347">
        <f>INDEX('vehicles specifications'!$B$3:$CK$86,MATCH(B334,'vehicles specifications'!$A$3:$A$86,0),MATCH("Electric energy available [kWh]",'vehicles specifications'!$B$2:$CK$2,0))</f>
        <v>0</v>
      </c>
    </row>
    <row r="348" spans="1:2" x14ac:dyDescent="0.3">
      <c r="A348" t="s">
        <v>143</v>
      </c>
      <c r="B348">
        <f>INDEX('vehicles specifications'!$B$3:$CK$86,MATCH(B334,'vehicles specifications'!$A$3:$A$86,0),MATCH("Oxydation energy stored [kWh]",'vehicles specifications'!$B$2:$CK$2,0))</f>
        <v>0</v>
      </c>
    </row>
    <row r="349" spans="1:2" x14ac:dyDescent="0.3">
      <c r="A349" t="s">
        <v>145</v>
      </c>
      <c r="B349">
        <f>INDEX('vehicles specifications'!$B$3:$CK$86,MATCH(B334,'vehicles specifications'!$A$3:$A$86,0),MATCH("Fuel mass [kg]",'vehicles specifications'!$B$2:$CK$2,0))</f>
        <v>0</v>
      </c>
    </row>
    <row r="350" spans="1:2" x14ac:dyDescent="0.3">
      <c r="A350" t="s">
        <v>141</v>
      </c>
      <c r="B350">
        <f>INDEX('vehicles specifications'!$B$3:$CK$86,MATCH(B334,'vehicles specifications'!$A$3:$A$86,0),MATCH("Range [km]",'vehicles specifications'!$B$2:$CK$2,0))</f>
        <v>0</v>
      </c>
    </row>
    <row r="351" spans="1:2" x14ac:dyDescent="0.3">
      <c r="A351" t="s">
        <v>142</v>
      </c>
      <c r="B351" t="str">
        <f>INDEX('vehicles specifications'!$B$3:$CK$86,MATCH(B334,'vehicles specifications'!$A$3:$A$86,0),MATCH("Emission standard",'vehicles specifications'!$B$2:$CK$2,0))</f>
        <v>None</v>
      </c>
    </row>
    <row r="352" spans="1:2" x14ac:dyDescent="0.3">
      <c r="A352" t="s">
        <v>144</v>
      </c>
      <c r="B352" s="6">
        <f>INDEX('vehicles specifications'!$B$3:$CK$86,MATCH(B334,'vehicles specifications'!$A$3:$A$86,0),MATCH("Lightweighting rate [%]",'vehicles specifications'!$B$2:$CK$2,0))</f>
        <v>0</v>
      </c>
    </row>
    <row r="353" spans="1:8" x14ac:dyDescent="0.3">
      <c r="A353" t="s">
        <v>84</v>
      </c>
      <c r="B353" s="21" t="str">
        <f>"Power: "&amp;B345&amp;" kW. Lifetime: "&amp;B339&amp;" km. Annual kilometers: "&amp;B343&amp;" km. Number of passengers: "&amp;B340&amp;". Curb mass: "&amp;ROUND(B344,1)&amp;" kg. Lightweighting of glider: "&amp;ROUND(B352*100,0)&amp;"%. Emission standard: "&amp;B351&amp;". Service visits throughout lifetime: every year for "&amp;B339/B343&amp;" years. Range: "&amp;ROUND(B350,0)&amp;" km. Battery capacity: "&amp;ROUND(B347,1)&amp;" kWh. Battery mass: "&amp;ROUND(B346,1)&amp; " kg. Battery replacement throughout lifetime: "&amp;ROUND(B342,1)&amp;". Fuel tank capacity: "&amp;ROUND(B348,1)&amp;" kWh. Fuel mass: "&amp;ROUND(B349,1)&amp;" kg. Documentation: "&amp;Readmefirst!$B$2&amp;", "&amp;Readmefirst!$B$3&amp;". "&amp;B338</f>
        <v>Power: 660 kW. Lifetime: 2800000 km. Annual kilometers: 70000 km. Number of passengers: 38. Curb mass: 54000 kg. Lightweighting of glider: 0%.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54" spans="1:8" ht="15.6" x14ac:dyDescent="0.3">
      <c r="A354" s="11" t="s">
        <v>80</v>
      </c>
    </row>
    <row r="355" spans="1:8" x14ac:dyDescent="0.3">
      <c r="A355" t="s">
        <v>81</v>
      </c>
      <c r="B355" t="s">
        <v>82</v>
      </c>
      <c r="C355" t="s">
        <v>73</v>
      </c>
      <c r="D355" t="s">
        <v>77</v>
      </c>
      <c r="E355" t="s">
        <v>83</v>
      </c>
      <c r="F355" t="s">
        <v>75</v>
      </c>
      <c r="G355" t="s">
        <v>84</v>
      </c>
      <c r="H355" t="s">
        <v>74</v>
      </c>
    </row>
    <row r="356" spans="1:8" x14ac:dyDescent="0.3">
      <c r="A356" s="12" t="str">
        <f>B329</f>
        <v>transport, Tram, electric, 2020, label-certified electricity</v>
      </c>
      <c r="B356" s="12">
        <v>1</v>
      </c>
      <c r="C356" s="12" t="str">
        <f>B330</f>
        <v>CH</v>
      </c>
      <c r="D356" s="12" t="str">
        <f>B337</f>
        <v>person-kilometer</v>
      </c>
      <c r="E356" s="12"/>
      <c r="F356" s="12" t="s">
        <v>85</v>
      </c>
      <c r="G356" s="12" t="s">
        <v>86</v>
      </c>
      <c r="H356" s="12" t="str">
        <f>B335</f>
        <v>transport, Tram, electric</v>
      </c>
    </row>
    <row r="357" spans="1:8" x14ac:dyDescent="0.3">
      <c r="A357" s="12" t="str">
        <f>B331&amp;", "&amp;B333</f>
        <v>Tram, electric, 2020</v>
      </c>
      <c r="B357" s="12">
        <f>1/B339/B340</f>
        <v>9.3984962406015038E-9</v>
      </c>
      <c r="C357" s="12" t="str">
        <f>B330</f>
        <v>CH</v>
      </c>
      <c r="D357" s="12" t="s">
        <v>77</v>
      </c>
      <c r="E357" s="12"/>
      <c r="F357" s="12" t="s">
        <v>91</v>
      </c>
      <c r="G357" s="12"/>
      <c r="H357" s="12" t="str">
        <f>RIGHT(H356,LEN(H356)-11)</f>
        <v>Tram, electric</v>
      </c>
    </row>
    <row r="358" spans="1:8" x14ac:dyDescent="0.3">
      <c r="A358" s="12" t="s">
        <v>114</v>
      </c>
      <c r="B358" s="14">
        <f>INDEX('vehicles specifications'!$B$3:$CK$86,MATCH(B334,'vehicles specifications'!$A$3:$A$86,0),MATCH(G358,'vehicles specifications'!$B$2:$CK$2,0))*INDEX('ei names mapping'!$B$137:$BK$220,MATCH(B334,'ei names mapping'!$A$137:$A$220,0),MATCH(G358,'ei names mapping'!$B$136:$BK$136,0))</f>
        <v>9.7222222222222224E-2</v>
      </c>
      <c r="C358" s="12" t="str">
        <f>INDEX('ei names mapping'!$B$38:$BK$67,MATCH(B331,'ei names mapping'!$A$4:$A$33,0),MATCH(G358,'ei names mapping'!$B$3:$BK$3,0))</f>
        <v>CH</v>
      </c>
      <c r="D358" s="12" t="str">
        <f>INDEX('ei names mapping'!$B$104:$BK$133,MATCH(B331,'ei names mapping'!$A$4:$A$33,0),MATCH(G358,'ei names mapping'!$B$3:$BK$3,0))</f>
        <v>kilowatt hour</v>
      </c>
      <c r="E358" s="12"/>
      <c r="F358" s="12" t="s">
        <v>91</v>
      </c>
      <c r="G358" t="s">
        <v>28</v>
      </c>
      <c r="H358" s="12" t="s">
        <v>116</v>
      </c>
    </row>
    <row r="359" spans="1:8" s="21" customFormat="1" x14ac:dyDescent="0.3">
      <c r="A359" s="12" t="s">
        <v>575</v>
      </c>
      <c r="B359" s="15">
        <f>0.00000971/B340</f>
        <v>2.5552631578947371E-7</v>
      </c>
      <c r="C359" s="12" t="s">
        <v>98</v>
      </c>
      <c r="D359" s="12" t="s">
        <v>78</v>
      </c>
      <c r="E359" s="12"/>
      <c r="F359" s="12" t="s">
        <v>91</v>
      </c>
      <c r="G359" s="21" t="s">
        <v>577</v>
      </c>
      <c r="H359" s="12" t="s">
        <v>576</v>
      </c>
    </row>
    <row r="360" spans="1:8" x14ac:dyDescent="0.3">
      <c r="A360" s="12" t="str">
        <f>INDEX('ei names mapping'!$B$4:$R$33,MATCH(B331,'ei names mapping'!$A$4:$A$33,0),MATCH(G360,'ei names mapping'!$B$3:$R$3,0))</f>
        <v>maintenance, tram</v>
      </c>
      <c r="B360" s="15">
        <f>INDEX('vehicles specifications'!$B$3:$CK$86,MATCH(B334,'vehicles specifications'!$A$3:$A$86,0),MATCH(G360,'vehicles specifications'!$B$2:$CK$2,0))*INDEX('ei names mapping'!$B$137:$BK$220,MATCH(B334,'ei names mapping'!$A$137:$A$220,0),MATCH(G360,'ei names mapping'!$B$136:$BK$136,0))</f>
        <v>1.2531328320802004E-8</v>
      </c>
      <c r="C360" s="12" t="str">
        <f>INDEX('ei names mapping'!$B$38:$BK$67,MATCH(B331,'ei names mapping'!$A$4:$A$33,0),MATCH(G360,'ei names mapping'!$B$3:$BK$3,0))</f>
        <v>CH</v>
      </c>
      <c r="D360" s="12" t="str">
        <f>INDEX('ei names mapping'!$B$104:$BK$133,MATCH(B331,'ei names mapping'!$A$4:$A$33,0),MATCH(G360,'ei names mapping'!$B$3:$BK$3,0))</f>
        <v>unit</v>
      </c>
      <c r="E360" s="12"/>
      <c r="F360" s="12" t="s">
        <v>91</v>
      </c>
      <c r="G360" t="s">
        <v>123</v>
      </c>
      <c r="H360" s="12" t="str">
        <f>INDEX('ei names mapping'!$B$71:$BK$100,MATCH(B331,'ei names mapping'!$A$4:$A$33,0),MATCH(G360,'ei names mapping'!$B$3:$BK$3,0))</f>
        <v>maintenance, tram</v>
      </c>
    </row>
    <row r="361" spans="1:8" s="21" customFormat="1" x14ac:dyDescent="0.3">
      <c r="A361" s="21" t="s">
        <v>578</v>
      </c>
      <c r="B361" s="15">
        <f>B359</f>
        <v>2.5552631578947371E-7</v>
      </c>
      <c r="C361" s="12"/>
      <c r="D361" s="12" t="s">
        <v>78</v>
      </c>
      <c r="E361" s="12" t="s">
        <v>171</v>
      </c>
      <c r="F361" s="12" t="s">
        <v>173</v>
      </c>
      <c r="G361" s="12" t="s">
        <v>579</v>
      </c>
      <c r="H361" s="12"/>
    </row>
    <row r="362" spans="1:8" s="21" customFormat="1" x14ac:dyDescent="0.3">
      <c r="A362" s="21" t="s">
        <v>464</v>
      </c>
      <c r="B362" s="15">
        <f>0.00000016/B340</f>
        <v>4.2105263157894742E-9</v>
      </c>
      <c r="C362" s="12"/>
      <c r="D362" s="12" t="s">
        <v>78</v>
      </c>
      <c r="E362" s="12" t="s">
        <v>171</v>
      </c>
      <c r="F362" s="12" t="s">
        <v>173</v>
      </c>
      <c r="G362" s="12" t="s">
        <v>584</v>
      </c>
      <c r="H362" s="12"/>
    </row>
    <row r="363" spans="1:8" s="21" customFormat="1" x14ac:dyDescent="0.3">
      <c r="A363" s="21" t="s">
        <v>580</v>
      </c>
      <c r="B363" s="15">
        <f>0.00000032/B340</f>
        <v>8.4210526315789483E-9</v>
      </c>
      <c r="C363" s="12"/>
      <c r="D363" s="12" t="s">
        <v>78</v>
      </c>
      <c r="E363" s="12" t="s">
        <v>171</v>
      </c>
      <c r="F363" s="12" t="s">
        <v>173</v>
      </c>
      <c r="G363" s="12" t="s">
        <v>584</v>
      </c>
      <c r="H363" s="12"/>
    </row>
    <row r="364" spans="1:8" s="21" customFormat="1" x14ac:dyDescent="0.3">
      <c r="A364" s="21" t="s">
        <v>581</v>
      </c>
      <c r="B364" s="15">
        <f>0.00000033/B340</f>
        <v>8.6842105263157895E-9</v>
      </c>
      <c r="C364" s="12"/>
      <c r="D364" s="12" t="s">
        <v>78</v>
      </c>
      <c r="E364" s="12" t="s">
        <v>171</v>
      </c>
      <c r="F364" s="12" t="s">
        <v>173</v>
      </c>
      <c r="G364" s="12" t="s">
        <v>584</v>
      </c>
      <c r="H364" s="12"/>
    </row>
    <row r="365" spans="1:8" s="21" customFormat="1" x14ac:dyDescent="0.3">
      <c r="A365" s="21" t="s">
        <v>464</v>
      </c>
      <c r="B365" s="15">
        <f>0.000009/B340</f>
        <v>2.368421052631579E-7</v>
      </c>
      <c r="C365" s="12"/>
      <c r="D365" s="12" t="s">
        <v>78</v>
      </c>
      <c r="E365" s="12" t="s">
        <v>171</v>
      </c>
      <c r="F365" s="12" t="s">
        <v>173</v>
      </c>
      <c r="G365" s="12" t="s">
        <v>585</v>
      </c>
      <c r="H365" s="12"/>
    </row>
    <row r="366" spans="1:8" s="21" customFormat="1" x14ac:dyDescent="0.3">
      <c r="A366" s="21" t="s">
        <v>580</v>
      </c>
      <c r="B366" s="15">
        <f>0.000018/B340</f>
        <v>4.736842105263158E-7</v>
      </c>
      <c r="C366" s="12"/>
      <c r="D366" s="12" t="s">
        <v>78</v>
      </c>
      <c r="E366" s="12" t="s">
        <v>171</v>
      </c>
      <c r="F366" s="12" t="s">
        <v>173</v>
      </c>
      <c r="G366" s="12" t="s">
        <v>585</v>
      </c>
      <c r="H366" s="12"/>
    </row>
    <row r="367" spans="1:8" s="21" customFormat="1" x14ac:dyDescent="0.3">
      <c r="A367" s="21" t="s">
        <v>464</v>
      </c>
      <c r="B367" s="15">
        <f>0.000004/B340</f>
        <v>1.0526315789473683E-7</v>
      </c>
      <c r="C367" s="12"/>
      <c r="D367" s="12" t="s">
        <v>78</v>
      </c>
      <c r="E367" s="12" t="s">
        <v>171</v>
      </c>
      <c r="F367" s="12" t="s">
        <v>173</v>
      </c>
      <c r="G367" s="12" t="s">
        <v>586</v>
      </c>
      <c r="H367" s="12"/>
    </row>
    <row r="368" spans="1:8" s="21" customFormat="1" x14ac:dyDescent="0.3">
      <c r="A368" s="21" t="s">
        <v>580</v>
      </c>
      <c r="B368" s="15">
        <f>0.000008/B340</f>
        <v>2.1052631578947366E-7</v>
      </c>
      <c r="C368" s="12"/>
      <c r="D368" s="12" t="s">
        <v>78</v>
      </c>
      <c r="E368" s="12" t="s">
        <v>171</v>
      </c>
      <c r="F368" s="12" t="s">
        <v>173</v>
      </c>
      <c r="G368" s="12" t="s">
        <v>586</v>
      </c>
      <c r="H368" s="12"/>
    </row>
    <row r="369" spans="1:8" s="21" customFormat="1" x14ac:dyDescent="0.3">
      <c r="A369" s="21" t="s">
        <v>582</v>
      </c>
      <c r="B369" s="15">
        <f>0.00000008/B340</f>
        <v>2.1052631578947371E-9</v>
      </c>
      <c r="C369" s="12"/>
      <c r="D369" s="12" t="s">
        <v>78</v>
      </c>
      <c r="E369" s="12" t="s">
        <v>171</v>
      </c>
      <c r="F369" s="12" t="s">
        <v>173</v>
      </c>
      <c r="G369" s="12" t="s">
        <v>586</v>
      </c>
      <c r="H369" s="12"/>
    </row>
    <row r="370" spans="1:8" s="21" customFormat="1" x14ac:dyDescent="0.3">
      <c r="A370" s="21" t="s">
        <v>583</v>
      </c>
      <c r="B370" s="15">
        <f>0.00000016/B340</f>
        <v>4.2105263157894742E-9</v>
      </c>
      <c r="C370" s="12"/>
      <c r="D370" s="12" t="s">
        <v>78</v>
      </c>
      <c r="E370" s="12" t="s">
        <v>171</v>
      </c>
      <c r="F370" s="12" t="s">
        <v>173</v>
      </c>
      <c r="G370" s="12" t="s">
        <v>586</v>
      </c>
      <c r="H370" s="12"/>
    </row>
    <row r="372" spans="1:8" ht="15.6" x14ac:dyDescent="0.3">
      <c r="A372" s="11" t="s">
        <v>72</v>
      </c>
      <c r="B372" s="9" t="str">
        <f>"transport, "&amp;B374&amp;", "&amp;B376&amp;", label-certified electricity"</f>
        <v>transport, Tram, electric, 2030, label-certified electricity</v>
      </c>
    </row>
    <row r="373" spans="1:8" x14ac:dyDescent="0.3">
      <c r="A373" t="s">
        <v>73</v>
      </c>
      <c r="B373" t="s">
        <v>37</v>
      </c>
    </row>
    <row r="374" spans="1:8" x14ac:dyDescent="0.3">
      <c r="A374" t="s">
        <v>87</v>
      </c>
      <c r="B374" s="21" t="s">
        <v>519</v>
      </c>
    </row>
    <row r="375" spans="1:8" x14ac:dyDescent="0.3">
      <c r="A375" t="s">
        <v>88</v>
      </c>
      <c r="B375" s="12"/>
    </row>
    <row r="376" spans="1:8" x14ac:dyDescent="0.3">
      <c r="A376" t="s">
        <v>89</v>
      </c>
      <c r="B376" s="12">
        <v>2030</v>
      </c>
    </row>
    <row r="377" spans="1:8" x14ac:dyDescent="0.3">
      <c r="A377" t="s">
        <v>131</v>
      </c>
      <c r="B377" s="12" t="str">
        <f>B374&amp;" - "&amp;B376&amp;" - "&amp;B373</f>
        <v>Tram, electric - 2030 - CH</v>
      </c>
    </row>
    <row r="378" spans="1:8" x14ac:dyDescent="0.3">
      <c r="A378" t="s">
        <v>74</v>
      </c>
      <c r="B378" s="12" t="str">
        <f>"transport, "&amp;B374</f>
        <v>transport, Tram, electric</v>
      </c>
    </row>
    <row r="379" spans="1:8" x14ac:dyDescent="0.3">
      <c r="A379" t="s">
        <v>75</v>
      </c>
      <c r="B379" t="s">
        <v>76</v>
      </c>
    </row>
    <row r="380" spans="1:8" x14ac:dyDescent="0.3">
      <c r="A380" t="s">
        <v>77</v>
      </c>
      <c r="B380" t="s">
        <v>175</v>
      </c>
    </row>
    <row r="381" spans="1:8" x14ac:dyDescent="0.3">
      <c r="A381" t="s">
        <v>79</v>
      </c>
      <c r="B381" t="s">
        <v>90</v>
      </c>
    </row>
    <row r="382" spans="1:8" x14ac:dyDescent="0.3">
      <c r="A382" t="s">
        <v>132</v>
      </c>
      <c r="B382">
        <f>INDEX('vehicles specifications'!$B$3:$CK$86,MATCH(B377,'vehicles specifications'!$A$3:$A$86,0),MATCH("Lifetime [km]",'vehicles specifications'!$B$2:$CK$2,0))</f>
        <v>2800000</v>
      </c>
    </row>
    <row r="383" spans="1:8" x14ac:dyDescent="0.3">
      <c r="A383" t="s">
        <v>133</v>
      </c>
      <c r="B383">
        <f>INDEX('vehicles specifications'!$B$3:$CK$86,MATCH(B377,'vehicles specifications'!$A$3:$A$86,0),MATCH("Passengers [unit]",'vehicles specifications'!$B$2:$CK$2,0))</f>
        <v>38</v>
      </c>
    </row>
    <row r="384" spans="1:8" x14ac:dyDescent="0.3">
      <c r="A384" t="s">
        <v>134</v>
      </c>
      <c r="B384">
        <f>INDEX('vehicles specifications'!$B$3:$CK$86,MATCH(B377,'vehicles specifications'!$A$3:$A$86,0),MATCH("Servicing [unit]",'vehicles specifications'!$B$2:$CK$2,0))</f>
        <v>1.3333333333333333</v>
      </c>
    </row>
    <row r="385" spans="1:8" x14ac:dyDescent="0.3">
      <c r="A385" t="s">
        <v>135</v>
      </c>
      <c r="B385">
        <f>INDEX('vehicles specifications'!$B$3:$CK$86,MATCH(B377,'vehicles specifications'!$A$3:$A$86,0),MATCH("Energy battery replacement [unit]",'vehicles specifications'!$B$2:$CK$2,0))</f>
        <v>0</v>
      </c>
    </row>
    <row r="386" spans="1:8" x14ac:dyDescent="0.3">
      <c r="A386" t="s">
        <v>136</v>
      </c>
      <c r="B386">
        <f>INDEX('vehicles specifications'!$B$3:$CK$86,MATCH(B377,'vehicles specifications'!$A$3:$A$86,0),MATCH("Annual kilometers [km]",'vehicles specifications'!$B$2:$CK$2,0))</f>
        <v>70000</v>
      </c>
    </row>
    <row r="387" spans="1:8" x14ac:dyDescent="0.3">
      <c r="A387" t="s">
        <v>137</v>
      </c>
      <c r="B387">
        <f>INDEX('vehicles specifications'!$B$3:$CK$86,MATCH(B377,'vehicles specifications'!$A$3:$A$86,0),MATCH("Curb mass [kg]",'vehicles specifications'!$B$2:$CK$2,0))</f>
        <v>52380</v>
      </c>
    </row>
    <row r="388" spans="1:8" x14ac:dyDescent="0.3">
      <c r="A388" t="s">
        <v>138</v>
      </c>
      <c r="B388">
        <f>INDEX('vehicles specifications'!$B$3:$CK$86,MATCH(B377,'vehicles specifications'!$A$3:$A$86,0),MATCH("Power [kW]",'vehicles specifications'!$B$2:$CK$2,0))</f>
        <v>660</v>
      </c>
    </row>
    <row r="389" spans="1:8" x14ac:dyDescent="0.3">
      <c r="A389" t="s">
        <v>139</v>
      </c>
      <c r="B389">
        <f>INDEX('vehicles specifications'!$B$3:$CK$86,MATCH(B377,'vehicles specifications'!$A$3:$A$86,0),MATCH("Energy battery mass [kg]",'vehicles specifications'!$B$2:$CK$2,0))</f>
        <v>0</v>
      </c>
    </row>
    <row r="390" spans="1:8" x14ac:dyDescent="0.3">
      <c r="A390" t="s">
        <v>140</v>
      </c>
      <c r="B390">
        <f>INDEX('vehicles specifications'!$B$3:$CK$86,MATCH(B377,'vehicles specifications'!$A$3:$A$86,0),MATCH("Electric energy available [kWh]",'vehicles specifications'!$B$2:$CK$2,0))</f>
        <v>0</v>
      </c>
    </row>
    <row r="391" spans="1:8" x14ac:dyDescent="0.3">
      <c r="A391" t="s">
        <v>143</v>
      </c>
      <c r="B391">
        <f>INDEX('vehicles specifications'!$B$3:$CK$86,MATCH(B377,'vehicles specifications'!$A$3:$A$86,0),MATCH("Oxydation energy stored [kWh]",'vehicles specifications'!$B$2:$CK$2,0))</f>
        <v>0</v>
      </c>
    </row>
    <row r="392" spans="1:8" x14ac:dyDescent="0.3">
      <c r="A392" t="s">
        <v>145</v>
      </c>
      <c r="B392">
        <f>INDEX('vehicles specifications'!$B$3:$CK$86,MATCH(B377,'vehicles specifications'!$A$3:$A$86,0),MATCH("Fuel mass [kg]",'vehicles specifications'!$B$2:$CK$2,0))</f>
        <v>0</v>
      </c>
    </row>
    <row r="393" spans="1:8" x14ac:dyDescent="0.3">
      <c r="A393" t="s">
        <v>141</v>
      </c>
      <c r="B393">
        <f>INDEX('vehicles specifications'!$B$3:$CK$86,MATCH(B377,'vehicles specifications'!$A$3:$A$86,0),MATCH("Range [km]",'vehicles specifications'!$B$2:$CK$2,0))</f>
        <v>0</v>
      </c>
    </row>
    <row r="394" spans="1:8" x14ac:dyDescent="0.3">
      <c r="A394" t="s">
        <v>142</v>
      </c>
      <c r="B394" t="str">
        <f>INDEX('vehicles specifications'!$B$3:$CK$86,MATCH(B377,'vehicles specifications'!$A$3:$A$86,0),MATCH("Emission standard",'vehicles specifications'!$B$2:$CK$2,0))</f>
        <v>None</v>
      </c>
    </row>
    <row r="395" spans="1:8" x14ac:dyDescent="0.3">
      <c r="A395" t="s">
        <v>144</v>
      </c>
      <c r="B395" s="6">
        <f>INDEX('vehicles specifications'!$B$3:$CK$86,MATCH(B377,'vehicles specifications'!$A$3:$A$86,0),MATCH("Lightweighting rate [%]",'vehicles specifications'!$B$2:$CK$2,0))</f>
        <v>0.03</v>
      </c>
    </row>
    <row r="396" spans="1:8" x14ac:dyDescent="0.3">
      <c r="A396" t="s">
        <v>84</v>
      </c>
      <c r="B396" s="21" t="str">
        <f>"Power: "&amp;B388&amp;" kW. Lifetime: "&amp;B382&amp;" km. Annual kilometers: "&amp;B386&amp;" km. Number of passengers: "&amp;B383&amp;". Curb mass: "&amp;ROUND(B387,1)&amp;" kg. Lightweighting of glider: "&amp;ROUND(B395*100,0)&amp;"%. Emission standard: "&amp;B394&amp;". Service visits throughout lifetime: every year for "&amp;B382/B386&amp;" years. Range: "&amp;ROUND(B393,0)&amp;" km. Battery capacity: "&amp;ROUND(B390,1)&amp;" kWh. Battery mass: "&amp;ROUND(B389,1)&amp; " kg. Battery replacement throughout lifetime: "&amp;ROUND(B385,1)&amp;". Fuel tank capacity: "&amp;ROUND(B391,1)&amp;" kWh. Fuel mass: "&amp;ROUND(B392,1)&amp;" kg. Documentation: "&amp;Readmefirst!$B$2&amp;", "&amp;Readmefirst!$B$3&amp;". "&amp;B381</f>
        <v>Power: 660 kW. Lifetime: 2800000 km. Annual kilometers: 70000 km. Number of passengers: 38. Curb mass: 52380 kg. Lightweighting of glider: 3%.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97" spans="1:8" ht="15.6" x14ac:dyDescent="0.3">
      <c r="A397" s="11" t="s">
        <v>80</v>
      </c>
    </row>
    <row r="398" spans="1:8" x14ac:dyDescent="0.3">
      <c r="A398" t="s">
        <v>81</v>
      </c>
      <c r="B398" t="s">
        <v>82</v>
      </c>
      <c r="C398" t="s">
        <v>73</v>
      </c>
      <c r="D398" t="s">
        <v>77</v>
      </c>
      <c r="E398" t="s">
        <v>83</v>
      </c>
      <c r="F398" t="s">
        <v>75</v>
      </c>
      <c r="G398" t="s">
        <v>84</v>
      </c>
      <c r="H398" t="s">
        <v>74</v>
      </c>
    </row>
    <row r="399" spans="1:8" x14ac:dyDescent="0.3">
      <c r="A399" s="12" t="str">
        <f>B372</f>
        <v>transport, Tram, electric, 2030, label-certified electricity</v>
      </c>
      <c r="B399" s="12">
        <v>1</v>
      </c>
      <c r="C399" s="12" t="str">
        <f>B373</f>
        <v>CH</v>
      </c>
      <c r="D399" s="12" t="str">
        <f>B380</f>
        <v>person-kilometer</v>
      </c>
      <c r="E399" s="12"/>
      <c r="F399" s="12" t="s">
        <v>85</v>
      </c>
      <c r="G399" s="12" t="s">
        <v>86</v>
      </c>
      <c r="H399" s="12" t="str">
        <f>B378</f>
        <v>transport, Tram, electric</v>
      </c>
    </row>
    <row r="400" spans="1:8" x14ac:dyDescent="0.3">
      <c r="A400" s="12" t="str">
        <f>B374&amp;", "&amp;B376</f>
        <v>Tram, electric, 2030</v>
      </c>
      <c r="B400" s="12">
        <f>1/B382/B383</f>
        <v>9.3984962406015038E-9</v>
      </c>
      <c r="C400" s="12" t="str">
        <f>B373</f>
        <v>CH</v>
      </c>
      <c r="D400" s="12" t="s">
        <v>77</v>
      </c>
      <c r="E400" s="12"/>
      <c r="F400" s="12" t="s">
        <v>91</v>
      </c>
      <c r="G400" s="12"/>
      <c r="H400" s="12" t="str">
        <f>RIGHT(H399,LEN(H399)-11)</f>
        <v>Tram, electric</v>
      </c>
    </row>
    <row r="401" spans="1:8" x14ac:dyDescent="0.3">
      <c r="A401" s="12" t="s">
        <v>114</v>
      </c>
      <c r="B401" s="14">
        <f>INDEX('vehicles specifications'!$B$3:$CK$86,MATCH(B377,'vehicles specifications'!$A$3:$A$86,0),MATCH(G401,'vehicles specifications'!$B$2:$CK$2,0))*INDEX('ei names mapping'!$B$137:$BK$220,MATCH(B377,'ei names mapping'!$A$137:$A$220,0),MATCH(G401,'ei names mapping'!$B$136:$BK$136,0))</f>
        <v>9.7222222222222224E-2</v>
      </c>
      <c r="C401" s="12" t="str">
        <f>INDEX('ei names mapping'!$B$38:$BK$67,MATCH(B374,'ei names mapping'!$A$4:$A$33,0),MATCH(G401,'ei names mapping'!$B$3:$BK$3,0))</f>
        <v>CH</v>
      </c>
      <c r="D401" s="12" t="str">
        <f>INDEX('ei names mapping'!$B$104:$BK$133,MATCH(B374,'ei names mapping'!$A$4:$A$33,0),MATCH(G401,'ei names mapping'!$B$3:$BK$3,0))</f>
        <v>kilowatt hour</v>
      </c>
      <c r="E401" s="12"/>
      <c r="F401" s="12" t="s">
        <v>91</v>
      </c>
      <c r="G401" t="s">
        <v>28</v>
      </c>
      <c r="H401" s="12" t="s">
        <v>116</v>
      </c>
    </row>
    <row r="402" spans="1:8" s="21" customFormat="1" x14ac:dyDescent="0.3">
      <c r="A402" s="12" t="s">
        <v>575</v>
      </c>
      <c r="B402" s="15">
        <f>0.00000971/B383</f>
        <v>2.5552631578947371E-7</v>
      </c>
      <c r="C402" s="12" t="s">
        <v>98</v>
      </c>
      <c r="D402" s="12" t="s">
        <v>78</v>
      </c>
      <c r="E402" s="12"/>
      <c r="F402" s="12" t="s">
        <v>91</v>
      </c>
      <c r="G402" s="21" t="s">
        <v>577</v>
      </c>
      <c r="H402" s="12" t="s">
        <v>576</v>
      </c>
    </row>
    <row r="403" spans="1:8" x14ac:dyDescent="0.3">
      <c r="A403" s="12" t="str">
        <f>INDEX('ei names mapping'!$B$4:$R$33,MATCH(B374,'ei names mapping'!$A$4:$A$33,0),MATCH(G403,'ei names mapping'!$B$3:$R$3,0))</f>
        <v>maintenance, tram</v>
      </c>
      <c r="B403" s="15">
        <f>INDEX('vehicles specifications'!$B$3:$CK$86,MATCH(B377,'vehicles specifications'!$A$3:$A$86,0),MATCH(G403,'vehicles specifications'!$B$2:$CK$2,0))*INDEX('ei names mapping'!$B$137:$BK$220,MATCH(B377,'ei names mapping'!$A$137:$A$220,0),MATCH(G403,'ei names mapping'!$B$136:$BK$136,0))</f>
        <v>1.2531328320802004E-8</v>
      </c>
      <c r="C403" s="12" t="str">
        <f>INDEX('ei names mapping'!$B$38:$BK$67,MATCH(B374,'ei names mapping'!$A$4:$A$33,0),MATCH(G403,'ei names mapping'!$B$3:$BK$3,0))</f>
        <v>CH</v>
      </c>
      <c r="D403" s="12" t="str">
        <f>INDEX('ei names mapping'!$B$104:$BK$133,MATCH(B374,'ei names mapping'!$A$4:$A$33,0),MATCH(G403,'ei names mapping'!$B$3:$BK$3,0))</f>
        <v>unit</v>
      </c>
      <c r="E403" s="12"/>
      <c r="F403" s="12" t="s">
        <v>91</v>
      </c>
      <c r="G403" t="s">
        <v>123</v>
      </c>
      <c r="H403" s="12" t="str">
        <f>INDEX('ei names mapping'!$B$71:$BK$100,MATCH(B374,'ei names mapping'!$A$4:$A$33,0),MATCH(G403,'ei names mapping'!$B$3:$BK$3,0))</f>
        <v>maintenance, tram</v>
      </c>
    </row>
    <row r="404" spans="1:8" s="21" customFormat="1" x14ac:dyDescent="0.3">
      <c r="A404" s="21" t="s">
        <v>578</v>
      </c>
      <c r="B404" s="15">
        <f>B402</f>
        <v>2.5552631578947371E-7</v>
      </c>
      <c r="C404" s="12"/>
      <c r="D404" s="12" t="s">
        <v>78</v>
      </c>
      <c r="E404" s="12" t="s">
        <v>171</v>
      </c>
      <c r="F404" s="12" t="s">
        <v>173</v>
      </c>
      <c r="G404" s="12" t="s">
        <v>579</v>
      </c>
      <c r="H404" s="12"/>
    </row>
    <row r="405" spans="1:8" s="21" customFormat="1" x14ac:dyDescent="0.3">
      <c r="A405" s="21" t="s">
        <v>464</v>
      </c>
      <c r="B405" s="15">
        <f>0.00000016/B383</f>
        <v>4.2105263157894742E-9</v>
      </c>
      <c r="C405" s="12"/>
      <c r="D405" s="12" t="s">
        <v>78</v>
      </c>
      <c r="E405" s="12" t="s">
        <v>171</v>
      </c>
      <c r="F405" s="12" t="s">
        <v>173</v>
      </c>
      <c r="G405" s="12" t="s">
        <v>584</v>
      </c>
      <c r="H405" s="12"/>
    </row>
    <row r="406" spans="1:8" s="21" customFormat="1" x14ac:dyDescent="0.3">
      <c r="A406" s="21" t="s">
        <v>580</v>
      </c>
      <c r="B406" s="15">
        <f>0.00000032/B383</f>
        <v>8.4210526315789483E-9</v>
      </c>
      <c r="C406" s="12"/>
      <c r="D406" s="12" t="s">
        <v>78</v>
      </c>
      <c r="E406" s="12" t="s">
        <v>171</v>
      </c>
      <c r="F406" s="12" t="s">
        <v>173</v>
      </c>
      <c r="G406" s="12" t="s">
        <v>584</v>
      </c>
      <c r="H406" s="12"/>
    </row>
    <row r="407" spans="1:8" s="21" customFormat="1" x14ac:dyDescent="0.3">
      <c r="A407" s="21" t="s">
        <v>581</v>
      </c>
      <c r="B407" s="15">
        <f>0.00000033/B383</f>
        <v>8.6842105263157895E-9</v>
      </c>
      <c r="C407" s="12"/>
      <c r="D407" s="12" t="s">
        <v>78</v>
      </c>
      <c r="E407" s="12" t="s">
        <v>171</v>
      </c>
      <c r="F407" s="12" t="s">
        <v>173</v>
      </c>
      <c r="G407" s="12" t="s">
        <v>584</v>
      </c>
      <c r="H407" s="12"/>
    </row>
    <row r="408" spans="1:8" s="21" customFormat="1" x14ac:dyDescent="0.3">
      <c r="A408" s="21" t="s">
        <v>464</v>
      </c>
      <c r="B408" s="15">
        <f>0.000009/B383</f>
        <v>2.368421052631579E-7</v>
      </c>
      <c r="C408" s="12"/>
      <c r="D408" s="12" t="s">
        <v>78</v>
      </c>
      <c r="E408" s="12" t="s">
        <v>171</v>
      </c>
      <c r="F408" s="12" t="s">
        <v>173</v>
      </c>
      <c r="G408" s="12" t="s">
        <v>585</v>
      </c>
      <c r="H408" s="12"/>
    </row>
    <row r="409" spans="1:8" s="21" customFormat="1" x14ac:dyDescent="0.3">
      <c r="A409" s="21" t="s">
        <v>580</v>
      </c>
      <c r="B409" s="15">
        <f>0.000018/B383</f>
        <v>4.736842105263158E-7</v>
      </c>
      <c r="C409" s="12"/>
      <c r="D409" s="12" t="s">
        <v>78</v>
      </c>
      <c r="E409" s="12" t="s">
        <v>171</v>
      </c>
      <c r="F409" s="12" t="s">
        <v>173</v>
      </c>
      <c r="G409" s="12" t="s">
        <v>585</v>
      </c>
      <c r="H409" s="12"/>
    </row>
    <row r="410" spans="1:8" s="21" customFormat="1" x14ac:dyDescent="0.3">
      <c r="A410" s="21" t="s">
        <v>464</v>
      </c>
      <c r="B410" s="15">
        <f>0.000004/B383</f>
        <v>1.0526315789473683E-7</v>
      </c>
      <c r="C410" s="12"/>
      <c r="D410" s="12" t="s">
        <v>78</v>
      </c>
      <c r="E410" s="12" t="s">
        <v>171</v>
      </c>
      <c r="F410" s="12" t="s">
        <v>173</v>
      </c>
      <c r="G410" s="12" t="s">
        <v>586</v>
      </c>
      <c r="H410" s="12"/>
    </row>
    <row r="411" spans="1:8" s="21" customFormat="1" x14ac:dyDescent="0.3">
      <c r="A411" s="21" t="s">
        <v>580</v>
      </c>
      <c r="B411" s="15">
        <f>0.000008/B383</f>
        <v>2.1052631578947366E-7</v>
      </c>
      <c r="C411" s="12"/>
      <c r="D411" s="12" t="s">
        <v>78</v>
      </c>
      <c r="E411" s="12" t="s">
        <v>171</v>
      </c>
      <c r="F411" s="12" t="s">
        <v>173</v>
      </c>
      <c r="G411" s="12" t="s">
        <v>586</v>
      </c>
      <c r="H411" s="12"/>
    </row>
    <row r="412" spans="1:8" s="21" customFormat="1" x14ac:dyDescent="0.3">
      <c r="A412" s="21" t="s">
        <v>582</v>
      </c>
      <c r="B412" s="15">
        <f>0.00000008/B383</f>
        <v>2.1052631578947371E-9</v>
      </c>
      <c r="C412" s="12"/>
      <c r="D412" s="12" t="s">
        <v>78</v>
      </c>
      <c r="E412" s="12" t="s">
        <v>171</v>
      </c>
      <c r="F412" s="12" t="s">
        <v>173</v>
      </c>
      <c r="G412" s="12" t="s">
        <v>586</v>
      </c>
      <c r="H412" s="12"/>
    </row>
    <row r="413" spans="1:8" s="21" customFormat="1" x14ac:dyDescent="0.3">
      <c r="A413" s="21" t="s">
        <v>583</v>
      </c>
      <c r="B413" s="15">
        <f>0.00000016/B383</f>
        <v>4.2105263157894742E-9</v>
      </c>
      <c r="C413" s="12"/>
      <c r="D413" s="12" t="s">
        <v>78</v>
      </c>
      <c r="E413" s="12" t="s">
        <v>171</v>
      </c>
      <c r="F413" s="12" t="s">
        <v>173</v>
      </c>
      <c r="G413" s="12" t="s">
        <v>586</v>
      </c>
      <c r="H413" s="12"/>
    </row>
    <row r="415" spans="1:8" ht="15.6" x14ac:dyDescent="0.3">
      <c r="A415" s="11" t="s">
        <v>72</v>
      </c>
      <c r="B415" s="9" t="str">
        <f>"transport, "&amp;B417&amp;", "&amp;B419&amp;", label-certified electricity"</f>
        <v>transport, Tram, electric, 2040, label-certified electricity</v>
      </c>
    </row>
    <row r="416" spans="1:8" x14ac:dyDescent="0.3">
      <c r="A416" t="s">
        <v>73</v>
      </c>
      <c r="B416" t="s">
        <v>37</v>
      </c>
    </row>
    <row r="417" spans="1:2" x14ac:dyDescent="0.3">
      <c r="A417" t="s">
        <v>87</v>
      </c>
      <c r="B417" s="21" t="s">
        <v>519</v>
      </c>
    </row>
    <row r="418" spans="1:2" x14ac:dyDescent="0.3">
      <c r="A418" t="s">
        <v>88</v>
      </c>
      <c r="B418" s="12"/>
    </row>
    <row r="419" spans="1:2" x14ac:dyDescent="0.3">
      <c r="A419" t="s">
        <v>89</v>
      </c>
      <c r="B419" s="12">
        <v>2040</v>
      </c>
    </row>
    <row r="420" spans="1:2" x14ac:dyDescent="0.3">
      <c r="A420" t="s">
        <v>131</v>
      </c>
      <c r="B420" s="12" t="str">
        <f>B417&amp;" - "&amp;B419&amp;" - "&amp;B416</f>
        <v>Tram, electric - 2040 - CH</v>
      </c>
    </row>
    <row r="421" spans="1:2" x14ac:dyDescent="0.3">
      <c r="A421" t="s">
        <v>74</v>
      </c>
      <c r="B421" s="12" t="str">
        <f>"transport, "&amp;B417</f>
        <v>transport, Tram, electric</v>
      </c>
    </row>
    <row r="422" spans="1:2" x14ac:dyDescent="0.3">
      <c r="A422" t="s">
        <v>75</v>
      </c>
      <c r="B422" t="s">
        <v>76</v>
      </c>
    </row>
    <row r="423" spans="1:2" x14ac:dyDescent="0.3">
      <c r="A423" t="s">
        <v>77</v>
      </c>
      <c r="B423" t="s">
        <v>175</v>
      </c>
    </row>
    <row r="424" spans="1:2" x14ac:dyDescent="0.3">
      <c r="A424" t="s">
        <v>79</v>
      </c>
      <c r="B424" t="s">
        <v>90</v>
      </c>
    </row>
    <row r="425" spans="1:2" x14ac:dyDescent="0.3">
      <c r="A425" t="s">
        <v>132</v>
      </c>
      <c r="B425">
        <f>INDEX('vehicles specifications'!$B$3:$CK$86,MATCH(B420,'vehicles specifications'!$A$3:$A$86,0),MATCH("Lifetime [km]",'vehicles specifications'!$B$2:$CK$2,0))</f>
        <v>2800000</v>
      </c>
    </row>
    <row r="426" spans="1:2" x14ac:dyDescent="0.3">
      <c r="A426" t="s">
        <v>133</v>
      </c>
      <c r="B426">
        <f>INDEX('vehicles specifications'!$B$3:$CK$86,MATCH(B420,'vehicles specifications'!$A$3:$A$86,0),MATCH("Passengers [unit]",'vehicles specifications'!$B$2:$CK$2,0))</f>
        <v>38</v>
      </c>
    </row>
    <row r="427" spans="1:2" x14ac:dyDescent="0.3">
      <c r="A427" t="s">
        <v>134</v>
      </c>
      <c r="B427">
        <f>INDEX('vehicles specifications'!$B$3:$CK$86,MATCH(B420,'vehicles specifications'!$A$3:$A$86,0),MATCH("Servicing [unit]",'vehicles specifications'!$B$2:$CK$2,0))</f>
        <v>1.3333333333333333</v>
      </c>
    </row>
    <row r="428" spans="1:2" x14ac:dyDescent="0.3">
      <c r="A428" t="s">
        <v>135</v>
      </c>
      <c r="B428">
        <f>INDEX('vehicles specifications'!$B$3:$CK$86,MATCH(B420,'vehicles specifications'!$A$3:$A$86,0),MATCH("Energy battery replacement [unit]",'vehicles specifications'!$B$2:$CK$2,0))</f>
        <v>0</v>
      </c>
    </row>
    <row r="429" spans="1:2" x14ac:dyDescent="0.3">
      <c r="A429" t="s">
        <v>136</v>
      </c>
      <c r="B429">
        <f>INDEX('vehicles specifications'!$B$3:$CK$86,MATCH(B420,'vehicles specifications'!$A$3:$A$86,0),MATCH("Annual kilometers [km]",'vehicles specifications'!$B$2:$CK$2,0))</f>
        <v>70000</v>
      </c>
    </row>
    <row r="430" spans="1:2" x14ac:dyDescent="0.3">
      <c r="A430" t="s">
        <v>137</v>
      </c>
      <c r="B430">
        <f>INDEX('vehicles specifications'!$B$3:$CK$86,MATCH(B420,'vehicles specifications'!$A$3:$A$86,0),MATCH("Curb mass [kg]",'vehicles specifications'!$B$2:$CK$2,0))</f>
        <v>51202</v>
      </c>
    </row>
    <row r="431" spans="1:2" x14ac:dyDescent="0.3">
      <c r="A431" t="s">
        <v>138</v>
      </c>
      <c r="B431">
        <f>INDEX('vehicles specifications'!$B$3:$CK$86,MATCH(B420,'vehicles specifications'!$A$3:$A$86,0),MATCH("Power [kW]",'vehicles specifications'!$B$2:$CK$2,0))</f>
        <v>660</v>
      </c>
    </row>
    <row r="432" spans="1:2" x14ac:dyDescent="0.3">
      <c r="A432" t="s">
        <v>139</v>
      </c>
      <c r="B432">
        <f>INDEX('vehicles specifications'!$B$3:$CK$86,MATCH(B420,'vehicles specifications'!$A$3:$A$86,0),MATCH("Energy battery mass [kg]",'vehicles specifications'!$B$2:$CK$2,0))</f>
        <v>0</v>
      </c>
    </row>
    <row r="433" spans="1:8" x14ac:dyDescent="0.3">
      <c r="A433" t="s">
        <v>140</v>
      </c>
      <c r="B433">
        <f>INDEX('vehicles specifications'!$B$3:$CK$86,MATCH(B420,'vehicles specifications'!$A$3:$A$86,0),MATCH("Electric energy available [kWh]",'vehicles specifications'!$B$2:$CK$2,0))</f>
        <v>0</v>
      </c>
    </row>
    <row r="434" spans="1:8" x14ac:dyDescent="0.3">
      <c r="A434" t="s">
        <v>143</v>
      </c>
      <c r="B434">
        <f>INDEX('vehicles specifications'!$B$3:$CK$86,MATCH(B420,'vehicles specifications'!$A$3:$A$86,0),MATCH("Oxydation energy stored [kWh]",'vehicles specifications'!$B$2:$CK$2,0))</f>
        <v>0</v>
      </c>
    </row>
    <row r="435" spans="1:8" x14ac:dyDescent="0.3">
      <c r="A435" t="s">
        <v>145</v>
      </c>
      <c r="B435">
        <f>INDEX('vehicles specifications'!$B$3:$CK$86,MATCH(B420,'vehicles specifications'!$A$3:$A$86,0),MATCH("Fuel mass [kg]",'vehicles specifications'!$B$2:$CK$2,0))</f>
        <v>0</v>
      </c>
    </row>
    <row r="436" spans="1:8" x14ac:dyDescent="0.3">
      <c r="A436" t="s">
        <v>141</v>
      </c>
      <c r="B436">
        <f>INDEX('vehicles specifications'!$B$3:$CK$86,MATCH(B420,'vehicles specifications'!$A$3:$A$86,0),MATCH("Range [km]",'vehicles specifications'!$B$2:$CK$2,0))</f>
        <v>0</v>
      </c>
    </row>
    <row r="437" spans="1:8" x14ac:dyDescent="0.3">
      <c r="A437" t="s">
        <v>142</v>
      </c>
      <c r="B437" t="str">
        <f>INDEX('vehicles specifications'!$B$3:$CK$86,MATCH(B420,'vehicles specifications'!$A$3:$A$86,0),MATCH("Emission standard",'vehicles specifications'!$B$2:$CK$2,0))</f>
        <v>None</v>
      </c>
    </row>
    <row r="438" spans="1:8" x14ac:dyDescent="0.3">
      <c r="A438" t="s">
        <v>144</v>
      </c>
      <c r="B438" s="6">
        <f>INDEX('vehicles specifications'!$B$3:$CK$86,MATCH(B420,'vehicles specifications'!$A$3:$A$86,0),MATCH("Lightweighting rate [%]",'vehicles specifications'!$B$2:$CK$2,0))</f>
        <v>0.05</v>
      </c>
    </row>
    <row r="439" spans="1:8" x14ac:dyDescent="0.3">
      <c r="A439" t="s">
        <v>84</v>
      </c>
      <c r="B439" s="21" t="str">
        <f>"Power: "&amp;B431&amp;" kW. Lifetime: "&amp;B425&amp;" km. Annual kilometers: "&amp;B429&amp;" km. Number of passengers: "&amp;B426&amp;". Curb mass: "&amp;ROUND(B430,1)&amp;" kg. Lightweighting of glider: "&amp;ROUND(B438*100,0)&amp;"%. Emission standard: "&amp;B437&amp;". Service visits throughout lifetime: every year for "&amp;B425/B429&amp;" years. Range: "&amp;ROUND(B436,0)&amp;" km. Battery capacity: "&amp;ROUND(B433,1)&amp;" kWh. Battery mass: "&amp;ROUND(B432,1)&amp; " kg. Battery replacement throughout lifetime: "&amp;ROUND(B428,1)&amp;". Fuel tank capacity: "&amp;ROUND(B434,1)&amp;" kWh. Fuel mass: "&amp;ROUND(B435,1)&amp;" kg. Documentation: "&amp;Readmefirst!$B$2&amp;", "&amp;Readmefirst!$B$3&amp;". "&amp;B424</f>
        <v>Power: 660 kW. Lifetime: 2800000 km. Annual kilometers: 70000 km. Number of passengers: 38. Curb mass: 51202 kg. Lightweighting of glider: 5%.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40" spans="1:8" ht="15.6" x14ac:dyDescent="0.3">
      <c r="A440" s="11" t="s">
        <v>80</v>
      </c>
    </row>
    <row r="441" spans="1:8" x14ac:dyDescent="0.3">
      <c r="A441" t="s">
        <v>81</v>
      </c>
      <c r="B441" t="s">
        <v>82</v>
      </c>
      <c r="C441" t="s">
        <v>73</v>
      </c>
      <c r="D441" t="s">
        <v>77</v>
      </c>
      <c r="E441" t="s">
        <v>83</v>
      </c>
      <c r="F441" t="s">
        <v>75</v>
      </c>
      <c r="G441" t="s">
        <v>84</v>
      </c>
      <c r="H441" t="s">
        <v>74</v>
      </c>
    </row>
    <row r="442" spans="1:8" x14ac:dyDescent="0.3">
      <c r="A442" s="12" t="str">
        <f>B415</f>
        <v>transport, Tram, electric, 2040, label-certified electricity</v>
      </c>
      <c r="B442" s="12">
        <v>1</v>
      </c>
      <c r="C442" s="12" t="str">
        <f>B416</f>
        <v>CH</v>
      </c>
      <c r="D442" s="12" t="str">
        <f>B423</f>
        <v>person-kilometer</v>
      </c>
      <c r="E442" s="12"/>
      <c r="F442" s="12" t="s">
        <v>85</v>
      </c>
      <c r="G442" s="12" t="s">
        <v>86</v>
      </c>
      <c r="H442" s="12" t="str">
        <f>B421</f>
        <v>transport, Tram, electric</v>
      </c>
    </row>
    <row r="443" spans="1:8" x14ac:dyDescent="0.3">
      <c r="A443" s="12" t="str">
        <f>B417&amp;", "&amp;B419</f>
        <v>Tram, electric, 2040</v>
      </c>
      <c r="B443" s="12">
        <f>1/B425/B426</f>
        <v>9.3984962406015038E-9</v>
      </c>
      <c r="C443" s="12" t="str">
        <f>B416</f>
        <v>CH</v>
      </c>
      <c r="D443" s="12" t="s">
        <v>77</v>
      </c>
      <c r="E443" s="12"/>
      <c r="F443" s="12" t="s">
        <v>91</v>
      </c>
      <c r="G443" s="12"/>
      <c r="H443" s="12" t="str">
        <f>RIGHT(H442,LEN(H442)-11)</f>
        <v>Tram, electric</v>
      </c>
    </row>
    <row r="444" spans="1:8" x14ac:dyDescent="0.3">
      <c r="A444" s="12" t="s">
        <v>114</v>
      </c>
      <c r="B444" s="14">
        <f>INDEX('vehicles specifications'!$B$3:$CK$86,MATCH(B420,'vehicles specifications'!$A$3:$A$86,0),MATCH(G444,'vehicles specifications'!$B$2:$CK$2,0))*INDEX('ei names mapping'!$B$137:$BK$220,MATCH(B420,'ei names mapping'!$A$137:$A$220,0),MATCH(G444,'ei names mapping'!$B$136:$BK$136,0))</f>
        <v>9.7222222222222224E-2</v>
      </c>
      <c r="C444" s="12" t="str">
        <f>INDEX('ei names mapping'!$B$38:$BK$67,MATCH(B417,'ei names mapping'!$A$4:$A$33,0),MATCH(G444,'ei names mapping'!$B$3:$BK$3,0))</f>
        <v>CH</v>
      </c>
      <c r="D444" s="12" t="str">
        <f>INDEX('ei names mapping'!$B$104:$BK$133,MATCH(B417,'ei names mapping'!$A$4:$A$33,0),MATCH(G444,'ei names mapping'!$B$3:$BK$3,0))</f>
        <v>kilowatt hour</v>
      </c>
      <c r="E444" s="12"/>
      <c r="F444" s="12" t="s">
        <v>91</v>
      </c>
      <c r="G444" t="s">
        <v>28</v>
      </c>
      <c r="H444" s="12" t="s">
        <v>116</v>
      </c>
    </row>
    <row r="445" spans="1:8" s="21" customFormat="1" x14ac:dyDescent="0.3">
      <c r="A445" s="12" t="s">
        <v>575</v>
      </c>
      <c r="B445" s="15">
        <f>0.00000971/B426</f>
        <v>2.5552631578947371E-7</v>
      </c>
      <c r="C445" s="12" t="s">
        <v>98</v>
      </c>
      <c r="D445" s="12" t="s">
        <v>78</v>
      </c>
      <c r="E445" s="12"/>
      <c r="F445" s="12" t="s">
        <v>91</v>
      </c>
      <c r="G445" s="21" t="s">
        <v>577</v>
      </c>
      <c r="H445" s="12" t="s">
        <v>576</v>
      </c>
    </row>
    <row r="446" spans="1:8" x14ac:dyDescent="0.3">
      <c r="A446" s="12" t="str">
        <f>INDEX('ei names mapping'!$B$4:$R$33,MATCH(B417,'ei names mapping'!$A$4:$A$33,0),MATCH(G446,'ei names mapping'!$B$3:$R$3,0))</f>
        <v>maintenance, tram</v>
      </c>
      <c r="B446" s="15">
        <f>INDEX('vehicles specifications'!$B$3:$CK$86,MATCH(B420,'vehicles specifications'!$A$3:$A$86,0),MATCH(G446,'vehicles specifications'!$B$2:$CK$2,0))*INDEX('ei names mapping'!$B$137:$BK$220,MATCH(B420,'ei names mapping'!$A$137:$A$220,0),MATCH(G446,'ei names mapping'!$B$136:$BK$136,0))</f>
        <v>1.2531328320802004E-8</v>
      </c>
      <c r="C446" s="12" t="str">
        <f>INDEX('ei names mapping'!$B$38:$BK$67,MATCH(B417,'ei names mapping'!$A$4:$A$33,0),MATCH(G446,'ei names mapping'!$B$3:$BK$3,0))</f>
        <v>CH</v>
      </c>
      <c r="D446" s="12" t="str">
        <f>INDEX('ei names mapping'!$B$104:$BK$133,MATCH(B417,'ei names mapping'!$A$4:$A$33,0),MATCH(G446,'ei names mapping'!$B$3:$BK$3,0))</f>
        <v>unit</v>
      </c>
      <c r="E446" s="12"/>
      <c r="F446" s="12" t="s">
        <v>91</v>
      </c>
      <c r="G446" t="s">
        <v>123</v>
      </c>
      <c r="H446" s="12" t="str">
        <f>INDEX('ei names mapping'!$B$71:$BK$100,MATCH(B417,'ei names mapping'!$A$4:$A$33,0),MATCH(G446,'ei names mapping'!$B$3:$BK$3,0))</f>
        <v>maintenance, tram</v>
      </c>
    </row>
    <row r="447" spans="1:8" s="21" customFormat="1" x14ac:dyDescent="0.3">
      <c r="A447" s="21" t="s">
        <v>578</v>
      </c>
      <c r="B447" s="15">
        <f>B445</f>
        <v>2.5552631578947371E-7</v>
      </c>
      <c r="C447" s="12"/>
      <c r="D447" s="12" t="s">
        <v>78</v>
      </c>
      <c r="E447" s="12" t="s">
        <v>171</v>
      </c>
      <c r="F447" s="12" t="s">
        <v>173</v>
      </c>
      <c r="G447" s="12" t="s">
        <v>579</v>
      </c>
      <c r="H447" s="12"/>
    </row>
    <row r="448" spans="1:8" s="21" customFormat="1" x14ac:dyDescent="0.3">
      <c r="A448" s="21" t="s">
        <v>464</v>
      </c>
      <c r="B448" s="15">
        <f>0.00000016/B426</f>
        <v>4.2105263157894742E-9</v>
      </c>
      <c r="C448" s="12"/>
      <c r="D448" s="12" t="s">
        <v>78</v>
      </c>
      <c r="E448" s="12" t="s">
        <v>171</v>
      </c>
      <c r="F448" s="12" t="s">
        <v>173</v>
      </c>
      <c r="G448" s="12" t="s">
        <v>584</v>
      </c>
      <c r="H448" s="12"/>
    </row>
    <row r="449" spans="1:8" s="21" customFormat="1" x14ac:dyDescent="0.3">
      <c r="A449" s="21" t="s">
        <v>580</v>
      </c>
      <c r="B449" s="15">
        <f>0.00000032/B426</f>
        <v>8.4210526315789483E-9</v>
      </c>
      <c r="C449" s="12"/>
      <c r="D449" s="12" t="s">
        <v>78</v>
      </c>
      <c r="E449" s="12" t="s">
        <v>171</v>
      </c>
      <c r="F449" s="12" t="s">
        <v>173</v>
      </c>
      <c r="G449" s="12" t="s">
        <v>584</v>
      </c>
      <c r="H449" s="12"/>
    </row>
    <row r="450" spans="1:8" s="21" customFormat="1" x14ac:dyDescent="0.3">
      <c r="A450" s="21" t="s">
        <v>581</v>
      </c>
      <c r="B450" s="15">
        <f>0.00000033/B426</f>
        <v>8.6842105263157895E-9</v>
      </c>
      <c r="C450" s="12"/>
      <c r="D450" s="12" t="s">
        <v>78</v>
      </c>
      <c r="E450" s="12" t="s">
        <v>171</v>
      </c>
      <c r="F450" s="12" t="s">
        <v>173</v>
      </c>
      <c r="G450" s="12" t="s">
        <v>584</v>
      </c>
      <c r="H450" s="12"/>
    </row>
    <row r="451" spans="1:8" s="21" customFormat="1" x14ac:dyDescent="0.3">
      <c r="A451" s="21" t="s">
        <v>464</v>
      </c>
      <c r="B451" s="15">
        <f>0.000009/B426</f>
        <v>2.368421052631579E-7</v>
      </c>
      <c r="C451" s="12"/>
      <c r="D451" s="12" t="s">
        <v>78</v>
      </c>
      <c r="E451" s="12" t="s">
        <v>171</v>
      </c>
      <c r="F451" s="12" t="s">
        <v>173</v>
      </c>
      <c r="G451" s="12" t="s">
        <v>585</v>
      </c>
      <c r="H451" s="12"/>
    </row>
    <row r="452" spans="1:8" s="21" customFormat="1" x14ac:dyDescent="0.3">
      <c r="A452" s="21" t="s">
        <v>580</v>
      </c>
      <c r="B452" s="15">
        <f>0.000018/B426</f>
        <v>4.736842105263158E-7</v>
      </c>
      <c r="C452" s="12"/>
      <c r="D452" s="12" t="s">
        <v>78</v>
      </c>
      <c r="E452" s="12" t="s">
        <v>171</v>
      </c>
      <c r="F452" s="12" t="s">
        <v>173</v>
      </c>
      <c r="G452" s="12" t="s">
        <v>585</v>
      </c>
      <c r="H452" s="12"/>
    </row>
    <row r="453" spans="1:8" s="21" customFormat="1" x14ac:dyDescent="0.3">
      <c r="A453" s="21" t="s">
        <v>464</v>
      </c>
      <c r="B453" s="15">
        <f>0.000004/B426</f>
        <v>1.0526315789473683E-7</v>
      </c>
      <c r="C453" s="12"/>
      <c r="D453" s="12" t="s">
        <v>78</v>
      </c>
      <c r="E453" s="12" t="s">
        <v>171</v>
      </c>
      <c r="F453" s="12" t="s">
        <v>173</v>
      </c>
      <c r="G453" s="12" t="s">
        <v>586</v>
      </c>
      <c r="H453" s="12"/>
    </row>
    <row r="454" spans="1:8" s="21" customFormat="1" x14ac:dyDescent="0.3">
      <c r="A454" s="21" t="s">
        <v>580</v>
      </c>
      <c r="B454" s="15">
        <f>0.000008/B426</f>
        <v>2.1052631578947366E-7</v>
      </c>
      <c r="C454" s="12"/>
      <c r="D454" s="12" t="s">
        <v>78</v>
      </c>
      <c r="E454" s="12" t="s">
        <v>171</v>
      </c>
      <c r="F454" s="12" t="s">
        <v>173</v>
      </c>
      <c r="G454" s="12" t="s">
        <v>586</v>
      </c>
      <c r="H454" s="12"/>
    </row>
    <row r="455" spans="1:8" s="21" customFormat="1" x14ac:dyDescent="0.3">
      <c r="A455" s="21" t="s">
        <v>582</v>
      </c>
      <c r="B455" s="15">
        <f>0.00000008/B426</f>
        <v>2.1052631578947371E-9</v>
      </c>
      <c r="C455" s="12"/>
      <c r="D455" s="12" t="s">
        <v>78</v>
      </c>
      <c r="E455" s="12" t="s">
        <v>171</v>
      </c>
      <c r="F455" s="12" t="s">
        <v>173</v>
      </c>
      <c r="G455" s="12" t="s">
        <v>586</v>
      </c>
      <c r="H455" s="12"/>
    </row>
    <row r="456" spans="1:8" s="21" customFormat="1" x14ac:dyDescent="0.3">
      <c r="A456" s="21" t="s">
        <v>583</v>
      </c>
      <c r="B456" s="15">
        <f>0.00000016/B426</f>
        <v>4.2105263157894742E-9</v>
      </c>
      <c r="C456" s="12"/>
      <c r="D456" s="12" t="s">
        <v>78</v>
      </c>
      <c r="E456" s="12" t="s">
        <v>171</v>
      </c>
      <c r="F456" s="12" t="s">
        <v>173</v>
      </c>
      <c r="G456" s="12" t="s">
        <v>586</v>
      </c>
      <c r="H456" s="12"/>
    </row>
    <row r="458" spans="1:8" ht="15.6" x14ac:dyDescent="0.3">
      <c r="A458" s="11" t="s">
        <v>72</v>
      </c>
      <c r="B458" s="9" t="str">
        <f>"transport, "&amp;B460&amp;", "&amp;B462&amp;", label-certified electricity"</f>
        <v>transport, Tram, electric, 2050, label-certified electricity</v>
      </c>
    </row>
    <row r="459" spans="1:8" x14ac:dyDescent="0.3">
      <c r="A459" t="s">
        <v>73</v>
      </c>
      <c r="B459" t="s">
        <v>37</v>
      </c>
    </row>
    <row r="460" spans="1:8" x14ac:dyDescent="0.3">
      <c r="A460" t="s">
        <v>87</v>
      </c>
      <c r="B460" s="21" t="s">
        <v>519</v>
      </c>
    </row>
    <row r="461" spans="1:8" x14ac:dyDescent="0.3">
      <c r="A461" t="s">
        <v>88</v>
      </c>
      <c r="B461" s="12"/>
    </row>
    <row r="462" spans="1:8" x14ac:dyDescent="0.3">
      <c r="A462" t="s">
        <v>89</v>
      </c>
      <c r="B462" s="12">
        <v>2050</v>
      </c>
    </row>
    <row r="463" spans="1:8" x14ac:dyDescent="0.3">
      <c r="A463" t="s">
        <v>131</v>
      </c>
      <c r="B463" s="12" t="str">
        <f>B460&amp;" - "&amp;B462&amp;" - "&amp;B459</f>
        <v>Tram, electric - 2050 - CH</v>
      </c>
    </row>
    <row r="464" spans="1:8" x14ac:dyDescent="0.3">
      <c r="A464" t="s">
        <v>74</v>
      </c>
      <c r="B464" s="12" t="str">
        <f>"transport, "&amp;B460</f>
        <v>transport, Tram, electric</v>
      </c>
    </row>
    <row r="465" spans="1:2" x14ac:dyDescent="0.3">
      <c r="A465" t="s">
        <v>75</v>
      </c>
      <c r="B465" t="s">
        <v>76</v>
      </c>
    </row>
    <row r="466" spans="1:2" x14ac:dyDescent="0.3">
      <c r="A466" t="s">
        <v>77</v>
      </c>
      <c r="B466" t="s">
        <v>175</v>
      </c>
    </row>
    <row r="467" spans="1:2" x14ac:dyDescent="0.3">
      <c r="A467" t="s">
        <v>79</v>
      </c>
      <c r="B467" t="s">
        <v>90</v>
      </c>
    </row>
    <row r="468" spans="1:2" x14ac:dyDescent="0.3">
      <c r="A468" t="s">
        <v>132</v>
      </c>
      <c r="B468">
        <f>INDEX('vehicles specifications'!$B$3:$CK$86,MATCH(B463,'vehicles specifications'!$A$3:$A$86,0),MATCH("Lifetime [km]",'vehicles specifications'!$B$2:$CK$2,0))</f>
        <v>2800000</v>
      </c>
    </row>
    <row r="469" spans="1:2" x14ac:dyDescent="0.3">
      <c r="A469" t="s">
        <v>133</v>
      </c>
      <c r="B469">
        <f>INDEX('vehicles specifications'!$B$3:$CK$86,MATCH(B463,'vehicles specifications'!$A$3:$A$86,0),MATCH("Passengers [unit]",'vehicles specifications'!$B$2:$CK$2,0))</f>
        <v>38</v>
      </c>
    </row>
    <row r="470" spans="1:2" x14ac:dyDescent="0.3">
      <c r="A470" t="s">
        <v>134</v>
      </c>
      <c r="B470">
        <f>INDEX('vehicles specifications'!$B$3:$CK$86,MATCH(B463,'vehicles specifications'!$A$3:$A$86,0),MATCH("Servicing [unit]",'vehicles specifications'!$B$2:$CK$2,0))</f>
        <v>1.3333333333333333</v>
      </c>
    </row>
    <row r="471" spans="1:2" x14ac:dyDescent="0.3">
      <c r="A471" t="s">
        <v>135</v>
      </c>
      <c r="B471">
        <f>INDEX('vehicles specifications'!$B$3:$CK$86,MATCH(B463,'vehicles specifications'!$A$3:$A$86,0),MATCH("Energy battery replacement [unit]",'vehicles specifications'!$B$2:$CK$2,0))</f>
        <v>0</v>
      </c>
    </row>
    <row r="472" spans="1:2" x14ac:dyDescent="0.3">
      <c r="A472" t="s">
        <v>136</v>
      </c>
      <c r="B472">
        <f>INDEX('vehicles specifications'!$B$3:$CK$86,MATCH(B463,'vehicles specifications'!$A$3:$A$86,0),MATCH("Annual kilometers [km]",'vehicles specifications'!$B$2:$CK$2,0))</f>
        <v>70000</v>
      </c>
    </row>
    <row r="473" spans="1:2" x14ac:dyDescent="0.3">
      <c r="A473" t="s">
        <v>137</v>
      </c>
      <c r="B473">
        <f>INDEX('vehicles specifications'!$B$3:$CK$86,MATCH(B463,'vehicles specifications'!$A$3:$A$86,0),MATCH("Curb mass [kg]",'vehicles specifications'!$B$2:$CK$2,0))</f>
        <v>50033</v>
      </c>
    </row>
    <row r="474" spans="1:2" x14ac:dyDescent="0.3">
      <c r="A474" t="s">
        <v>138</v>
      </c>
      <c r="B474">
        <f>INDEX('vehicles specifications'!$B$3:$CK$86,MATCH(B463,'vehicles specifications'!$A$3:$A$86,0),MATCH("Power [kW]",'vehicles specifications'!$B$2:$CK$2,0))</f>
        <v>660</v>
      </c>
    </row>
    <row r="475" spans="1:2" x14ac:dyDescent="0.3">
      <c r="A475" t="s">
        <v>139</v>
      </c>
      <c r="B475">
        <f>INDEX('vehicles specifications'!$B$3:$CK$86,MATCH(B463,'vehicles specifications'!$A$3:$A$86,0),MATCH("Energy battery mass [kg]",'vehicles specifications'!$B$2:$CK$2,0))</f>
        <v>0</v>
      </c>
    </row>
    <row r="476" spans="1:2" x14ac:dyDescent="0.3">
      <c r="A476" t="s">
        <v>140</v>
      </c>
      <c r="B476">
        <f>INDEX('vehicles specifications'!$B$3:$CK$86,MATCH(B463,'vehicles specifications'!$A$3:$A$86,0),MATCH("Electric energy available [kWh]",'vehicles specifications'!$B$2:$CK$2,0))</f>
        <v>0</v>
      </c>
    </row>
    <row r="477" spans="1:2" x14ac:dyDescent="0.3">
      <c r="A477" t="s">
        <v>143</v>
      </c>
      <c r="B477">
        <f>INDEX('vehicles specifications'!$B$3:$CK$86,MATCH(B463,'vehicles specifications'!$A$3:$A$86,0),MATCH("Oxydation energy stored [kWh]",'vehicles specifications'!$B$2:$CK$2,0))</f>
        <v>0</v>
      </c>
    </row>
    <row r="478" spans="1:2" x14ac:dyDescent="0.3">
      <c r="A478" t="s">
        <v>145</v>
      </c>
      <c r="B478">
        <f>INDEX('vehicles specifications'!$B$3:$CK$86,MATCH(B463,'vehicles specifications'!$A$3:$A$86,0),MATCH("Fuel mass [kg]",'vehicles specifications'!$B$2:$CK$2,0))</f>
        <v>0</v>
      </c>
    </row>
    <row r="479" spans="1:2" x14ac:dyDescent="0.3">
      <c r="A479" t="s">
        <v>141</v>
      </c>
      <c r="B479">
        <f>INDEX('vehicles specifications'!$B$3:$CK$86,MATCH(B463,'vehicles specifications'!$A$3:$A$86,0),MATCH("Range [km]",'vehicles specifications'!$B$2:$CK$2,0))</f>
        <v>0</v>
      </c>
    </row>
    <row r="480" spans="1:2" x14ac:dyDescent="0.3">
      <c r="A480" t="s">
        <v>142</v>
      </c>
      <c r="B480" t="str">
        <f>INDEX('vehicles specifications'!$B$3:$CK$86,MATCH(B463,'vehicles specifications'!$A$3:$A$86,0),MATCH("Emission standard",'vehicles specifications'!$B$2:$CK$2,0))</f>
        <v>None</v>
      </c>
    </row>
    <row r="481" spans="1:8" x14ac:dyDescent="0.3">
      <c r="A481" t="s">
        <v>144</v>
      </c>
      <c r="B481" s="6">
        <f>INDEX('vehicles specifications'!$B$3:$CK$86,MATCH(B463,'vehicles specifications'!$A$3:$A$86,0),MATCH("Lightweighting rate [%]",'vehicles specifications'!$B$2:$CK$2,0))</f>
        <v>7.0000000000000007E-2</v>
      </c>
    </row>
    <row r="482" spans="1:8" x14ac:dyDescent="0.3">
      <c r="A482" t="s">
        <v>84</v>
      </c>
      <c r="B482" s="21" t="str">
        <f>"Power: "&amp;B474&amp;" kW. Lifetime: "&amp;B468&amp;" km. Annual kilometers: "&amp;B472&amp;" km. Number of passengers: "&amp;B469&amp;". Curb mass: "&amp;ROUND(B473,1)&amp;" kg. Lightweighting of glider: "&amp;ROUND(B481*100,0)&amp;"%. Emission standard: "&amp;B480&amp;". Service visits throughout lifetime: every year for "&amp;B468/B472&amp;" years. Range: "&amp;ROUND(B479,0)&amp;" km. Battery capacity: "&amp;ROUND(B476,1)&amp;" kWh. Battery mass: "&amp;ROUND(B475,1)&amp; " kg. Battery replacement throughout lifetime: "&amp;ROUND(B471,1)&amp;". Fuel tank capacity: "&amp;ROUND(B477,1)&amp;" kWh. Fuel mass: "&amp;ROUND(B478,1)&amp;" kg. Documentation: "&amp;Readmefirst!$B$2&amp;", "&amp;Readmefirst!$B$3&amp;". "&amp;B467</f>
        <v>Power: 660 kW. Lifetime: 2800000 km. Annual kilometers: 70000 km. Number of passengers: 38. Curb mass: 50033 kg. Lightweighting of glider: 7%. Emission standard: None. Service visits throughout lifetime: every year for 40 years. Range: 0 km. Battery capacity: 0 kWh. Battery mass: 0 kg. Battery replacement throughout lifetime: 0.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483" spans="1:8" ht="15.6" x14ac:dyDescent="0.3">
      <c r="A483" s="11" t="s">
        <v>80</v>
      </c>
    </row>
    <row r="484" spans="1:8" x14ac:dyDescent="0.3">
      <c r="A484" t="s">
        <v>81</v>
      </c>
      <c r="B484" t="s">
        <v>82</v>
      </c>
      <c r="C484" t="s">
        <v>73</v>
      </c>
      <c r="D484" t="s">
        <v>77</v>
      </c>
      <c r="E484" t="s">
        <v>83</v>
      </c>
      <c r="F484" t="s">
        <v>75</v>
      </c>
      <c r="G484" t="s">
        <v>84</v>
      </c>
      <c r="H484" t="s">
        <v>74</v>
      </c>
    </row>
    <row r="485" spans="1:8" x14ac:dyDescent="0.3">
      <c r="A485" s="12" t="str">
        <f>B458</f>
        <v>transport, Tram, electric, 2050, label-certified electricity</v>
      </c>
      <c r="B485" s="12">
        <v>1</v>
      </c>
      <c r="C485" s="12" t="str">
        <f>B459</f>
        <v>CH</v>
      </c>
      <c r="D485" s="12" t="str">
        <f>B466</f>
        <v>person-kilometer</v>
      </c>
      <c r="E485" s="12"/>
      <c r="F485" s="12" t="s">
        <v>85</v>
      </c>
      <c r="G485" s="12" t="s">
        <v>86</v>
      </c>
      <c r="H485" s="12" t="str">
        <f>B464</f>
        <v>transport, Tram, electric</v>
      </c>
    </row>
    <row r="486" spans="1:8" x14ac:dyDescent="0.3">
      <c r="A486" s="12" t="str">
        <f>B460&amp;", "&amp;B462</f>
        <v>Tram, electric, 2050</v>
      </c>
      <c r="B486" s="12">
        <f>1/B468/B469</f>
        <v>9.3984962406015038E-9</v>
      </c>
      <c r="C486" s="12" t="str">
        <f>B459</f>
        <v>CH</v>
      </c>
      <c r="D486" s="12" t="s">
        <v>77</v>
      </c>
      <c r="E486" s="12"/>
      <c r="F486" s="12" t="s">
        <v>91</v>
      </c>
      <c r="G486" s="12"/>
      <c r="H486" s="12" t="str">
        <f>RIGHT(H485,LEN(H485)-11)</f>
        <v>Tram, electric</v>
      </c>
    </row>
    <row r="487" spans="1:8" x14ac:dyDescent="0.3">
      <c r="A487" s="12" t="s">
        <v>114</v>
      </c>
      <c r="B487" s="14">
        <f>INDEX('vehicles specifications'!$B$3:$CK$86,MATCH(B463,'vehicles specifications'!$A$3:$A$86,0),MATCH(G487,'vehicles specifications'!$B$2:$CK$2,0))*INDEX('ei names mapping'!$B$137:$BK$220,MATCH(B463,'ei names mapping'!$A$137:$A$220,0),MATCH(G487,'ei names mapping'!$B$136:$BK$136,0))</f>
        <v>9.7222222222222224E-2</v>
      </c>
      <c r="C487" s="12" t="str">
        <f>INDEX('ei names mapping'!$B$38:$BK$67,MATCH(B460,'ei names mapping'!$A$4:$A$33,0),MATCH(G487,'ei names mapping'!$B$3:$BK$3,0))</f>
        <v>CH</v>
      </c>
      <c r="D487" s="12" t="str">
        <f>INDEX('ei names mapping'!$B$104:$BK$133,MATCH(B460,'ei names mapping'!$A$4:$A$33,0),MATCH(G487,'ei names mapping'!$B$3:$BK$3,0))</f>
        <v>kilowatt hour</v>
      </c>
      <c r="E487" s="12"/>
      <c r="F487" s="12" t="s">
        <v>91</v>
      </c>
      <c r="G487" t="s">
        <v>28</v>
      </c>
      <c r="H487" s="12" t="s">
        <v>116</v>
      </c>
    </row>
    <row r="488" spans="1:8" s="21" customFormat="1" x14ac:dyDescent="0.3">
      <c r="A488" s="12" t="s">
        <v>575</v>
      </c>
      <c r="B488" s="15">
        <f>0.00000971/B469</f>
        <v>2.5552631578947371E-7</v>
      </c>
      <c r="C488" s="12" t="s">
        <v>98</v>
      </c>
      <c r="D488" s="12" t="s">
        <v>78</v>
      </c>
      <c r="E488" s="12"/>
      <c r="F488" s="12" t="s">
        <v>91</v>
      </c>
      <c r="G488" s="21" t="s">
        <v>577</v>
      </c>
      <c r="H488" s="12" t="s">
        <v>576</v>
      </c>
    </row>
    <row r="489" spans="1:8" x14ac:dyDescent="0.3">
      <c r="A489" s="12" t="str">
        <f>INDEX('ei names mapping'!$B$4:$R$33,MATCH(B460,'ei names mapping'!$A$4:$A$33,0),MATCH(G489,'ei names mapping'!$B$3:$R$3,0))</f>
        <v>maintenance, tram</v>
      </c>
      <c r="B489" s="15">
        <f>INDEX('vehicles specifications'!$B$3:$CK$86,MATCH(B463,'vehicles specifications'!$A$3:$A$86,0),MATCH(G489,'vehicles specifications'!$B$2:$CK$2,0))*INDEX('ei names mapping'!$B$137:$BK$220,MATCH(B463,'ei names mapping'!$A$137:$A$220,0),MATCH(G489,'ei names mapping'!$B$136:$BK$136,0))</f>
        <v>1.2531328320802004E-8</v>
      </c>
      <c r="C489" s="12" t="str">
        <f>INDEX('ei names mapping'!$B$38:$BK$67,MATCH(B460,'ei names mapping'!$A$4:$A$33,0),MATCH(G489,'ei names mapping'!$B$3:$BK$3,0))</f>
        <v>CH</v>
      </c>
      <c r="D489" s="12" t="str">
        <f>INDEX('ei names mapping'!$B$104:$BK$133,MATCH(B460,'ei names mapping'!$A$4:$A$33,0),MATCH(G489,'ei names mapping'!$B$3:$BK$3,0))</f>
        <v>unit</v>
      </c>
      <c r="E489" s="12"/>
      <c r="F489" s="12" t="s">
        <v>91</v>
      </c>
      <c r="G489" t="s">
        <v>123</v>
      </c>
      <c r="H489" s="12" t="str">
        <f>INDEX('ei names mapping'!$B$71:$BK$100,MATCH(B460,'ei names mapping'!$A$4:$A$33,0),MATCH(G489,'ei names mapping'!$B$3:$BK$3,0))</f>
        <v>maintenance, tram</v>
      </c>
    </row>
    <row r="490" spans="1:8" s="21" customFormat="1" x14ac:dyDescent="0.3">
      <c r="A490" s="21" t="s">
        <v>578</v>
      </c>
      <c r="B490" s="15">
        <f>B488</f>
        <v>2.5552631578947371E-7</v>
      </c>
      <c r="C490" s="12"/>
      <c r="D490" s="12" t="s">
        <v>78</v>
      </c>
      <c r="E490" s="12" t="s">
        <v>171</v>
      </c>
      <c r="F490" s="12" t="s">
        <v>173</v>
      </c>
      <c r="G490" s="12" t="s">
        <v>579</v>
      </c>
      <c r="H490" s="12"/>
    </row>
    <row r="491" spans="1:8" s="21" customFormat="1" x14ac:dyDescent="0.3">
      <c r="A491" s="21" t="s">
        <v>464</v>
      </c>
      <c r="B491" s="15">
        <f>0.00000016/B469</f>
        <v>4.2105263157894742E-9</v>
      </c>
      <c r="C491" s="12"/>
      <c r="D491" s="12" t="s">
        <v>78</v>
      </c>
      <c r="E491" s="12" t="s">
        <v>171</v>
      </c>
      <c r="F491" s="12" t="s">
        <v>173</v>
      </c>
      <c r="G491" s="12" t="s">
        <v>584</v>
      </c>
      <c r="H491" s="12"/>
    </row>
    <row r="492" spans="1:8" s="21" customFormat="1" x14ac:dyDescent="0.3">
      <c r="A492" s="21" t="s">
        <v>580</v>
      </c>
      <c r="B492" s="15">
        <f>0.00000032/B469</f>
        <v>8.4210526315789483E-9</v>
      </c>
      <c r="C492" s="12"/>
      <c r="D492" s="12" t="s">
        <v>78</v>
      </c>
      <c r="E492" s="12" t="s">
        <v>171</v>
      </c>
      <c r="F492" s="12" t="s">
        <v>173</v>
      </c>
      <c r="G492" s="12" t="s">
        <v>584</v>
      </c>
      <c r="H492" s="12"/>
    </row>
    <row r="493" spans="1:8" s="21" customFormat="1" x14ac:dyDescent="0.3">
      <c r="A493" s="21" t="s">
        <v>581</v>
      </c>
      <c r="B493" s="15">
        <f>0.00000033/B469</f>
        <v>8.6842105263157895E-9</v>
      </c>
      <c r="C493" s="12"/>
      <c r="D493" s="12" t="s">
        <v>78</v>
      </c>
      <c r="E493" s="12" t="s">
        <v>171</v>
      </c>
      <c r="F493" s="12" t="s">
        <v>173</v>
      </c>
      <c r="G493" s="12" t="s">
        <v>584</v>
      </c>
      <c r="H493" s="12"/>
    </row>
    <row r="494" spans="1:8" s="21" customFormat="1" x14ac:dyDescent="0.3">
      <c r="A494" s="21" t="s">
        <v>464</v>
      </c>
      <c r="B494" s="15">
        <f>0.000009/B469</f>
        <v>2.368421052631579E-7</v>
      </c>
      <c r="C494" s="12"/>
      <c r="D494" s="12" t="s">
        <v>78</v>
      </c>
      <c r="E494" s="12" t="s">
        <v>171</v>
      </c>
      <c r="F494" s="12" t="s">
        <v>173</v>
      </c>
      <c r="G494" s="12" t="s">
        <v>585</v>
      </c>
      <c r="H494" s="12"/>
    </row>
    <row r="495" spans="1:8" s="21" customFormat="1" x14ac:dyDescent="0.3">
      <c r="A495" s="21" t="s">
        <v>580</v>
      </c>
      <c r="B495" s="15">
        <f>0.000018/B469</f>
        <v>4.736842105263158E-7</v>
      </c>
      <c r="C495" s="12"/>
      <c r="D495" s="12" t="s">
        <v>78</v>
      </c>
      <c r="E495" s="12" t="s">
        <v>171</v>
      </c>
      <c r="F495" s="12" t="s">
        <v>173</v>
      </c>
      <c r="G495" s="12" t="s">
        <v>585</v>
      </c>
      <c r="H495" s="12"/>
    </row>
    <row r="496" spans="1:8" s="21" customFormat="1" x14ac:dyDescent="0.3">
      <c r="A496" s="21" t="s">
        <v>464</v>
      </c>
      <c r="B496" s="15">
        <f>0.000004/B469</f>
        <v>1.0526315789473683E-7</v>
      </c>
      <c r="C496" s="12"/>
      <c r="D496" s="12" t="s">
        <v>78</v>
      </c>
      <c r="E496" s="12" t="s">
        <v>171</v>
      </c>
      <c r="F496" s="12" t="s">
        <v>173</v>
      </c>
      <c r="G496" s="12" t="s">
        <v>586</v>
      </c>
      <c r="H496" s="12"/>
    </row>
    <row r="497" spans="1:8" s="21" customFormat="1" x14ac:dyDescent="0.3">
      <c r="A497" s="21" t="s">
        <v>580</v>
      </c>
      <c r="B497" s="15">
        <f>0.000008/B469</f>
        <v>2.1052631578947366E-7</v>
      </c>
      <c r="C497" s="12"/>
      <c r="D497" s="12" t="s">
        <v>78</v>
      </c>
      <c r="E497" s="12" t="s">
        <v>171</v>
      </c>
      <c r="F497" s="12" t="s">
        <v>173</v>
      </c>
      <c r="G497" s="12" t="s">
        <v>586</v>
      </c>
      <c r="H497" s="12"/>
    </row>
    <row r="498" spans="1:8" s="21" customFormat="1" x14ac:dyDescent="0.3">
      <c r="A498" s="21" t="s">
        <v>582</v>
      </c>
      <c r="B498" s="15">
        <f>0.00000008/B469</f>
        <v>2.1052631578947371E-9</v>
      </c>
      <c r="C498" s="12"/>
      <c r="D498" s="12" t="s">
        <v>78</v>
      </c>
      <c r="E498" s="12" t="s">
        <v>171</v>
      </c>
      <c r="F498" s="12" t="s">
        <v>173</v>
      </c>
      <c r="G498" s="12" t="s">
        <v>586</v>
      </c>
      <c r="H498" s="12"/>
    </row>
    <row r="499" spans="1:8" s="21" customFormat="1" x14ac:dyDescent="0.3">
      <c r="A499" s="21" t="s">
        <v>583</v>
      </c>
      <c r="B499" s="15">
        <f>0.00000016/B469</f>
        <v>4.2105263157894742E-9</v>
      </c>
      <c r="C499" s="12"/>
      <c r="D499" s="12" t="s">
        <v>78</v>
      </c>
      <c r="E499" s="12" t="s">
        <v>171</v>
      </c>
      <c r="F499" s="12" t="s">
        <v>173</v>
      </c>
      <c r="G499" s="12" t="s">
        <v>586</v>
      </c>
      <c r="H499" s="12"/>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2"/>
  <sheetViews>
    <sheetView workbookViewId="0">
      <selection activeCell="C27" sqref="C27"/>
    </sheetView>
  </sheetViews>
  <sheetFormatPr defaultRowHeight="14.4" x14ac:dyDescent="0.3"/>
  <cols>
    <col min="1" max="1" width="48.21875" bestFit="1" customWidth="1"/>
    <col min="2" max="2" width="15.6640625" bestFit="1" customWidth="1"/>
    <col min="7" max="7" width="32" bestFit="1" customWidth="1"/>
  </cols>
  <sheetData>
    <row r="1" spans="1:8" s="21" customFormat="1" ht="15.6" x14ac:dyDescent="0.3">
      <c r="A1" s="11" t="s">
        <v>72</v>
      </c>
      <c r="B1" s="9" t="s">
        <v>657</v>
      </c>
    </row>
    <row r="2" spans="1:8" s="21" customFormat="1" x14ac:dyDescent="0.3">
      <c r="A2" s="21" t="s">
        <v>73</v>
      </c>
      <c r="B2" s="21" t="s">
        <v>98</v>
      </c>
    </row>
    <row r="3" spans="1:8" s="21" customFormat="1" x14ac:dyDescent="0.3">
      <c r="A3" s="21" t="s">
        <v>74</v>
      </c>
      <c r="B3" s="21" t="str">
        <f>B1</f>
        <v>charging station, 100W</v>
      </c>
    </row>
    <row r="4" spans="1:8" s="21" customFormat="1" x14ac:dyDescent="0.3">
      <c r="A4" s="21" t="s">
        <v>75</v>
      </c>
      <c r="B4" s="21" t="s">
        <v>76</v>
      </c>
    </row>
    <row r="5" spans="1:8" s="21" customFormat="1" x14ac:dyDescent="0.3">
      <c r="A5" s="21" t="s">
        <v>77</v>
      </c>
      <c r="B5" s="21" t="s">
        <v>77</v>
      </c>
    </row>
    <row r="6" spans="1:8" s="21" customFormat="1" x14ac:dyDescent="0.3">
      <c r="A6" s="21" t="s">
        <v>79</v>
      </c>
      <c r="B6" s="21" t="s">
        <v>90</v>
      </c>
    </row>
    <row r="7" spans="1:8" s="21" customFormat="1" x14ac:dyDescent="0.3">
      <c r="A7" s="21" t="s">
        <v>84</v>
      </c>
      <c r="B7" s="21" t="s">
        <v>658</v>
      </c>
    </row>
    <row r="8" spans="1:8" s="21" customFormat="1" ht="15.6" x14ac:dyDescent="0.3">
      <c r="A8" s="11" t="s">
        <v>80</v>
      </c>
    </row>
    <row r="9" spans="1:8" s="21" customFormat="1" x14ac:dyDescent="0.3">
      <c r="A9" s="21" t="s">
        <v>81</v>
      </c>
      <c r="B9" s="21" t="s">
        <v>82</v>
      </c>
      <c r="C9" s="21" t="s">
        <v>73</v>
      </c>
      <c r="D9" s="21" t="s">
        <v>77</v>
      </c>
      <c r="E9" s="21" t="s">
        <v>83</v>
      </c>
      <c r="F9" s="21" t="s">
        <v>75</v>
      </c>
      <c r="G9" s="21" t="s">
        <v>84</v>
      </c>
      <c r="H9" s="21" t="s">
        <v>74</v>
      </c>
    </row>
    <row r="10" spans="1:8" s="21" customFormat="1" x14ac:dyDescent="0.3">
      <c r="A10" s="12" t="str">
        <f>B1</f>
        <v>charging station, 100W</v>
      </c>
      <c r="B10" s="12">
        <v>1</v>
      </c>
      <c r="C10" s="12" t="str">
        <f>B2</f>
        <v>GLO</v>
      </c>
      <c r="D10" s="12" t="str">
        <f>B5</f>
        <v>unit</v>
      </c>
      <c r="E10" s="12"/>
      <c r="F10" s="12" t="s">
        <v>85</v>
      </c>
      <c r="G10" s="12" t="s">
        <v>86</v>
      </c>
      <c r="H10" s="12" t="str">
        <f>B3</f>
        <v>charging station, 100W</v>
      </c>
    </row>
    <row r="11" spans="1:8" s="21" customFormat="1" x14ac:dyDescent="0.3">
      <c r="A11" s="22" t="s">
        <v>182</v>
      </c>
      <c r="B11" s="20">
        <f>0.5/3</f>
        <v>0.16666666666666666</v>
      </c>
      <c r="C11" s="12" t="s">
        <v>98</v>
      </c>
      <c r="D11" s="12" t="s">
        <v>78</v>
      </c>
      <c r="E11" s="12"/>
      <c r="F11" s="12" t="s">
        <v>91</v>
      </c>
      <c r="G11" s="12"/>
      <c r="H11" s="12" t="s">
        <v>183</v>
      </c>
    </row>
    <row r="12" spans="1:8" s="21" customFormat="1" x14ac:dyDescent="0.3">
      <c r="A12" s="22" t="s">
        <v>467</v>
      </c>
      <c r="B12" s="20">
        <f>15900*(B11/1000)</f>
        <v>2.65</v>
      </c>
      <c r="C12" s="12" t="s">
        <v>98</v>
      </c>
      <c r="D12" s="12" t="s">
        <v>243</v>
      </c>
      <c r="E12" s="12"/>
      <c r="F12" s="12" t="s">
        <v>91</v>
      </c>
      <c r="G12" s="12"/>
      <c r="H12" s="12" t="s">
        <v>467</v>
      </c>
    </row>
    <row r="13" spans="1:8" s="21" customFormat="1" x14ac:dyDescent="0.3">
      <c r="A13" s="22" t="s">
        <v>468</v>
      </c>
      <c r="B13" s="20">
        <f>1000*(B11/1000)</f>
        <v>0.16666666666666666</v>
      </c>
      <c r="C13" s="12" t="s">
        <v>94</v>
      </c>
      <c r="D13" s="12" t="s">
        <v>243</v>
      </c>
      <c r="E13" s="12"/>
      <c r="F13" s="12" t="s">
        <v>91</v>
      </c>
      <c r="G13" s="12"/>
      <c r="H13" s="12" t="s">
        <v>469</v>
      </c>
    </row>
    <row r="14" spans="1:8" s="21" customFormat="1" x14ac:dyDescent="0.3">
      <c r="A14" s="12" t="s">
        <v>184</v>
      </c>
      <c r="B14" s="20">
        <f>-1*B11</f>
        <v>-0.16666666666666666</v>
      </c>
      <c r="C14" s="12" t="s">
        <v>98</v>
      </c>
      <c r="D14" s="12" t="s">
        <v>78</v>
      </c>
      <c r="E14" s="12"/>
      <c r="F14" s="12" t="s">
        <v>91</v>
      </c>
      <c r="H14" s="12" t="s">
        <v>185</v>
      </c>
    </row>
    <row r="15" spans="1:8" s="21" customFormat="1" x14ac:dyDescent="0.3">
      <c r="A15" s="12"/>
      <c r="B15" s="16"/>
      <c r="C15" s="12"/>
      <c r="D15" s="12"/>
      <c r="E15" s="12"/>
      <c r="F15" s="12"/>
      <c r="H15" s="12"/>
    </row>
    <row r="16" spans="1:8" ht="15.6" x14ac:dyDescent="0.3">
      <c r="A16" s="11" t="s">
        <v>72</v>
      </c>
      <c r="B16" s="9" t="s">
        <v>196</v>
      </c>
    </row>
    <row r="17" spans="1:8" x14ac:dyDescent="0.3">
      <c r="A17" t="s">
        <v>73</v>
      </c>
      <c r="B17" s="21" t="s">
        <v>98</v>
      </c>
    </row>
    <row r="18" spans="1:8" x14ac:dyDescent="0.3">
      <c r="A18" t="s">
        <v>74</v>
      </c>
      <c r="B18" t="str">
        <f>B16</f>
        <v>charging station, 500W</v>
      </c>
    </row>
    <row r="19" spans="1:8" x14ac:dyDescent="0.3">
      <c r="A19" t="s">
        <v>75</v>
      </c>
      <c r="B19" t="s">
        <v>76</v>
      </c>
    </row>
    <row r="20" spans="1:8" x14ac:dyDescent="0.3">
      <c r="A20" t="s">
        <v>77</v>
      </c>
      <c r="B20" t="s">
        <v>77</v>
      </c>
    </row>
    <row r="21" spans="1:8" x14ac:dyDescent="0.3">
      <c r="A21" t="s">
        <v>79</v>
      </c>
      <c r="B21" t="s">
        <v>90</v>
      </c>
    </row>
    <row r="22" spans="1:8" x14ac:dyDescent="0.3">
      <c r="A22" t="s">
        <v>84</v>
      </c>
      <c r="B22" t="s">
        <v>466</v>
      </c>
    </row>
    <row r="23" spans="1:8" ht="15.6" x14ac:dyDescent="0.3">
      <c r="A23" s="11" t="s">
        <v>80</v>
      </c>
    </row>
    <row r="24" spans="1:8" x14ac:dyDescent="0.3">
      <c r="A24" t="s">
        <v>81</v>
      </c>
      <c r="B24" t="s">
        <v>82</v>
      </c>
      <c r="C24" t="s">
        <v>73</v>
      </c>
      <c r="D24" t="s">
        <v>77</v>
      </c>
      <c r="E24" t="s">
        <v>83</v>
      </c>
      <c r="F24" t="s">
        <v>75</v>
      </c>
      <c r="G24" t="s">
        <v>84</v>
      </c>
      <c r="H24" t="s">
        <v>74</v>
      </c>
    </row>
    <row r="25" spans="1:8" x14ac:dyDescent="0.3">
      <c r="A25" s="12" t="str">
        <f>B16</f>
        <v>charging station, 500W</v>
      </c>
      <c r="B25" s="12">
        <v>1</v>
      </c>
      <c r="C25" s="12" t="str">
        <f>B17</f>
        <v>GLO</v>
      </c>
      <c r="D25" s="12" t="str">
        <f>B20</f>
        <v>unit</v>
      </c>
      <c r="E25" s="12"/>
      <c r="F25" s="12" t="s">
        <v>85</v>
      </c>
      <c r="G25" s="12" t="s">
        <v>86</v>
      </c>
      <c r="H25" s="12" t="str">
        <f>B18</f>
        <v>charging station, 500W</v>
      </c>
    </row>
    <row r="26" spans="1:8" x14ac:dyDescent="0.3">
      <c r="A26" s="19" t="s">
        <v>182</v>
      </c>
      <c r="B26" s="20">
        <v>0.5</v>
      </c>
      <c r="C26" s="12" t="s">
        <v>98</v>
      </c>
      <c r="D26" s="12" t="s">
        <v>78</v>
      </c>
      <c r="E26" s="12"/>
      <c r="F26" s="12" t="s">
        <v>91</v>
      </c>
      <c r="G26" s="12"/>
      <c r="H26" s="12" t="s">
        <v>183</v>
      </c>
    </row>
    <row r="27" spans="1:8" s="21" customFormat="1" x14ac:dyDescent="0.3">
      <c r="A27" s="22" t="s">
        <v>467</v>
      </c>
      <c r="B27" s="20">
        <f>15900*(B26/1000)</f>
        <v>7.95</v>
      </c>
      <c r="C27" s="12" t="s">
        <v>98</v>
      </c>
      <c r="D27" s="12" t="s">
        <v>243</v>
      </c>
      <c r="E27" s="12"/>
      <c r="F27" s="12" t="s">
        <v>91</v>
      </c>
      <c r="G27" s="12"/>
      <c r="H27" s="12" t="s">
        <v>467</v>
      </c>
    </row>
    <row r="28" spans="1:8" s="21" customFormat="1" x14ac:dyDescent="0.3">
      <c r="A28" s="22" t="s">
        <v>468</v>
      </c>
      <c r="B28" s="20">
        <f>1000*(B26/1000)</f>
        <v>0.5</v>
      </c>
      <c r="C28" s="12" t="s">
        <v>94</v>
      </c>
      <c r="D28" s="12" t="s">
        <v>243</v>
      </c>
      <c r="E28" s="12"/>
      <c r="F28" s="12" t="s">
        <v>91</v>
      </c>
      <c r="G28" s="12"/>
      <c r="H28" s="12" t="s">
        <v>469</v>
      </c>
    </row>
    <row r="29" spans="1:8" x14ac:dyDescent="0.3">
      <c r="A29" s="12" t="s">
        <v>184</v>
      </c>
      <c r="B29" s="20">
        <f>-1*B26</f>
        <v>-0.5</v>
      </c>
      <c r="C29" s="12" t="s">
        <v>98</v>
      </c>
      <c r="D29" s="12" t="s">
        <v>78</v>
      </c>
      <c r="E29" s="12"/>
      <c r="F29" s="12" t="s">
        <v>91</v>
      </c>
      <c r="H29" s="12" t="s">
        <v>185</v>
      </c>
    </row>
    <row r="30" spans="1:8" x14ac:dyDescent="0.3">
      <c r="A30" s="12"/>
      <c r="B30" s="16"/>
      <c r="C30" s="12"/>
      <c r="D30" s="12"/>
      <c r="E30" s="12"/>
      <c r="F30" s="12"/>
      <c r="H30" s="12"/>
    </row>
    <row r="31" spans="1:8" s="21" customFormat="1" ht="15.6" x14ac:dyDescent="0.3">
      <c r="A31" s="11" t="s">
        <v>72</v>
      </c>
      <c r="B31" s="9" t="s">
        <v>197</v>
      </c>
    </row>
    <row r="32" spans="1:8" s="21" customFormat="1" x14ac:dyDescent="0.3">
      <c r="A32" s="21" t="s">
        <v>73</v>
      </c>
      <c r="B32" s="21" t="s">
        <v>98</v>
      </c>
    </row>
    <row r="33" spans="1:8" s="21" customFormat="1" x14ac:dyDescent="0.3">
      <c r="A33" s="21" t="s">
        <v>74</v>
      </c>
      <c r="B33" s="21" t="str">
        <f>B31</f>
        <v>charging station, 3kW</v>
      </c>
    </row>
    <row r="34" spans="1:8" s="21" customFormat="1" x14ac:dyDescent="0.3">
      <c r="A34" s="21" t="s">
        <v>75</v>
      </c>
      <c r="B34" s="21" t="s">
        <v>76</v>
      </c>
    </row>
    <row r="35" spans="1:8" s="21" customFormat="1" x14ac:dyDescent="0.3">
      <c r="A35" s="21" t="s">
        <v>77</v>
      </c>
      <c r="B35" s="21" t="s">
        <v>77</v>
      </c>
    </row>
    <row r="36" spans="1:8" s="21" customFormat="1" x14ac:dyDescent="0.3">
      <c r="A36" s="21" t="s">
        <v>79</v>
      </c>
      <c r="B36" s="21" t="s">
        <v>90</v>
      </c>
    </row>
    <row r="37" spans="1:8" s="21" customFormat="1" x14ac:dyDescent="0.3">
      <c r="A37" s="21" t="s">
        <v>84</v>
      </c>
      <c r="B37" s="21" t="s">
        <v>181</v>
      </c>
    </row>
    <row r="38" spans="1:8" s="21" customFormat="1" ht="15.6" x14ac:dyDescent="0.3">
      <c r="A38" s="11" t="s">
        <v>80</v>
      </c>
    </row>
    <row r="39" spans="1:8" s="21" customFormat="1" x14ac:dyDescent="0.3">
      <c r="A39" s="21" t="s">
        <v>81</v>
      </c>
      <c r="B39" s="21" t="s">
        <v>82</v>
      </c>
      <c r="C39" s="21" t="s">
        <v>73</v>
      </c>
      <c r="D39" s="21" t="s">
        <v>77</v>
      </c>
      <c r="E39" s="21" t="s">
        <v>83</v>
      </c>
      <c r="F39" s="21" t="s">
        <v>75</v>
      </c>
      <c r="G39" s="21" t="s">
        <v>84</v>
      </c>
      <c r="H39" s="21" t="s">
        <v>74</v>
      </c>
    </row>
    <row r="40" spans="1:8" s="21" customFormat="1" x14ac:dyDescent="0.3">
      <c r="A40" s="12" t="str">
        <f>B31</f>
        <v>charging station, 3kW</v>
      </c>
      <c r="B40" s="12">
        <v>1</v>
      </c>
      <c r="C40" s="12" t="str">
        <f>B32</f>
        <v>GLO</v>
      </c>
      <c r="D40" s="12" t="str">
        <f>B35</f>
        <v>unit</v>
      </c>
      <c r="E40" s="12"/>
      <c r="F40" s="12" t="s">
        <v>85</v>
      </c>
      <c r="G40" s="12" t="s">
        <v>86</v>
      </c>
      <c r="H40" s="12" t="str">
        <f>B33</f>
        <v>charging station, 3kW</v>
      </c>
    </row>
    <row r="41" spans="1:8" s="21" customFormat="1" x14ac:dyDescent="0.3">
      <c r="A41" s="22" t="s">
        <v>182</v>
      </c>
      <c r="B41" s="20">
        <v>3</v>
      </c>
      <c r="C41" s="12" t="s">
        <v>98</v>
      </c>
      <c r="D41" s="12" t="s">
        <v>78</v>
      </c>
      <c r="E41" s="12"/>
      <c r="F41" s="12" t="s">
        <v>91</v>
      </c>
      <c r="G41" s="12"/>
      <c r="H41" s="12" t="s">
        <v>183</v>
      </c>
    </row>
    <row r="42" spans="1:8" s="21" customFormat="1" x14ac:dyDescent="0.3">
      <c r="A42" s="22" t="s">
        <v>467</v>
      </c>
      <c r="B42" s="20">
        <f>15900*(B41/1000)</f>
        <v>47.7</v>
      </c>
      <c r="C42" s="12" t="s">
        <v>98</v>
      </c>
      <c r="D42" s="12" t="s">
        <v>243</v>
      </c>
      <c r="E42" s="12"/>
      <c r="F42" s="12" t="s">
        <v>91</v>
      </c>
      <c r="G42" s="12"/>
      <c r="H42" s="12" t="s">
        <v>467</v>
      </c>
    </row>
    <row r="43" spans="1:8" s="21" customFormat="1" x14ac:dyDescent="0.3">
      <c r="A43" s="22" t="s">
        <v>468</v>
      </c>
      <c r="B43" s="20">
        <f>1000*(B41/1000)</f>
        <v>3</v>
      </c>
      <c r="C43" s="12" t="s">
        <v>94</v>
      </c>
      <c r="D43" s="12" t="s">
        <v>243</v>
      </c>
      <c r="E43" s="12"/>
      <c r="F43" s="12" t="s">
        <v>91</v>
      </c>
      <c r="G43" s="12"/>
      <c r="H43" s="12" t="s">
        <v>469</v>
      </c>
    </row>
    <row r="44" spans="1:8" s="21" customFormat="1" x14ac:dyDescent="0.3">
      <c r="A44" s="12" t="s">
        <v>184</v>
      </c>
      <c r="B44" s="20">
        <f>-1*B41</f>
        <v>-3</v>
      </c>
      <c r="C44" s="12" t="s">
        <v>98</v>
      </c>
      <c r="D44" s="12" t="s">
        <v>78</v>
      </c>
      <c r="E44" s="12"/>
      <c r="F44" s="12" t="s">
        <v>91</v>
      </c>
      <c r="H44" s="12" t="s">
        <v>185</v>
      </c>
    </row>
    <row r="46" spans="1:8" s="21" customFormat="1" ht="15.6" x14ac:dyDescent="0.3">
      <c r="A46" s="11" t="s">
        <v>72</v>
      </c>
      <c r="B46" s="11" t="s">
        <v>144</v>
      </c>
    </row>
    <row r="47" spans="1:8" s="21" customFormat="1" x14ac:dyDescent="0.3">
      <c r="A47" s="21" t="s">
        <v>84</v>
      </c>
      <c r="B47" s="21" t="s">
        <v>195</v>
      </c>
    </row>
    <row r="48" spans="1:8" s="21" customFormat="1" x14ac:dyDescent="0.3">
      <c r="A48" s="21" t="s">
        <v>73</v>
      </c>
      <c r="B48" s="21" t="s">
        <v>98</v>
      </c>
    </row>
    <row r="49" spans="1:10" s="21" customFormat="1" x14ac:dyDescent="0.3">
      <c r="A49" s="21" t="s">
        <v>186</v>
      </c>
      <c r="B49" s="21">
        <v>1</v>
      </c>
    </row>
    <row r="50" spans="1:10" s="21" customFormat="1" x14ac:dyDescent="0.3">
      <c r="A50" s="21" t="s">
        <v>74</v>
      </c>
      <c r="B50" s="21" t="s">
        <v>144</v>
      </c>
    </row>
    <row r="51" spans="1:10" s="21" customFormat="1" x14ac:dyDescent="0.3">
      <c r="A51" s="21" t="s">
        <v>77</v>
      </c>
      <c r="B51" s="21" t="s">
        <v>78</v>
      </c>
    </row>
    <row r="52" spans="1:10" s="21" customFormat="1" ht="15.6" x14ac:dyDescent="0.3">
      <c r="A52" s="11" t="s">
        <v>80</v>
      </c>
    </row>
    <row r="53" spans="1:10" s="21" customFormat="1" x14ac:dyDescent="0.3">
      <c r="A53" s="21" t="s">
        <v>81</v>
      </c>
      <c r="B53" s="21" t="s">
        <v>82</v>
      </c>
      <c r="C53" s="21" t="s">
        <v>188</v>
      </c>
      <c r="D53" s="21" t="s">
        <v>73</v>
      </c>
      <c r="E53" s="21" t="s">
        <v>77</v>
      </c>
      <c r="F53" s="21" t="s">
        <v>75</v>
      </c>
      <c r="G53" s="21" t="s">
        <v>74</v>
      </c>
    </row>
    <row r="54" spans="1:10" s="21" customFormat="1" x14ac:dyDescent="0.3">
      <c r="A54" s="21" t="s">
        <v>144</v>
      </c>
      <c r="B54" s="21">
        <v>1</v>
      </c>
      <c r="C54" s="21" t="s">
        <v>187</v>
      </c>
      <c r="D54" s="21" t="s">
        <v>98</v>
      </c>
      <c r="E54" s="21" t="s">
        <v>78</v>
      </c>
      <c r="F54" s="21" t="s">
        <v>85</v>
      </c>
      <c r="G54" s="21" t="s">
        <v>144</v>
      </c>
    </row>
    <row r="55" spans="1:10" s="21" customFormat="1" x14ac:dyDescent="0.3">
      <c r="A55" s="21" t="s">
        <v>189</v>
      </c>
      <c r="B55" s="21">
        <v>3</v>
      </c>
      <c r="C55" s="21" t="s">
        <v>190</v>
      </c>
      <c r="D55" s="21" t="s">
        <v>98</v>
      </c>
      <c r="E55" s="21" t="s">
        <v>78</v>
      </c>
      <c r="F55" s="21" t="s">
        <v>91</v>
      </c>
      <c r="G55" s="21" t="s">
        <v>191</v>
      </c>
    </row>
    <row r="56" spans="1:10" s="21" customFormat="1" x14ac:dyDescent="0.3">
      <c r="A56" s="21" t="s">
        <v>192</v>
      </c>
      <c r="B56" s="21">
        <v>-4</v>
      </c>
      <c r="C56" s="21" t="s">
        <v>193</v>
      </c>
      <c r="D56" s="21" t="s">
        <v>98</v>
      </c>
      <c r="E56" s="21" t="s">
        <v>78</v>
      </c>
      <c r="F56" s="21" t="s">
        <v>91</v>
      </c>
      <c r="G56" s="21" t="s">
        <v>194</v>
      </c>
    </row>
    <row r="58" spans="1:10" ht="15.6" x14ac:dyDescent="0.3">
      <c r="A58" s="11" t="s">
        <v>72</v>
      </c>
      <c r="B58" s="11" t="s">
        <v>201</v>
      </c>
      <c r="C58" s="21"/>
      <c r="D58" s="21"/>
      <c r="E58" s="21"/>
      <c r="F58" s="21"/>
      <c r="G58" s="21"/>
      <c r="H58" s="21"/>
      <c r="I58" s="21"/>
      <c r="J58" s="21"/>
    </row>
    <row r="59" spans="1:10" x14ac:dyDescent="0.3">
      <c r="A59" s="21" t="s">
        <v>84</v>
      </c>
      <c r="B59" s="21" t="s">
        <v>203</v>
      </c>
      <c r="C59" s="21"/>
      <c r="D59" s="21"/>
      <c r="E59" s="21"/>
      <c r="F59" s="21"/>
      <c r="G59" s="21"/>
      <c r="H59" s="21"/>
      <c r="I59" s="21"/>
      <c r="J59" s="21"/>
    </row>
    <row r="60" spans="1:10" x14ac:dyDescent="0.3">
      <c r="A60" s="21" t="s">
        <v>73</v>
      </c>
      <c r="B60" s="21" t="s">
        <v>98</v>
      </c>
      <c r="C60" s="21"/>
      <c r="D60" s="21"/>
      <c r="E60" s="21"/>
      <c r="F60" s="21"/>
      <c r="G60" s="21"/>
      <c r="H60" s="21"/>
      <c r="I60" s="21"/>
      <c r="J60" s="21"/>
    </row>
    <row r="61" spans="1:10" x14ac:dyDescent="0.3">
      <c r="A61" s="21" t="s">
        <v>186</v>
      </c>
      <c r="B61" s="21">
        <v>1</v>
      </c>
      <c r="C61" s="21"/>
      <c r="D61" s="21"/>
      <c r="E61" s="21"/>
      <c r="F61" s="21"/>
      <c r="G61" s="21"/>
      <c r="H61" s="21"/>
      <c r="I61" s="21"/>
      <c r="J61" s="21"/>
    </row>
    <row r="62" spans="1:10" x14ac:dyDescent="0.3">
      <c r="A62" s="21" t="s">
        <v>74</v>
      </c>
      <c r="B62" s="21" t="s">
        <v>201</v>
      </c>
      <c r="C62" s="21"/>
      <c r="D62" s="21"/>
      <c r="E62" s="21"/>
      <c r="F62" s="21"/>
      <c r="G62" s="21"/>
      <c r="H62" s="21"/>
      <c r="I62" s="21"/>
      <c r="J62" s="21"/>
    </row>
    <row r="63" spans="1:10" x14ac:dyDescent="0.3">
      <c r="A63" s="21" t="s">
        <v>77</v>
      </c>
      <c r="B63" s="21" t="s">
        <v>78</v>
      </c>
      <c r="C63" s="21"/>
      <c r="D63" s="21"/>
      <c r="E63" s="21"/>
      <c r="F63" s="21"/>
      <c r="G63" s="21"/>
      <c r="H63" s="21"/>
      <c r="I63" s="21"/>
      <c r="J63" s="21"/>
    </row>
    <row r="64" spans="1:10" x14ac:dyDescent="0.3">
      <c r="A64" s="21" t="s">
        <v>204</v>
      </c>
      <c r="B64" s="21" t="s">
        <v>187</v>
      </c>
      <c r="C64" s="21"/>
      <c r="D64" s="21"/>
      <c r="E64" s="21"/>
      <c r="F64" s="21"/>
      <c r="G64" s="21"/>
      <c r="H64" s="21"/>
      <c r="I64" s="21"/>
      <c r="J64" s="21"/>
    </row>
    <row r="65" spans="1:10" ht="15.6" x14ac:dyDescent="0.3">
      <c r="A65" s="11" t="s">
        <v>80</v>
      </c>
      <c r="B65" s="21"/>
      <c r="C65" s="21"/>
      <c r="D65" s="21"/>
      <c r="E65" s="21"/>
      <c r="F65" s="21"/>
      <c r="G65" s="21"/>
      <c r="H65" s="21"/>
      <c r="I65" s="21"/>
      <c r="J65" s="21"/>
    </row>
    <row r="66" spans="1:10" x14ac:dyDescent="0.3">
      <c r="A66" s="21" t="s">
        <v>81</v>
      </c>
      <c r="B66" s="21" t="s">
        <v>82</v>
      </c>
      <c r="C66" s="21" t="s">
        <v>188</v>
      </c>
      <c r="D66" s="21" t="s">
        <v>73</v>
      </c>
      <c r="E66" s="21" t="s">
        <v>77</v>
      </c>
      <c r="F66" s="21" t="s">
        <v>83</v>
      </c>
      <c r="G66" s="21" t="s">
        <v>75</v>
      </c>
      <c r="H66" s="21" t="s">
        <v>74</v>
      </c>
      <c r="I66" s="21"/>
      <c r="J66" s="21"/>
    </row>
    <row r="67" spans="1:10" x14ac:dyDescent="0.3">
      <c r="A67" s="21" t="s">
        <v>205</v>
      </c>
      <c r="B67" s="21">
        <v>5.5</v>
      </c>
      <c r="C67" s="21" t="s">
        <v>187</v>
      </c>
      <c r="D67" s="21"/>
      <c r="E67" s="21" t="s">
        <v>206</v>
      </c>
      <c r="F67" s="21" t="s">
        <v>171</v>
      </c>
      <c r="G67" s="21" t="s">
        <v>173</v>
      </c>
      <c r="H67" s="21"/>
      <c r="I67" s="21"/>
      <c r="J67" s="21"/>
    </row>
    <row r="68" spans="1:10" x14ac:dyDescent="0.3">
      <c r="A68" s="21" t="s">
        <v>201</v>
      </c>
      <c r="B68" s="21">
        <v>1</v>
      </c>
      <c r="C68" s="21" t="s">
        <v>187</v>
      </c>
      <c r="D68" s="21" t="s">
        <v>98</v>
      </c>
      <c r="E68" s="21" t="s">
        <v>78</v>
      </c>
      <c r="F68" s="21"/>
      <c r="G68" s="21" t="s">
        <v>85</v>
      </c>
      <c r="H68" s="21"/>
      <c r="I68" s="21"/>
      <c r="J68" s="21"/>
    </row>
    <row r="69" spans="1:10" x14ac:dyDescent="0.3">
      <c r="A69" s="21" t="s">
        <v>207</v>
      </c>
      <c r="B69" s="21">
        <v>0.95</v>
      </c>
      <c r="C69" s="21" t="s">
        <v>187</v>
      </c>
      <c r="D69" s="21" t="s">
        <v>98</v>
      </c>
      <c r="E69" s="21" t="s">
        <v>78</v>
      </c>
      <c r="F69" s="21"/>
      <c r="G69" s="21" t="s">
        <v>91</v>
      </c>
      <c r="H69" s="21"/>
      <c r="I69" s="21"/>
      <c r="J69" s="21"/>
    </row>
    <row r="70" spans="1:10" x14ac:dyDescent="0.3">
      <c r="A70" s="21" t="s">
        <v>208</v>
      </c>
      <c r="B70" s="21">
        <v>4.6000000000000001E-10</v>
      </c>
      <c r="C70" s="21" t="s">
        <v>193</v>
      </c>
      <c r="D70" s="21" t="s">
        <v>98</v>
      </c>
      <c r="E70" s="21" t="s">
        <v>77</v>
      </c>
      <c r="F70" s="21"/>
      <c r="G70" s="21" t="s">
        <v>91</v>
      </c>
      <c r="H70" s="21" t="s">
        <v>209</v>
      </c>
      <c r="I70" s="21"/>
      <c r="J70" s="21"/>
    </row>
    <row r="71" spans="1:10" x14ac:dyDescent="0.3">
      <c r="A71" s="21" t="s">
        <v>210</v>
      </c>
      <c r="B71" s="21">
        <v>0.55000000000000004</v>
      </c>
      <c r="C71" s="21" t="s">
        <v>193</v>
      </c>
      <c r="D71" s="21" t="s">
        <v>98</v>
      </c>
      <c r="E71" s="21" t="s">
        <v>206</v>
      </c>
      <c r="F71" s="21"/>
      <c r="G71" s="21" t="s">
        <v>91</v>
      </c>
      <c r="H71" s="21" t="s">
        <v>211</v>
      </c>
      <c r="I71" s="21"/>
      <c r="J71" s="21"/>
    </row>
    <row r="72" spans="1:10" x14ac:dyDescent="0.3">
      <c r="A72" s="21" t="s">
        <v>212</v>
      </c>
      <c r="B72" s="21">
        <v>0.25</v>
      </c>
      <c r="C72" s="21" t="s">
        <v>193</v>
      </c>
      <c r="D72" s="21" t="s">
        <v>98</v>
      </c>
      <c r="E72" s="21" t="s">
        <v>78</v>
      </c>
      <c r="F72" s="21"/>
      <c r="G72" s="21" t="s">
        <v>91</v>
      </c>
      <c r="H72" s="21" t="s">
        <v>213</v>
      </c>
      <c r="I72" s="21"/>
      <c r="J72" s="21"/>
    </row>
    <row r="73" spans="1:10" x14ac:dyDescent="0.3">
      <c r="A73" s="21"/>
      <c r="B73" s="21"/>
      <c r="C73" s="21"/>
      <c r="D73" s="21"/>
      <c r="E73" s="21"/>
      <c r="F73" s="21"/>
      <c r="G73" s="21"/>
      <c r="H73" s="21"/>
      <c r="I73" s="21"/>
      <c r="J73" s="21"/>
    </row>
    <row r="74" spans="1:10" ht="15.6" x14ac:dyDescent="0.3">
      <c r="A74" s="11" t="s">
        <v>72</v>
      </c>
      <c r="B74" s="11" t="s">
        <v>214</v>
      </c>
      <c r="C74" s="21"/>
      <c r="D74" s="21"/>
      <c r="E74" s="21"/>
      <c r="F74" s="21"/>
      <c r="G74" s="21"/>
      <c r="H74" s="21"/>
      <c r="I74" s="21"/>
      <c r="J74" s="21"/>
    </row>
    <row r="75" spans="1:10" x14ac:dyDescent="0.3">
      <c r="A75" s="21" t="s">
        <v>202</v>
      </c>
      <c r="B75" s="21" t="s">
        <v>215</v>
      </c>
      <c r="C75" s="21"/>
      <c r="D75" s="21"/>
      <c r="E75" s="21"/>
      <c r="F75" s="21"/>
      <c r="G75" s="21"/>
      <c r="H75" s="21"/>
      <c r="I75" s="21"/>
      <c r="J75" s="21"/>
    </row>
    <row r="76" spans="1:10" x14ac:dyDescent="0.3">
      <c r="A76" s="21" t="s">
        <v>84</v>
      </c>
      <c r="B76" s="21" t="s">
        <v>86</v>
      </c>
      <c r="C76" s="21"/>
      <c r="D76" s="21"/>
      <c r="E76" s="21"/>
      <c r="F76" s="21"/>
      <c r="G76" s="21"/>
      <c r="H76" s="21"/>
      <c r="I76" s="21"/>
      <c r="J76" s="21"/>
    </row>
    <row r="77" spans="1:10" x14ac:dyDescent="0.3">
      <c r="A77" s="21" t="s">
        <v>73</v>
      </c>
      <c r="B77" s="21" t="s">
        <v>98</v>
      </c>
      <c r="C77" s="21"/>
      <c r="D77" s="21"/>
      <c r="E77" s="21"/>
      <c r="F77" s="21"/>
      <c r="G77" s="21"/>
      <c r="H77" s="21"/>
      <c r="I77" s="21"/>
      <c r="J77" s="21"/>
    </row>
    <row r="78" spans="1:10" x14ac:dyDescent="0.3">
      <c r="A78" s="21" t="s">
        <v>186</v>
      </c>
      <c r="B78" s="21">
        <v>1</v>
      </c>
      <c r="C78" s="21"/>
      <c r="D78" s="21"/>
      <c r="E78" s="21"/>
      <c r="F78" s="21"/>
      <c r="G78" s="21"/>
      <c r="H78" s="21"/>
      <c r="I78" s="21"/>
      <c r="J78" s="21"/>
    </row>
    <row r="79" spans="1:10" x14ac:dyDescent="0.3">
      <c r="A79" s="21" t="s">
        <v>74</v>
      </c>
      <c r="B79" s="21" t="s">
        <v>214</v>
      </c>
      <c r="C79" s="21"/>
      <c r="D79" s="21"/>
      <c r="E79" s="21"/>
      <c r="F79" s="21"/>
      <c r="G79" s="21"/>
      <c r="H79" s="21"/>
      <c r="I79" s="21"/>
      <c r="J79" s="21"/>
    </row>
    <row r="80" spans="1:10" x14ac:dyDescent="0.3">
      <c r="A80" s="21" t="s">
        <v>77</v>
      </c>
      <c r="B80" s="21" t="s">
        <v>78</v>
      </c>
      <c r="C80" s="21"/>
      <c r="D80" s="21"/>
      <c r="E80" s="21"/>
      <c r="F80" s="21"/>
      <c r="G80" s="21"/>
      <c r="H80" s="21"/>
      <c r="I80" s="21"/>
      <c r="J80" s="21"/>
    </row>
    <row r="81" spans="1:10" x14ac:dyDescent="0.3">
      <c r="A81" s="21" t="s">
        <v>204</v>
      </c>
      <c r="B81" s="21" t="s">
        <v>187</v>
      </c>
      <c r="C81" s="21"/>
      <c r="D81" s="21"/>
      <c r="E81" s="21"/>
      <c r="F81" s="21"/>
      <c r="G81" s="21"/>
      <c r="H81" s="21"/>
      <c r="I81" s="21"/>
      <c r="J81" s="21"/>
    </row>
    <row r="82" spans="1:10" ht="15.6" x14ac:dyDescent="0.3">
      <c r="A82" s="11" t="s">
        <v>80</v>
      </c>
      <c r="B82" s="21"/>
      <c r="C82" s="21"/>
      <c r="D82" s="21"/>
      <c r="E82" s="21"/>
      <c r="F82" s="21"/>
      <c r="G82" s="21"/>
      <c r="H82" s="21"/>
      <c r="I82" s="21"/>
      <c r="J82" s="21"/>
    </row>
    <row r="83" spans="1:10" x14ac:dyDescent="0.3">
      <c r="A83" s="21" t="s">
        <v>81</v>
      </c>
      <c r="B83" s="21" t="s">
        <v>82</v>
      </c>
      <c r="C83" s="21" t="s">
        <v>188</v>
      </c>
      <c r="D83" s="21" t="s">
        <v>73</v>
      </c>
      <c r="E83" s="21" t="s">
        <v>77</v>
      </c>
      <c r="F83" s="21" t="s">
        <v>75</v>
      </c>
      <c r="G83" s="21" t="s">
        <v>74</v>
      </c>
      <c r="H83" s="21"/>
      <c r="I83" s="21"/>
      <c r="J83" s="21"/>
    </row>
    <row r="84" spans="1:10" x14ac:dyDescent="0.3">
      <c r="A84" s="21" t="s">
        <v>214</v>
      </c>
      <c r="B84" s="21">
        <v>1</v>
      </c>
      <c r="C84" s="21" t="s">
        <v>187</v>
      </c>
      <c r="D84" s="21" t="s">
        <v>98</v>
      </c>
      <c r="E84" s="21" t="s">
        <v>78</v>
      </c>
      <c r="F84" s="21" t="s">
        <v>85</v>
      </c>
      <c r="G84" s="21"/>
      <c r="H84" s="21"/>
      <c r="I84" s="21"/>
      <c r="J84" s="21"/>
    </row>
    <row r="85" spans="1:10" x14ac:dyDescent="0.3">
      <c r="A85" s="21" t="s">
        <v>216</v>
      </c>
      <c r="B85" s="21">
        <v>1</v>
      </c>
      <c r="C85" s="21" t="s">
        <v>193</v>
      </c>
      <c r="D85" s="21" t="s">
        <v>98</v>
      </c>
      <c r="E85" s="21" t="s">
        <v>78</v>
      </c>
      <c r="F85" s="21" t="s">
        <v>91</v>
      </c>
      <c r="G85" s="21" t="s">
        <v>217</v>
      </c>
      <c r="H85" s="21"/>
      <c r="I85" s="21"/>
      <c r="J85" s="21"/>
    </row>
    <row r="86" spans="1:10" x14ac:dyDescent="0.3">
      <c r="A86" s="21" t="s">
        <v>218</v>
      </c>
      <c r="B86" s="21">
        <v>1.5E-10</v>
      </c>
      <c r="C86" s="21" t="s">
        <v>193</v>
      </c>
      <c r="D86" s="21" t="s">
        <v>98</v>
      </c>
      <c r="E86" s="21" t="s">
        <v>77</v>
      </c>
      <c r="F86" s="21" t="s">
        <v>91</v>
      </c>
      <c r="G86" s="21" t="s">
        <v>219</v>
      </c>
      <c r="H86" s="21"/>
      <c r="I86" s="21"/>
      <c r="J86" s="21"/>
    </row>
    <row r="87" spans="1:10" x14ac:dyDescent="0.3">
      <c r="A87" s="21" t="s">
        <v>220</v>
      </c>
      <c r="B87" s="21">
        <v>1</v>
      </c>
      <c r="C87" s="21" t="s">
        <v>193</v>
      </c>
      <c r="D87" s="21" t="s">
        <v>98</v>
      </c>
      <c r="E87" s="21" t="s">
        <v>78</v>
      </c>
      <c r="F87" s="21" t="s">
        <v>91</v>
      </c>
      <c r="G87" s="21" t="s">
        <v>221</v>
      </c>
      <c r="H87" s="21"/>
      <c r="I87" s="21"/>
      <c r="J87" s="21"/>
    </row>
    <row r="88" spans="1:10" x14ac:dyDescent="0.3">
      <c r="A88" s="21"/>
      <c r="B88" s="21"/>
      <c r="C88" s="21"/>
      <c r="D88" s="21"/>
      <c r="E88" s="21"/>
      <c r="F88" s="21"/>
      <c r="G88" s="21"/>
      <c r="H88" s="21"/>
      <c r="I88" s="21"/>
      <c r="J88" s="21"/>
    </row>
    <row r="89" spans="1:10" ht="15.6" x14ac:dyDescent="0.3">
      <c r="A89" s="11" t="s">
        <v>72</v>
      </c>
      <c r="B89" s="11" t="s">
        <v>222</v>
      </c>
      <c r="C89" s="21"/>
      <c r="D89" s="21"/>
      <c r="E89" s="21"/>
      <c r="F89" s="21"/>
      <c r="G89" s="21"/>
      <c r="H89" s="21"/>
      <c r="I89" s="21"/>
      <c r="J89" s="21"/>
    </row>
    <row r="90" spans="1:10" x14ac:dyDescent="0.3">
      <c r="A90" s="21" t="s">
        <v>202</v>
      </c>
      <c r="B90" s="21" t="s">
        <v>223</v>
      </c>
      <c r="C90" s="21"/>
      <c r="D90" s="21"/>
      <c r="E90" s="21"/>
      <c r="F90" s="21"/>
      <c r="G90" s="21"/>
      <c r="H90" s="21"/>
      <c r="I90" s="21"/>
      <c r="J90" s="21"/>
    </row>
    <row r="91" spans="1:10" x14ac:dyDescent="0.3">
      <c r="A91" s="21" t="s">
        <v>84</v>
      </c>
      <c r="B91" s="21" t="s">
        <v>86</v>
      </c>
      <c r="C91" s="21"/>
      <c r="D91" s="21"/>
      <c r="E91" s="21"/>
      <c r="F91" s="21"/>
      <c r="G91" s="21"/>
      <c r="H91" s="21"/>
      <c r="I91" s="21"/>
      <c r="J91" s="21"/>
    </row>
    <row r="92" spans="1:10" x14ac:dyDescent="0.3">
      <c r="A92" s="21" t="s">
        <v>73</v>
      </c>
      <c r="B92" s="21" t="s">
        <v>98</v>
      </c>
      <c r="C92" s="21"/>
      <c r="D92" s="21"/>
      <c r="E92" s="21"/>
      <c r="F92" s="21"/>
      <c r="G92" s="21"/>
      <c r="H92" s="21"/>
      <c r="I92" s="21"/>
      <c r="J92" s="21"/>
    </row>
    <row r="93" spans="1:10" x14ac:dyDescent="0.3">
      <c r="A93" s="21" t="s">
        <v>186</v>
      </c>
      <c r="B93" s="21">
        <v>1</v>
      </c>
      <c r="C93" s="21"/>
      <c r="D93" s="21"/>
      <c r="E93" s="21"/>
      <c r="F93" s="21"/>
      <c r="G93" s="21"/>
      <c r="H93" s="21"/>
      <c r="I93" s="21"/>
      <c r="J93" s="21"/>
    </row>
    <row r="94" spans="1:10" x14ac:dyDescent="0.3">
      <c r="A94" s="21" t="s">
        <v>74</v>
      </c>
      <c r="B94" s="21" t="s">
        <v>222</v>
      </c>
      <c r="C94" s="21"/>
      <c r="D94" s="21"/>
      <c r="E94" s="21"/>
      <c r="F94" s="21"/>
      <c r="G94" s="21"/>
      <c r="H94" s="21"/>
      <c r="I94" s="21"/>
      <c r="J94" s="21"/>
    </row>
    <row r="95" spans="1:10" x14ac:dyDescent="0.3">
      <c r="A95" s="21" t="s">
        <v>77</v>
      </c>
      <c r="B95" s="21" t="s">
        <v>78</v>
      </c>
      <c r="C95" s="21"/>
      <c r="D95" s="21"/>
      <c r="E95" s="21"/>
      <c r="F95" s="21"/>
      <c r="G95" s="21"/>
      <c r="H95" s="21"/>
      <c r="I95" s="21"/>
      <c r="J95" s="21"/>
    </row>
    <row r="96" spans="1:10" x14ac:dyDescent="0.3">
      <c r="A96" s="21" t="s">
        <v>204</v>
      </c>
      <c r="B96" s="21" t="s">
        <v>187</v>
      </c>
      <c r="C96" s="21"/>
      <c r="D96" s="21"/>
      <c r="E96" s="21"/>
      <c r="F96" s="21"/>
      <c r="G96" s="21"/>
      <c r="H96" s="21"/>
      <c r="I96" s="21"/>
      <c r="J96" s="21"/>
    </row>
    <row r="97" spans="1:10" ht="15.6" x14ac:dyDescent="0.3">
      <c r="A97" s="11" t="s">
        <v>80</v>
      </c>
      <c r="B97" s="21"/>
      <c r="C97" s="21"/>
      <c r="D97" s="21"/>
      <c r="E97" s="21"/>
      <c r="F97" s="21"/>
      <c r="G97" s="21"/>
      <c r="H97" s="21"/>
      <c r="I97" s="21"/>
      <c r="J97" s="21"/>
    </row>
    <row r="98" spans="1:10" x14ac:dyDescent="0.3">
      <c r="A98" s="21" t="s">
        <v>81</v>
      </c>
      <c r="B98" s="21" t="s">
        <v>82</v>
      </c>
      <c r="C98" s="21" t="s">
        <v>188</v>
      </c>
      <c r="D98" s="21" t="s">
        <v>73</v>
      </c>
      <c r="E98" s="21" t="s">
        <v>77</v>
      </c>
      <c r="F98" s="21" t="s">
        <v>75</v>
      </c>
      <c r="G98" s="21" t="s">
        <v>74</v>
      </c>
      <c r="H98" s="21"/>
      <c r="I98" s="21"/>
      <c r="J98" s="21"/>
    </row>
    <row r="99" spans="1:10" x14ac:dyDescent="0.3">
      <c r="A99" s="21" t="s">
        <v>222</v>
      </c>
      <c r="B99" s="21">
        <v>1</v>
      </c>
      <c r="C99" s="21" t="s">
        <v>187</v>
      </c>
      <c r="D99" s="21" t="s">
        <v>98</v>
      </c>
      <c r="E99" s="21" t="s">
        <v>78</v>
      </c>
      <c r="F99" s="21" t="s">
        <v>85</v>
      </c>
      <c r="G99" s="21"/>
      <c r="H99" s="21"/>
      <c r="I99" s="21"/>
      <c r="J99" s="21"/>
    </row>
    <row r="100" spans="1:10" x14ac:dyDescent="0.3">
      <c r="A100" s="21" t="s">
        <v>201</v>
      </c>
      <c r="B100" s="21">
        <v>0.94</v>
      </c>
      <c r="C100" s="21" t="s">
        <v>187</v>
      </c>
      <c r="D100" s="21" t="s">
        <v>98</v>
      </c>
      <c r="E100" s="21" t="s">
        <v>78</v>
      </c>
      <c r="F100" s="21" t="s">
        <v>91</v>
      </c>
      <c r="G100" s="21"/>
      <c r="H100" s="21"/>
      <c r="I100" s="21"/>
      <c r="J100" s="21"/>
    </row>
    <row r="101" spans="1:10" x14ac:dyDescent="0.3">
      <c r="A101" s="21" t="s">
        <v>224</v>
      </c>
      <c r="B101" s="21">
        <v>0.41</v>
      </c>
      <c r="C101" s="21" t="s">
        <v>193</v>
      </c>
      <c r="D101" s="21" t="s">
        <v>98</v>
      </c>
      <c r="E101" s="21" t="s">
        <v>78</v>
      </c>
      <c r="F101" s="21" t="s">
        <v>91</v>
      </c>
      <c r="G101" s="21" t="s">
        <v>225</v>
      </c>
      <c r="H101" s="21"/>
      <c r="I101" s="21"/>
      <c r="J101" s="21"/>
    </row>
    <row r="102" spans="1:10" x14ac:dyDescent="0.3">
      <c r="A102" s="21" t="s">
        <v>226</v>
      </c>
      <c r="B102" s="21">
        <v>0.02</v>
      </c>
      <c r="C102" s="21" t="s">
        <v>193</v>
      </c>
      <c r="D102" s="21" t="s">
        <v>98</v>
      </c>
      <c r="E102" s="21" t="s">
        <v>78</v>
      </c>
      <c r="F102" s="21" t="s">
        <v>91</v>
      </c>
      <c r="G102" s="21" t="s">
        <v>227</v>
      </c>
      <c r="H102" s="21"/>
      <c r="I102" s="21"/>
      <c r="J102" s="21"/>
    </row>
    <row r="103" spans="1:10" x14ac:dyDescent="0.3">
      <c r="A103" s="21" t="s">
        <v>208</v>
      </c>
      <c r="B103" s="21">
        <v>4.0000000000000001E-10</v>
      </c>
      <c r="C103" s="21" t="s">
        <v>193</v>
      </c>
      <c r="D103" s="21" t="s">
        <v>98</v>
      </c>
      <c r="E103" s="21" t="s">
        <v>77</v>
      </c>
      <c r="F103" s="21" t="s">
        <v>91</v>
      </c>
      <c r="G103" s="21" t="s">
        <v>209</v>
      </c>
      <c r="H103" s="21"/>
      <c r="I103" s="21"/>
      <c r="J103" s="21"/>
    </row>
    <row r="104" spans="1:10" x14ac:dyDescent="0.3">
      <c r="A104" s="21" t="s">
        <v>228</v>
      </c>
      <c r="B104" s="21">
        <v>0.04</v>
      </c>
      <c r="C104" s="21" t="s">
        <v>193</v>
      </c>
      <c r="D104" s="21" t="s">
        <v>98</v>
      </c>
      <c r="E104" s="21" t="s">
        <v>78</v>
      </c>
      <c r="F104" s="21" t="s">
        <v>91</v>
      </c>
      <c r="G104" s="21" t="s">
        <v>229</v>
      </c>
      <c r="H104" s="21"/>
      <c r="I104" s="21"/>
      <c r="J104" s="21"/>
    </row>
    <row r="105" spans="1:10" x14ac:dyDescent="0.3">
      <c r="A105" s="21"/>
      <c r="B105" s="21"/>
      <c r="C105" s="21"/>
      <c r="D105" s="21"/>
      <c r="E105" s="21"/>
      <c r="F105" s="21"/>
      <c r="G105" s="21"/>
      <c r="H105" s="21"/>
      <c r="I105" s="21"/>
      <c r="J105" s="21"/>
    </row>
    <row r="106" spans="1:10" ht="15.6" x14ac:dyDescent="0.3">
      <c r="A106" s="11" t="s">
        <v>72</v>
      </c>
      <c r="B106" s="11" t="s">
        <v>230</v>
      </c>
      <c r="C106" s="21"/>
      <c r="D106" s="21"/>
      <c r="E106" s="21"/>
      <c r="F106" s="21"/>
      <c r="G106" s="21"/>
      <c r="H106" s="21"/>
      <c r="I106" s="21"/>
      <c r="J106" s="21"/>
    </row>
    <row r="107" spans="1:10" x14ac:dyDescent="0.3">
      <c r="A107" s="21" t="s">
        <v>202</v>
      </c>
      <c r="B107" s="21" t="s">
        <v>231</v>
      </c>
      <c r="C107" s="21"/>
      <c r="D107" s="21"/>
      <c r="E107" s="21"/>
      <c r="F107" s="21"/>
      <c r="G107" s="21"/>
      <c r="H107" s="21"/>
      <c r="I107" s="21"/>
      <c r="J107" s="21"/>
    </row>
    <row r="108" spans="1:10" x14ac:dyDescent="0.3">
      <c r="A108" s="21" t="s">
        <v>84</v>
      </c>
      <c r="B108" s="21" t="s">
        <v>86</v>
      </c>
      <c r="C108" s="21"/>
      <c r="D108" s="21"/>
      <c r="E108" s="21"/>
      <c r="F108" s="21"/>
      <c r="G108" s="21"/>
      <c r="H108" s="21"/>
      <c r="I108" s="21"/>
      <c r="J108" s="21"/>
    </row>
    <row r="109" spans="1:10" x14ac:dyDescent="0.3">
      <c r="A109" s="21" t="s">
        <v>73</v>
      </c>
      <c r="B109" s="21" t="s">
        <v>98</v>
      </c>
      <c r="C109" s="21"/>
      <c r="D109" s="21"/>
      <c r="E109" s="21"/>
      <c r="F109" s="21"/>
      <c r="G109" s="21"/>
      <c r="H109" s="21"/>
      <c r="I109" s="21"/>
      <c r="J109" s="21"/>
    </row>
    <row r="110" spans="1:10" x14ac:dyDescent="0.3">
      <c r="A110" s="21" t="s">
        <v>186</v>
      </c>
      <c r="B110" s="21">
        <v>1</v>
      </c>
      <c r="C110" s="21"/>
      <c r="D110" s="21"/>
      <c r="E110" s="21"/>
      <c r="F110" s="21"/>
      <c r="G110" s="21"/>
      <c r="H110" s="21"/>
      <c r="I110" s="21"/>
      <c r="J110" s="21"/>
    </row>
    <row r="111" spans="1:10" x14ac:dyDescent="0.3">
      <c r="A111" s="21" t="s">
        <v>74</v>
      </c>
      <c r="B111" s="21" t="s">
        <v>230</v>
      </c>
      <c r="C111" s="21"/>
      <c r="D111" s="21"/>
      <c r="E111" s="21"/>
      <c r="F111" s="21"/>
      <c r="G111" s="21"/>
      <c r="H111" s="21"/>
      <c r="I111" s="21"/>
      <c r="J111" s="21"/>
    </row>
    <row r="112" spans="1:10" x14ac:dyDescent="0.3">
      <c r="A112" s="21" t="s">
        <v>77</v>
      </c>
      <c r="B112" s="21" t="s">
        <v>78</v>
      </c>
      <c r="C112" s="21"/>
      <c r="D112" s="21"/>
      <c r="E112" s="21"/>
      <c r="F112" s="21"/>
      <c r="G112" s="21"/>
      <c r="H112" s="21"/>
      <c r="I112" s="21"/>
      <c r="J112" s="21"/>
    </row>
    <row r="113" spans="1:10" x14ac:dyDescent="0.3">
      <c r="A113" s="21" t="s">
        <v>204</v>
      </c>
      <c r="B113" s="21" t="s">
        <v>187</v>
      </c>
      <c r="C113" s="21"/>
      <c r="D113" s="21"/>
      <c r="E113" s="21"/>
      <c r="F113" s="21"/>
      <c r="G113" s="21"/>
      <c r="H113" s="21"/>
      <c r="I113" s="21"/>
      <c r="J113" s="21"/>
    </row>
    <row r="114" spans="1:10" ht="15.6" x14ac:dyDescent="0.3">
      <c r="A114" s="11" t="s">
        <v>80</v>
      </c>
      <c r="B114" s="21"/>
      <c r="C114" s="21"/>
      <c r="D114" s="21"/>
      <c r="E114" s="21"/>
      <c r="F114" s="21"/>
      <c r="G114" s="21"/>
      <c r="H114" s="21"/>
      <c r="I114" s="21"/>
      <c r="J114" s="21"/>
    </row>
    <row r="115" spans="1:10" x14ac:dyDescent="0.3">
      <c r="A115" s="21" t="s">
        <v>81</v>
      </c>
      <c r="B115" s="21" t="s">
        <v>82</v>
      </c>
      <c r="C115" s="21" t="s">
        <v>188</v>
      </c>
      <c r="D115" s="21" t="s">
        <v>73</v>
      </c>
      <c r="E115" s="21" t="s">
        <v>77</v>
      </c>
      <c r="F115" s="21" t="s">
        <v>75</v>
      </c>
      <c r="G115" s="21"/>
      <c r="H115" s="21"/>
      <c r="I115" s="21"/>
      <c r="J115" s="21"/>
    </row>
    <row r="116" spans="1:10" x14ac:dyDescent="0.3">
      <c r="A116" s="21" t="s">
        <v>230</v>
      </c>
      <c r="B116" s="21">
        <v>1</v>
      </c>
      <c r="C116" s="21" t="s">
        <v>187</v>
      </c>
      <c r="D116" s="21" t="s">
        <v>98</v>
      </c>
      <c r="E116" s="21" t="s">
        <v>78</v>
      </c>
      <c r="F116" s="21" t="s">
        <v>85</v>
      </c>
      <c r="G116" s="21"/>
      <c r="H116" s="21"/>
      <c r="I116" s="21"/>
      <c r="J116" s="21"/>
    </row>
    <row r="117" spans="1:10" x14ac:dyDescent="0.3">
      <c r="A117" s="21" t="s">
        <v>232</v>
      </c>
      <c r="B117" s="21">
        <v>0.56999999999999995</v>
      </c>
      <c r="C117" s="21" t="s">
        <v>187</v>
      </c>
      <c r="D117" s="21" t="s">
        <v>98</v>
      </c>
      <c r="E117" s="21" t="s">
        <v>78</v>
      </c>
      <c r="F117" s="21" t="s">
        <v>91</v>
      </c>
      <c r="G117" s="21"/>
      <c r="H117" s="21"/>
      <c r="I117" s="21"/>
      <c r="J117" s="21"/>
    </row>
    <row r="118" spans="1:10" x14ac:dyDescent="0.3">
      <c r="A118" s="21" t="s">
        <v>233</v>
      </c>
      <c r="B118" s="21">
        <v>0.43</v>
      </c>
      <c r="C118" s="21" t="s">
        <v>187</v>
      </c>
      <c r="D118" s="21" t="s">
        <v>98</v>
      </c>
      <c r="E118" s="21" t="s">
        <v>78</v>
      </c>
      <c r="F118" s="21" t="s">
        <v>91</v>
      </c>
      <c r="G118" s="21"/>
      <c r="H118" s="21"/>
      <c r="I118" s="21"/>
      <c r="J118" s="21"/>
    </row>
    <row r="119" spans="1:10" x14ac:dyDescent="0.3">
      <c r="A119" s="21"/>
      <c r="B119" s="21"/>
      <c r="C119" s="21"/>
      <c r="D119" s="21"/>
      <c r="E119" s="21"/>
      <c r="F119" s="21"/>
      <c r="G119" s="21"/>
      <c r="H119" s="21"/>
      <c r="I119" s="21"/>
      <c r="J119" s="21"/>
    </row>
    <row r="120" spans="1:10" ht="15.6" x14ac:dyDescent="0.3">
      <c r="A120" s="11" t="s">
        <v>72</v>
      </c>
      <c r="B120" s="11" t="s">
        <v>100</v>
      </c>
      <c r="C120" s="21"/>
      <c r="D120" s="21"/>
      <c r="E120" s="21"/>
      <c r="F120" s="21"/>
      <c r="G120" s="21"/>
      <c r="H120" s="21"/>
      <c r="I120" s="21"/>
      <c r="J120" s="21"/>
    </row>
    <row r="121" spans="1:10" x14ac:dyDescent="0.3">
      <c r="A121" s="21" t="s">
        <v>202</v>
      </c>
      <c r="B121" s="21" t="s">
        <v>234</v>
      </c>
      <c r="C121" s="21"/>
      <c r="D121" s="21"/>
      <c r="E121" s="21"/>
      <c r="F121" s="21"/>
      <c r="G121" s="21"/>
      <c r="H121" s="21"/>
      <c r="I121" s="21"/>
      <c r="J121" s="21"/>
    </row>
    <row r="122" spans="1:10" x14ac:dyDescent="0.3">
      <c r="A122" s="21" t="s">
        <v>84</v>
      </c>
      <c r="B122" s="21" t="s">
        <v>235</v>
      </c>
      <c r="C122" s="21"/>
      <c r="D122" s="21"/>
      <c r="E122" s="21"/>
      <c r="F122" s="21"/>
      <c r="G122" s="21"/>
      <c r="H122" s="21"/>
      <c r="I122" s="21"/>
      <c r="J122" s="21"/>
    </row>
    <row r="123" spans="1:10" x14ac:dyDescent="0.3">
      <c r="A123" s="21" t="s">
        <v>73</v>
      </c>
      <c r="B123" s="21" t="s">
        <v>98</v>
      </c>
      <c r="C123" s="21"/>
      <c r="D123" s="21"/>
      <c r="E123" s="21"/>
      <c r="F123" s="21"/>
      <c r="G123" s="21"/>
      <c r="H123" s="21"/>
      <c r="I123" s="21"/>
      <c r="J123" s="21"/>
    </row>
    <row r="124" spans="1:10" x14ac:dyDescent="0.3">
      <c r="A124" s="21" t="s">
        <v>186</v>
      </c>
      <c r="B124" s="21">
        <v>1</v>
      </c>
      <c r="C124" s="21"/>
      <c r="D124" s="21"/>
      <c r="E124" s="21"/>
      <c r="F124" s="21"/>
      <c r="G124" s="21"/>
      <c r="H124" s="21"/>
      <c r="I124" s="21"/>
      <c r="J124" s="21"/>
    </row>
    <row r="125" spans="1:10" x14ac:dyDescent="0.3">
      <c r="A125" s="21" t="s">
        <v>74</v>
      </c>
      <c r="B125" s="21" t="s">
        <v>100</v>
      </c>
      <c r="C125" s="21"/>
      <c r="D125" s="21"/>
      <c r="E125" s="21"/>
      <c r="F125" s="21"/>
      <c r="G125" s="21"/>
      <c r="H125" s="21"/>
      <c r="I125" s="21"/>
      <c r="J125" s="21"/>
    </row>
    <row r="126" spans="1:10" x14ac:dyDescent="0.3">
      <c r="A126" s="21" t="s">
        <v>77</v>
      </c>
      <c r="B126" s="21" t="s">
        <v>78</v>
      </c>
      <c r="C126" s="21"/>
      <c r="D126" s="21"/>
      <c r="E126" s="21"/>
      <c r="F126" s="21"/>
      <c r="G126" s="21"/>
      <c r="H126" s="21"/>
      <c r="I126" s="21"/>
      <c r="J126" s="21"/>
    </row>
    <row r="127" spans="1:10" x14ac:dyDescent="0.3">
      <c r="A127" s="21" t="s">
        <v>204</v>
      </c>
      <c r="B127" s="21" t="s">
        <v>187</v>
      </c>
      <c r="C127" s="21"/>
      <c r="D127" s="21"/>
      <c r="E127" s="21"/>
      <c r="F127" s="21"/>
      <c r="G127" s="21"/>
      <c r="H127" s="21"/>
      <c r="I127" s="21"/>
      <c r="J127" s="21"/>
    </row>
    <row r="128" spans="1:10" ht="15.6" x14ac:dyDescent="0.3">
      <c r="A128" s="11" t="s">
        <v>80</v>
      </c>
      <c r="B128" s="21"/>
      <c r="C128" s="21"/>
      <c r="D128" s="21"/>
      <c r="E128" s="21"/>
      <c r="F128" s="21"/>
      <c r="G128" s="21"/>
      <c r="H128" s="21"/>
      <c r="I128" s="21"/>
      <c r="J128" s="21"/>
    </row>
    <row r="129" spans="1:10" x14ac:dyDescent="0.3">
      <c r="A129" s="21" t="s">
        <v>81</v>
      </c>
      <c r="B129" s="21" t="s">
        <v>82</v>
      </c>
      <c r="C129" s="21" t="s">
        <v>188</v>
      </c>
      <c r="D129" s="21" t="s">
        <v>73</v>
      </c>
      <c r="E129" s="21" t="s">
        <v>77</v>
      </c>
      <c r="F129" s="21" t="s">
        <v>83</v>
      </c>
      <c r="G129" s="21" t="s">
        <v>75</v>
      </c>
      <c r="H129" s="21" t="s">
        <v>74</v>
      </c>
      <c r="I129" s="21"/>
      <c r="J129" s="21"/>
    </row>
    <row r="130" spans="1:10" x14ac:dyDescent="0.3">
      <c r="A130" s="21" t="s">
        <v>205</v>
      </c>
      <c r="B130" s="21">
        <v>1.4E-3</v>
      </c>
      <c r="C130" s="21" t="s">
        <v>187</v>
      </c>
      <c r="D130" s="21"/>
      <c r="E130" s="21" t="s">
        <v>206</v>
      </c>
      <c r="F130" s="21" t="s">
        <v>171</v>
      </c>
      <c r="G130" s="21" t="s">
        <v>173</v>
      </c>
      <c r="H130" s="21"/>
      <c r="I130" s="21"/>
      <c r="J130" s="21"/>
    </row>
    <row r="131" spans="1:10" x14ac:dyDescent="0.3">
      <c r="A131" s="21" t="s">
        <v>100</v>
      </c>
      <c r="B131" s="21">
        <v>1</v>
      </c>
      <c r="C131" s="21" t="s">
        <v>187</v>
      </c>
      <c r="D131" s="21" t="s">
        <v>98</v>
      </c>
      <c r="E131" s="21" t="s">
        <v>78</v>
      </c>
      <c r="F131" s="21"/>
      <c r="G131" s="21" t="s">
        <v>85</v>
      </c>
      <c r="H131" s="21"/>
      <c r="I131" s="21"/>
      <c r="J131" s="21"/>
    </row>
    <row r="132" spans="1:10" x14ac:dyDescent="0.3">
      <c r="A132" s="21" t="s">
        <v>236</v>
      </c>
      <c r="B132" s="21">
        <v>0.1</v>
      </c>
      <c r="C132" s="21" t="s">
        <v>187</v>
      </c>
      <c r="D132" s="21" t="s">
        <v>98</v>
      </c>
      <c r="E132" s="21" t="s">
        <v>78</v>
      </c>
      <c r="F132" s="21"/>
      <c r="G132" s="21" t="s">
        <v>91</v>
      </c>
      <c r="H132" s="21"/>
      <c r="I132" s="21"/>
      <c r="J132" s="21"/>
    </row>
    <row r="133" spans="1:10" x14ac:dyDescent="0.3">
      <c r="A133" s="21" t="s">
        <v>237</v>
      </c>
      <c r="B133" s="21">
        <v>0.8</v>
      </c>
      <c r="C133" s="21" t="s">
        <v>187</v>
      </c>
      <c r="D133" s="21" t="s">
        <v>98</v>
      </c>
      <c r="E133" s="21" t="s">
        <v>78</v>
      </c>
      <c r="F133" s="21"/>
      <c r="G133" s="21" t="s">
        <v>91</v>
      </c>
      <c r="H133" s="21"/>
      <c r="I133" s="21"/>
      <c r="J133" s="21"/>
    </row>
    <row r="134" spans="1:10" x14ac:dyDescent="0.3">
      <c r="A134" s="21" t="s">
        <v>238</v>
      </c>
      <c r="B134" s="21">
        <v>0.1</v>
      </c>
      <c r="C134" s="21" t="s">
        <v>187</v>
      </c>
      <c r="D134" s="21" t="s">
        <v>98</v>
      </c>
      <c r="E134" s="21" t="s">
        <v>78</v>
      </c>
      <c r="F134" s="21"/>
      <c r="G134" s="21" t="s">
        <v>91</v>
      </c>
      <c r="H134" s="21"/>
      <c r="I134" s="21"/>
      <c r="J134" s="21"/>
    </row>
    <row r="135" spans="1:10" x14ac:dyDescent="0.3">
      <c r="A135" s="21" t="s">
        <v>239</v>
      </c>
      <c r="B135" s="21">
        <v>1.9000000000000001E-8</v>
      </c>
      <c r="C135" s="21" t="s">
        <v>193</v>
      </c>
      <c r="D135" s="21" t="s">
        <v>98</v>
      </c>
      <c r="E135" s="21" t="s">
        <v>77</v>
      </c>
      <c r="F135" s="21"/>
      <c r="G135" s="21" t="s">
        <v>91</v>
      </c>
      <c r="H135" s="21" t="s">
        <v>240</v>
      </c>
      <c r="I135" s="21"/>
      <c r="J135" s="21"/>
    </row>
    <row r="136" spans="1:10" x14ac:dyDescent="0.3">
      <c r="A136" s="22" t="s">
        <v>468</v>
      </c>
      <c r="B136" s="21">
        <v>0.16</v>
      </c>
      <c r="C136" s="21" t="s">
        <v>193</v>
      </c>
      <c r="D136" s="21" t="s">
        <v>94</v>
      </c>
      <c r="E136" s="21" t="s">
        <v>243</v>
      </c>
      <c r="F136" s="21"/>
      <c r="G136" s="21" t="s">
        <v>91</v>
      </c>
      <c r="H136" s="22" t="s">
        <v>469</v>
      </c>
      <c r="I136" s="21"/>
      <c r="J136" s="21"/>
    </row>
    <row r="137" spans="1:10" x14ac:dyDescent="0.3">
      <c r="A137" s="22" t="s">
        <v>467</v>
      </c>
      <c r="B137" s="21">
        <v>4.9000000000000004</v>
      </c>
      <c r="C137" s="21" t="s">
        <v>193</v>
      </c>
      <c r="D137" s="21" t="s">
        <v>98</v>
      </c>
      <c r="E137" s="21" t="s">
        <v>243</v>
      </c>
      <c r="F137" s="21"/>
      <c r="G137" s="21" t="s">
        <v>91</v>
      </c>
      <c r="H137" s="22" t="s">
        <v>467</v>
      </c>
      <c r="I137" s="21"/>
      <c r="J137" s="21"/>
    </row>
    <row r="138" spans="1:10" x14ac:dyDescent="0.3">
      <c r="A138" s="21" t="s">
        <v>247</v>
      </c>
      <c r="B138" s="21">
        <v>4.0000000000000002E-4</v>
      </c>
      <c r="C138" s="21" t="s">
        <v>193</v>
      </c>
      <c r="D138" s="21" t="s">
        <v>98</v>
      </c>
      <c r="E138" s="21" t="s">
        <v>101</v>
      </c>
      <c r="F138" s="21"/>
      <c r="G138" s="21" t="s">
        <v>91</v>
      </c>
      <c r="H138" s="21" t="s">
        <v>129</v>
      </c>
      <c r="I138" s="21"/>
      <c r="J138" s="21"/>
    </row>
    <row r="139" spans="1:10" x14ac:dyDescent="0.3">
      <c r="A139" s="21"/>
      <c r="B139" s="21"/>
      <c r="C139" s="21"/>
      <c r="D139" s="21"/>
      <c r="E139" s="21"/>
      <c r="F139" s="21"/>
      <c r="G139" s="21"/>
      <c r="H139" s="21"/>
      <c r="I139" s="21"/>
      <c r="J139" s="21"/>
    </row>
    <row r="140" spans="1:10" ht="15.6" x14ac:dyDescent="0.3">
      <c r="A140" s="11" t="s">
        <v>72</v>
      </c>
      <c r="B140" s="11" t="s">
        <v>97</v>
      </c>
      <c r="C140" s="21"/>
      <c r="D140" s="21"/>
      <c r="E140" s="21"/>
      <c r="F140" s="21"/>
      <c r="G140" s="21"/>
      <c r="H140" s="21"/>
      <c r="I140" s="21"/>
      <c r="J140" s="21"/>
    </row>
    <row r="141" spans="1:10" x14ac:dyDescent="0.3">
      <c r="A141" s="21" t="s">
        <v>84</v>
      </c>
      <c r="B141" s="21" t="s">
        <v>86</v>
      </c>
      <c r="C141" s="21"/>
      <c r="D141" s="21"/>
      <c r="E141" s="21"/>
      <c r="F141" s="21"/>
      <c r="G141" s="21"/>
      <c r="H141" s="21"/>
      <c r="I141" s="21"/>
      <c r="J141" s="21"/>
    </row>
    <row r="142" spans="1:10" x14ac:dyDescent="0.3">
      <c r="A142" s="21" t="s">
        <v>73</v>
      </c>
      <c r="B142" s="21" t="s">
        <v>98</v>
      </c>
      <c r="C142" s="21"/>
      <c r="D142" s="21"/>
      <c r="E142" s="21"/>
      <c r="F142" s="21"/>
      <c r="G142" s="21"/>
      <c r="H142" s="21"/>
      <c r="I142" s="21"/>
      <c r="J142" s="21"/>
    </row>
    <row r="143" spans="1:10" x14ac:dyDescent="0.3">
      <c r="A143" s="21" t="s">
        <v>186</v>
      </c>
      <c r="B143" s="21">
        <v>1</v>
      </c>
      <c r="C143" s="21"/>
      <c r="D143" s="21"/>
      <c r="E143" s="21"/>
      <c r="F143" s="21"/>
      <c r="G143" s="21"/>
      <c r="H143" s="21"/>
      <c r="I143" s="21"/>
      <c r="J143" s="21"/>
    </row>
    <row r="144" spans="1:10" x14ac:dyDescent="0.3">
      <c r="A144" s="21" t="s">
        <v>74</v>
      </c>
      <c r="B144" s="21" t="s">
        <v>99</v>
      </c>
      <c r="C144" s="21"/>
      <c r="D144" s="21"/>
      <c r="E144" s="21"/>
      <c r="F144" s="21"/>
      <c r="G144" s="21"/>
      <c r="H144" s="21"/>
      <c r="I144" s="21"/>
      <c r="J144" s="21"/>
    </row>
    <row r="145" spans="1:10" x14ac:dyDescent="0.3">
      <c r="A145" s="21" t="s">
        <v>77</v>
      </c>
      <c r="B145" s="21" t="s">
        <v>78</v>
      </c>
      <c r="C145" s="21"/>
      <c r="D145" s="21"/>
      <c r="E145" s="21"/>
      <c r="F145" s="21"/>
      <c r="G145" s="21"/>
      <c r="H145" s="21"/>
      <c r="I145" s="21"/>
      <c r="J145" s="21"/>
    </row>
    <row r="146" spans="1:10" x14ac:dyDescent="0.3">
      <c r="A146" s="21" t="s">
        <v>204</v>
      </c>
      <c r="B146" s="21" t="s">
        <v>187</v>
      </c>
      <c r="C146" s="21"/>
      <c r="D146" s="21"/>
      <c r="E146" s="21"/>
      <c r="F146" s="21"/>
      <c r="G146" s="21"/>
      <c r="H146" s="21"/>
      <c r="I146" s="21"/>
      <c r="J146" s="21"/>
    </row>
    <row r="147" spans="1:10" ht="15.6" x14ac:dyDescent="0.3">
      <c r="A147" s="11" t="s">
        <v>80</v>
      </c>
      <c r="B147" s="21"/>
      <c r="C147" s="21"/>
      <c r="D147" s="21"/>
      <c r="E147" s="21"/>
      <c r="F147" s="21"/>
      <c r="G147" s="21"/>
      <c r="H147" s="21"/>
      <c r="I147" s="21"/>
      <c r="J147" s="21"/>
    </row>
    <row r="148" spans="1:10" x14ac:dyDescent="0.3">
      <c r="A148" s="21" t="s">
        <v>81</v>
      </c>
      <c r="B148" s="21" t="s">
        <v>82</v>
      </c>
      <c r="C148" s="21" t="s">
        <v>188</v>
      </c>
      <c r="D148" s="21" t="s">
        <v>73</v>
      </c>
      <c r="E148" s="21" t="s">
        <v>77</v>
      </c>
      <c r="F148" s="21" t="s">
        <v>83</v>
      </c>
      <c r="G148" s="21" t="s">
        <v>75</v>
      </c>
      <c r="H148" s="21" t="s">
        <v>248</v>
      </c>
      <c r="I148" s="21" t="s">
        <v>74</v>
      </c>
      <c r="J148" s="21"/>
    </row>
    <row r="149" spans="1:10" x14ac:dyDescent="0.3">
      <c r="A149" s="21" t="s">
        <v>205</v>
      </c>
      <c r="B149" s="21">
        <v>100</v>
      </c>
      <c r="C149" s="21" t="s">
        <v>187</v>
      </c>
      <c r="D149" s="21"/>
      <c r="E149" s="21" t="s">
        <v>206</v>
      </c>
      <c r="F149" s="21" t="s">
        <v>171</v>
      </c>
      <c r="G149" s="21" t="s">
        <v>173</v>
      </c>
      <c r="H149" s="21"/>
      <c r="I149" s="21"/>
      <c r="J149" s="21"/>
    </row>
    <row r="150" spans="1:10" x14ac:dyDescent="0.3">
      <c r="A150" s="21" t="s">
        <v>97</v>
      </c>
      <c r="B150" s="21">
        <v>1</v>
      </c>
      <c r="C150" s="21" t="s">
        <v>187</v>
      </c>
      <c r="D150" s="21" t="s">
        <v>98</v>
      </c>
      <c r="E150" s="21" t="s">
        <v>78</v>
      </c>
      <c r="F150" s="21"/>
      <c r="G150" s="21" t="s">
        <v>85</v>
      </c>
      <c r="H150" s="21"/>
      <c r="I150" s="21" t="s">
        <v>99</v>
      </c>
      <c r="J150" s="21"/>
    </row>
    <row r="151" spans="1:10" x14ac:dyDescent="0.3">
      <c r="A151" s="21" t="s">
        <v>230</v>
      </c>
      <c r="B151" s="21">
        <v>0.39</v>
      </c>
      <c r="C151" s="21" t="s">
        <v>187</v>
      </c>
      <c r="D151" s="21" t="s">
        <v>98</v>
      </c>
      <c r="E151" s="21" t="s">
        <v>78</v>
      </c>
      <c r="F151" s="21"/>
      <c r="G151" s="21" t="s">
        <v>91</v>
      </c>
      <c r="H151" s="21"/>
      <c r="I151" s="21"/>
      <c r="J151" s="21"/>
    </row>
    <row r="152" spans="1:10" x14ac:dyDescent="0.3">
      <c r="A152" s="21" t="s">
        <v>249</v>
      </c>
      <c r="B152" s="21">
        <v>0.43</v>
      </c>
      <c r="C152" s="21" t="s">
        <v>187</v>
      </c>
      <c r="D152" s="21" t="s">
        <v>98</v>
      </c>
      <c r="E152" s="21" t="s">
        <v>78</v>
      </c>
      <c r="F152" s="21"/>
      <c r="G152" s="21" t="s">
        <v>91</v>
      </c>
      <c r="H152" s="21"/>
      <c r="I152" s="21"/>
      <c r="J152" s="21"/>
    </row>
    <row r="153" spans="1:10" x14ac:dyDescent="0.3">
      <c r="A153" s="21" t="s">
        <v>250</v>
      </c>
      <c r="B153" s="21">
        <v>6.7000000000000002E-3</v>
      </c>
      <c r="C153" s="21" t="s">
        <v>187</v>
      </c>
      <c r="D153" s="21" t="s">
        <v>98</v>
      </c>
      <c r="E153" s="21" t="s">
        <v>78</v>
      </c>
      <c r="F153" s="21"/>
      <c r="G153" s="21" t="s">
        <v>91</v>
      </c>
      <c r="H153" s="21"/>
      <c r="I153" s="21"/>
      <c r="J153" s="21"/>
    </row>
    <row r="154" spans="1:10" x14ac:dyDescent="0.3">
      <c r="A154" s="21" t="s">
        <v>251</v>
      </c>
      <c r="B154" s="21">
        <v>0.16</v>
      </c>
      <c r="C154" s="21" t="s">
        <v>187</v>
      </c>
      <c r="D154" s="21" t="s">
        <v>98</v>
      </c>
      <c r="E154" s="21" t="s">
        <v>78</v>
      </c>
      <c r="F154" s="21"/>
      <c r="G154" s="21" t="s">
        <v>91</v>
      </c>
      <c r="H154" s="21"/>
      <c r="I154" s="21"/>
      <c r="J154" s="21"/>
    </row>
    <row r="155" spans="1:10" x14ac:dyDescent="0.3">
      <c r="A155" s="21" t="s">
        <v>252</v>
      </c>
      <c r="B155" s="21">
        <v>2.1999999999999999E-2</v>
      </c>
      <c r="C155" s="21" t="s">
        <v>187</v>
      </c>
      <c r="D155" s="21" t="s">
        <v>98</v>
      </c>
      <c r="E155" s="21" t="s">
        <v>78</v>
      </c>
      <c r="F155" s="21"/>
      <c r="G155" s="21" t="s">
        <v>91</v>
      </c>
      <c r="H155" s="21"/>
      <c r="I155" s="21"/>
      <c r="J155" s="21"/>
    </row>
    <row r="156" spans="1:10" x14ac:dyDescent="0.3">
      <c r="A156" s="21" t="s">
        <v>253</v>
      </c>
      <c r="B156" s="21">
        <v>14.4</v>
      </c>
      <c r="C156" s="21" t="s">
        <v>193</v>
      </c>
      <c r="D156" s="21" t="s">
        <v>242</v>
      </c>
      <c r="E156" s="21" t="s">
        <v>206</v>
      </c>
      <c r="F156" s="21"/>
      <c r="G156" s="21" t="s">
        <v>91</v>
      </c>
      <c r="H156" s="21"/>
      <c r="I156" s="21" t="s">
        <v>254</v>
      </c>
      <c r="J156" s="21"/>
    </row>
    <row r="157" spans="1:10" x14ac:dyDescent="0.3">
      <c r="A157" s="21" t="s">
        <v>239</v>
      </c>
      <c r="B157" s="21">
        <v>1.9000000000000001E-8</v>
      </c>
      <c r="C157" s="21" t="s">
        <v>193</v>
      </c>
      <c r="D157" s="21" t="s">
        <v>98</v>
      </c>
      <c r="E157" s="21" t="s">
        <v>77</v>
      </c>
      <c r="F157" s="21"/>
      <c r="G157" s="21" t="s">
        <v>91</v>
      </c>
      <c r="H157" s="21"/>
      <c r="I157" s="21" t="s">
        <v>240</v>
      </c>
      <c r="J157" s="21"/>
    </row>
    <row r="158" spans="1:10" x14ac:dyDescent="0.3">
      <c r="A158" s="21" t="s">
        <v>255</v>
      </c>
      <c r="B158" s="21">
        <v>380</v>
      </c>
      <c r="C158" s="21" t="s">
        <v>193</v>
      </c>
      <c r="D158" s="21" t="s">
        <v>242</v>
      </c>
      <c r="E158" s="21" t="s">
        <v>78</v>
      </c>
      <c r="F158" s="21"/>
      <c r="G158" s="21" t="s">
        <v>91</v>
      </c>
      <c r="H158" s="21"/>
      <c r="I158" s="21" t="s">
        <v>256</v>
      </c>
      <c r="J158" s="21"/>
    </row>
    <row r="159" spans="1:10" s="21" customFormat="1" x14ac:dyDescent="0.3">
      <c r="A159" s="22" t="s">
        <v>468</v>
      </c>
      <c r="B159" s="21">
        <v>0.16</v>
      </c>
      <c r="C159" s="21" t="s">
        <v>193</v>
      </c>
      <c r="D159" s="21" t="s">
        <v>94</v>
      </c>
      <c r="E159" s="21" t="s">
        <v>243</v>
      </c>
      <c r="G159" s="21" t="s">
        <v>91</v>
      </c>
      <c r="I159" s="22" t="s">
        <v>469</v>
      </c>
    </row>
    <row r="160" spans="1:10" s="21" customFormat="1" x14ac:dyDescent="0.3">
      <c r="A160" s="22" t="s">
        <v>467</v>
      </c>
      <c r="B160" s="21">
        <v>4.9000000000000004</v>
      </c>
      <c r="C160" s="21" t="s">
        <v>193</v>
      </c>
      <c r="D160" s="21" t="s">
        <v>98</v>
      </c>
      <c r="E160" s="21" t="s">
        <v>243</v>
      </c>
      <c r="G160" s="21" t="s">
        <v>91</v>
      </c>
      <c r="I160" s="22" t="s">
        <v>467</v>
      </c>
    </row>
    <row r="161" spans="1:10" x14ac:dyDescent="0.3">
      <c r="A161" s="21" t="s">
        <v>247</v>
      </c>
      <c r="B161" s="21">
        <v>4</v>
      </c>
      <c r="C161" s="21" t="s">
        <v>193</v>
      </c>
      <c r="D161" s="21" t="s">
        <v>98</v>
      </c>
      <c r="E161" s="21" t="s">
        <v>101</v>
      </c>
      <c r="F161" s="21"/>
      <c r="G161" s="21" t="s">
        <v>91</v>
      </c>
      <c r="H161" s="21" t="s">
        <v>257</v>
      </c>
      <c r="I161" s="21" t="s">
        <v>129</v>
      </c>
      <c r="J161" s="21"/>
    </row>
    <row r="162" spans="1:10" x14ac:dyDescent="0.3">
      <c r="A162" s="21"/>
      <c r="B162" s="21"/>
      <c r="C162" s="21"/>
      <c r="D162" s="21"/>
      <c r="E162" s="21"/>
      <c r="F162" s="21"/>
      <c r="G162" s="21"/>
      <c r="H162" s="21"/>
      <c r="I162" s="21"/>
      <c r="J162" s="21"/>
    </row>
    <row r="163" spans="1:10" ht="15.6" x14ac:dyDescent="0.3">
      <c r="A163" s="11" t="s">
        <v>72</v>
      </c>
      <c r="B163" s="11" t="s">
        <v>236</v>
      </c>
      <c r="C163" s="21"/>
      <c r="D163" s="21"/>
      <c r="E163" s="21"/>
      <c r="F163" s="21"/>
      <c r="G163" s="21"/>
      <c r="H163" s="21"/>
      <c r="I163" s="21"/>
      <c r="J163" s="21"/>
    </row>
    <row r="164" spans="1:10" x14ac:dyDescent="0.3">
      <c r="A164" s="21" t="s">
        <v>202</v>
      </c>
      <c r="B164" s="21" t="s">
        <v>258</v>
      </c>
      <c r="C164" s="21"/>
      <c r="D164" s="21"/>
      <c r="E164" s="21"/>
      <c r="F164" s="21"/>
      <c r="G164" s="21"/>
      <c r="H164" s="21"/>
      <c r="I164" s="21"/>
      <c r="J164" s="21"/>
    </row>
    <row r="165" spans="1:10" x14ac:dyDescent="0.3">
      <c r="A165" s="21" t="s">
        <v>84</v>
      </c>
      <c r="B165" s="21" t="s">
        <v>259</v>
      </c>
      <c r="C165" s="21"/>
      <c r="D165" s="21"/>
      <c r="E165" s="21"/>
      <c r="F165" s="21"/>
      <c r="G165" s="21"/>
      <c r="H165" s="21"/>
      <c r="I165" s="21"/>
      <c r="J165" s="21"/>
    </row>
    <row r="166" spans="1:10" x14ac:dyDescent="0.3">
      <c r="A166" s="21" t="s">
        <v>73</v>
      </c>
      <c r="B166" s="21" t="s">
        <v>98</v>
      </c>
      <c r="C166" s="21"/>
      <c r="D166" s="21"/>
      <c r="E166" s="21"/>
      <c r="F166" s="21"/>
      <c r="G166" s="21"/>
      <c r="H166" s="21"/>
      <c r="I166" s="21"/>
      <c r="J166" s="21"/>
    </row>
    <row r="167" spans="1:10" x14ac:dyDescent="0.3">
      <c r="A167" s="21" t="s">
        <v>186</v>
      </c>
      <c r="B167" s="21">
        <v>1</v>
      </c>
      <c r="C167" s="21"/>
      <c r="D167" s="21"/>
      <c r="E167" s="21"/>
      <c r="F167" s="21"/>
      <c r="G167" s="21"/>
      <c r="H167" s="21"/>
      <c r="I167" s="21"/>
      <c r="J167" s="21"/>
    </row>
    <row r="168" spans="1:10" x14ac:dyDescent="0.3">
      <c r="A168" s="21" t="s">
        <v>74</v>
      </c>
      <c r="B168" s="21" t="s">
        <v>236</v>
      </c>
      <c r="C168" s="21"/>
      <c r="D168" s="21"/>
      <c r="E168" s="21"/>
      <c r="F168" s="21"/>
      <c r="G168" s="21"/>
      <c r="H168" s="21"/>
      <c r="I168" s="21"/>
      <c r="J168" s="21"/>
    </row>
    <row r="169" spans="1:10" x14ac:dyDescent="0.3">
      <c r="A169" s="21" t="s">
        <v>77</v>
      </c>
      <c r="B169" s="21" t="s">
        <v>78</v>
      </c>
      <c r="C169" s="21"/>
      <c r="D169" s="21"/>
      <c r="E169" s="21"/>
      <c r="F169" s="21"/>
      <c r="G169" s="21"/>
      <c r="H169" s="21"/>
      <c r="I169" s="21"/>
      <c r="J169" s="21"/>
    </row>
    <row r="170" spans="1:10" x14ac:dyDescent="0.3">
      <c r="A170" s="21" t="s">
        <v>204</v>
      </c>
      <c r="B170" s="21" t="s">
        <v>187</v>
      </c>
      <c r="C170" s="21"/>
      <c r="D170" s="21"/>
      <c r="E170" s="21"/>
      <c r="F170" s="21"/>
      <c r="G170" s="21"/>
      <c r="H170" s="21"/>
      <c r="I170" s="21"/>
      <c r="J170" s="21"/>
    </row>
    <row r="171" spans="1:10" ht="15.6" x14ac:dyDescent="0.3">
      <c r="A171" s="11" t="s">
        <v>80</v>
      </c>
      <c r="B171" s="21"/>
      <c r="C171" s="21"/>
      <c r="D171" s="21"/>
      <c r="E171" s="21"/>
      <c r="F171" s="21"/>
      <c r="G171" s="21"/>
      <c r="H171" s="21"/>
      <c r="I171" s="21"/>
      <c r="J171" s="21"/>
    </row>
    <row r="172" spans="1:10" x14ac:dyDescent="0.3">
      <c r="A172" s="21" t="s">
        <v>81</v>
      </c>
      <c r="B172" s="21" t="s">
        <v>82</v>
      </c>
      <c r="C172" s="21" t="s">
        <v>188</v>
      </c>
      <c r="D172" s="21" t="s">
        <v>73</v>
      </c>
      <c r="E172" s="21" t="s">
        <v>77</v>
      </c>
      <c r="F172" s="21" t="s">
        <v>75</v>
      </c>
      <c r="G172" s="21" t="s">
        <v>248</v>
      </c>
      <c r="H172" s="21" t="s">
        <v>74</v>
      </c>
      <c r="I172" s="21"/>
      <c r="J172" s="21"/>
    </row>
    <row r="173" spans="1:10" x14ac:dyDescent="0.3">
      <c r="A173" s="21" t="s">
        <v>236</v>
      </c>
      <c r="B173" s="21">
        <v>1</v>
      </c>
      <c r="C173" s="21" t="s">
        <v>187</v>
      </c>
      <c r="D173" s="21" t="s">
        <v>98</v>
      </c>
      <c r="E173" s="21" t="s">
        <v>78</v>
      </c>
      <c r="F173" s="21" t="s">
        <v>85</v>
      </c>
      <c r="G173" s="21"/>
      <c r="H173" s="21"/>
      <c r="I173" s="21"/>
      <c r="J173" s="21"/>
    </row>
    <row r="174" spans="1:10" x14ac:dyDescent="0.3">
      <c r="A174" s="21" t="s">
        <v>260</v>
      </c>
      <c r="B174" s="21">
        <v>0.3</v>
      </c>
      <c r="C174" s="21" t="s">
        <v>187</v>
      </c>
      <c r="D174" s="21" t="s">
        <v>98</v>
      </c>
      <c r="E174" s="21" t="s">
        <v>78</v>
      </c>
      <c r="F174" s="21" t="s">
        <v>91</v>
      </c>
      <c r="G174" s="21"/>
      <c r="H174" s="21"/>
      <c r="I174" s="21"/>
      <c r="J174" s="21"/>
    </row>
    <row r="175" spans="1:10" x14ac:dyDescent="0.3">
      <c r="A175" s="21" t="s">
        <v>261</v>
      </c>
      <c r="B175" s="21">
        <v>0.48</v>
      </c>
      <c r="C175" s="21" t="s">
        <v>187</v>
      </c>
      <c r="D175" s="21" t="s">
        <v>98</v>
      </c>
      <c r="E175" s="21" t="s">
        <v>78</v>
      </c>
      <c r="F175" s="21" t="s">
        <v>91</v>
      </c>
      <c r="G175" s="21"/>
      <c r="H175" s="21"/>
      <c r="I175" s="21"/>
      <c r="J175" s="21"/>
    </row>
    <row r="176" spans="1:10" x14ac:dyDescent="0.3">
      <c r="A176" s="21" t="s">
        <v>262</v>
      </c>
      <c r="B176" s="21">
        <v>3.0000000000000001E-3</v>
      </c>
      <c r="C176" s="21" t="s">
        <v>187</v>
      </c>
      <c r="D176" s="21" t="s">
        <v>98</v>
      </c>
      <c r="E176" s="21" t="s">
        <v>78</v>
      </c>
      <c r="F176" s="21" t="s">
        <v>91</v>
      </c>
      <c r="G176" s="21"/>
      <c r="H176" s="21"/>
      <c r="I176" s="21"/>
      <c r="J176" s="21"/>
    </row>
    <row r="177" spans="1:10" x14ac:dyDescent="0.3">
      <c r="A177" s="21" t="s">
        <v>263</v>
      </c>
      <c r="B177" s="21">
        <v>0.13</v>
      </c>
      <c r="C177" s="21" t="s">
        <v>187</v>
      </c>
      <c r="D177" s="21" t="s">
        <v>98</v>
      </c>
      <c r="E177" s="21" t="s">
        <v>78</v>
      </c>
      <c r="F177" s="21" t="s">
        <v>91</v>
      </c>
      <c r="G177" s="21"/>
      <c r="H177" s="21"/>
      <c r="I177" s="21"/>
      <c r="J177" s="21"/>
    </row>
    <row r="178" spans="1:10" x14ac:dyDescent="0.3">
      <c r="A178" s="21" t="s">
        <v>264</v>
      </c>
      <c r="B178" s="21">
        <v>8.8999999999999996E-2</v>
      </c>
      <c r="C178" s="21" t="s">
        <v>193</v>
      </c>
      <c r="D178" s="21" t="s">
        <v>98</v>
      </c>
      <c r="E178" s="21" t="s">
        <v>78</v>
      </c>
      <c r="F178" s="21" t="s">
        <v>91</v>
      </c>
      <c r="G178" s="21" t="s">
        <v>265</v>
      </c>
      <c r="H178" s="21" t="s">
        <v>266</v>
      </c>
      <c r="I178" s="21"/>
      <c r="J178" s="21"/>
    </row>
    <row r="179" spans="1:10" x14ac:dyDescent="0.3">
      <c r="A179" s="21" t="s">
        <v>267</v>
      </c>
      <c r="B179" s="21">
        <v>0.2</v>
      </c>
      <c r="C179" s="21" t="s">
        <v>193</v>
      </c>
      <c r="D179" s="21" t="s">
        <v>268</v>
      </c>
      <c r="E179" s="21" t="s">
        <v>243</v>
      </c>
      <c r="F179" s="21" t="s">
        <v>91</v>
      </c>
      <c r="G179" s="21"/>
      <c r="H179" s="21" t="s">
        <v>269</v>
      </c>
      <c r="I179" s="21"/>
      <c r="J179" s="21"/>
    </row>
    <row r="180" spans="1:10" x14ac:dyDescent="0.3">
      <c r="A180" s="21" t="s">
        <v>270</v>
      </c>
      <c r="B180" s="21">
        <v>0.1</v>
      </c>
      <c r="C180" s="21" t="s">
        <v>193</v>
      </c>
      <c r="D180" s="21" t="s">
        <v>242</v>
      </c>
      <c r="E180" s="21" t="s">
        <v>243</v>
      </c>
      <c r="F180" s="21" t="s">
        <v>91</v>
      </c>
      <c r="G180" s="21"/>
      <c r="H180" s="21" t="s">
        <v>271</v>
      </c>
      <c r="I180" s="21"/>
      <c r="J180" s="21"/>
    </row>
    <row r="181" spans="1:10" x14ac:dyDescent="0.3">
      <c r="A181" s="21"/>
      <c r="B181" s="21"/>
      <c r="C181" s="21"/>
      <c r="D181" s="21"/>
      <c r="E181" s="21"/>
      <c r="F181" s="21"/>
      <c r="G181" s="21"/>
      <c r="H181" s="21"/>
      <c r="I181" s="21"/>
      <c r="J181" s="21"/>
    </row>
    <row r="182" spans="1:10" ht="15.6" x14ac:dyDescent="0.3">
      <c r="A182" s="11" t="s">
        <v>72</v>
      </c>
      <c r="B182" s="11" t="s">
        <v>237</v>
      </c>
      <c r="C182" s="21"/>
      <c r="D182" s="21"/>
      <c r="E182" s="21"/>
      <c r="F182" s="21"/>
      <c r="G182" s="21"/>
      <c r="H182" s="21"/>
      <c r="I182" s="21"/>
      <c r="J182" s="21"/>
    </row>
    <row r="183" spans="1:10" x14ac:dyDescent="0.3">
      <c r="A183" s="21" t="s">
        <v>202</v>
      </c>
      <c r="B183" s="21" t="s">
        <v>272</v>
      </c>
      <c r="C183" s="21"/>
      <c r="D183" s="21"/>
      <c r="E183" s="21"/>
      <c r="F183" s="21"/>
      <c r="G183" s="21"/>
      <c r="H183" s="21"/>
      <c r="I183" s="21"/>
      <c r="J183" s="21"/>
    </row>
    <row r="184" spans="1:10" x14ac:dyDescent="0.3">
      <c r="A184" s="21" t="s">
        <v>84</v>
      </c>
      <c r="B184" s="21" t="s">
        <v>86</v>
      </c>
      <c r="C184" s="21"/>
      <c r="D184" s="21"/>
      <c r="E184" s="21"/>
      <c r="F184" s="21"/>
      <c r="G184" s="21"/>
      <c r="H184" s="21"/>
      <c r="I184" s="21"/>
      <c r="J184" s="21"/>
    </row>
    <row r="185" spans="1:10" x14ac:dyDescent="0.3">
      <c r="A185" s="21" t="s">
        <v>73</v>
      </c>
      <c r="B185" s="21" t="s">
        <v>98</v>
      </c>
      <c r="C185" s="21"/>
      <c r="D185" s="21"/>
      <c r="E185" s="21"/>
      <c r="F185" s="21"/>
      <c r="G185" s="21"/>
      <c r="H185" s="21"/>
      <c r="I185" s="21"/>
      <c r="J185" s="21"/>
    </row>
    <row r="186" spans="1:10" x14ac:dyDescent="0.3">
      <c r="A186" s="21" t="s">
        <v>186</v>
      </c>
      <c r="B186" s="21">
        <v>1</v>
      </c>
      <c r="C186" s="21"/>
      <c r="D186" s="21"/>
      <c r="E186" s="21"/>
      <c r="F186" s="21"/>
      <c r="G186" s="21"/>
      <c r="H186" s="21"/>
      <c r="I186" s="21"/>
      <c r="J186" s="21"/>
    </row>
    <row r="187" spans="1:10" x14ac:dyDescent="0.3">
      <c r="A187" s="21" t="s">
        <v>74</v>
      </c>
      <c r="B187" s="21" t="s">
        <v>237</v>
      </c>
      <c r="C187" s="21"/>
      <c r="D187" s="21"/>
      <c r="E187" s="21"/>
      <c r="F187" s="21"/>
      <c r="G187" s="21"/>
      <c r="H187" s="21"/>
      <c r="I187" s="21"/>
      <c r="J187" s="21"/>
    </row>
    <row r="188" spans="1:10" x14ac:dyDescent="0.3">
      <c r="A188" s="21" t="s">
        <v>77</v>
      </c>
      <c r="B188" s="21" t="s">
        <v>78</v>
      </c>
      <c r="C188" s="21"/>
      <c r="D188" s="21"/>
      <c r="E188" s="21"/>
      <c r="F188" s="21"/>
      <c r="G188" s="21"/>
      <c r="H188" s="21"/>
      <c r="I188" s="21"/>
      <c r="J188" s="21"/>
    </row>
    <row r="189" spans="1:10" x14ac:dyDescent="0.3">
      <c r="A189" s="21" t="s">
        <v>204</v>
      </c>
      <c r="B189" s="21" t="s">
        <v>187</v>
      </c>
      <c r="C189" s="21"/>
      <c r="D189" s="21"/>
      <c r="E189" s="21"/>
      <c r="F189" s="21"/>
      <c r="G189" s="21"/>
      <c r="H189" s="21"/>
      <c r="I189" s="21"/>
      <c r="J189" s="21"/>
    </row>
    <row r="190" spans="1:10" ht="15.6" x14ac:dyDescent="0.3">
      <c r="A190" s="11" t="s">
        <v>80</v>
      </c>
      <c r="B190" s="21"/>
      <c r="C190" s="21"/>
      <c r="D190" s="21"/>
      <c r="E190" s="21"/>
      <c r="F190" s="21"/>
      <c r="G190" s="21"/>
      <c r="H190" s="21"/>
      <c r="I190" s="21"/>
      <c r="J190" s="21"/>
    </row>
    <row r="191" spans="1:10" x14ac:dyDescent="0.3">
      <c r="A191" s="21" t="s">
        <v>81</v>
      </c>
      <c r="B191" s="21" t="s">
        <v>82</v>
      </c>
      <c r="C191" s="21" t="s">
        <v>188</v>
      </c>
      <c r="D191" s="21" t="s">
        <v>73</v>
      </c>
      <c r="E191" s="21" t="s">
        <v>77</v>
      </c>
      <c r="F191" s="21" t="s">
        <v>75</v>
      </c>
      <c r="G191" s="21" t="s">
        <v>74</v>
      </c>
      <c r="H191" s="21"/>
      <c r="I191" s="21"/>
      <c r="J191" s="21"/>
    </row>
    <row r="192" spans="1:10" x14ac:dyDescent="0.3">
      <c r="A192" s="21" t="s">
        <v>237</v>
      </c>
      <c r="B192" s="21">
        <v>1</v>
      </c>
      <c r="C192" s="21" t="s">
        <v>187</v>
      </c>
      <c r="D192" s="21" t="s">
        <v>98</v>
      </c>
      <c r="E192" s="21" t="s">
        <v>78</v>
      </c>
      <c r="F192" s="21" t="s">
        <v>85</v>
      </c>
      <c r="G192" s="21"/>
      <c r="H192" s="21"/>
      <c r="I192" s="21"/>
      <c r="J192" s="21"/>
    </row>
    <row r="193" spans="1:10" x14ac:dyDescent="0.3">
      <c r="A193" s="21" t="s">
        <v>273</v>
      </c>
      <c r="B193" s="21">
        <v>0.11</v>
      </c>
      <c r="C193" s="21" t="s">
        <v>187</v>
      </c>
      <c r="D193" s="21" t="s">
        <v>98</v>
      </c>
      <c r="E193" s="21" t="s">
        <v>78</v>
      </c>
      <c r="F193" s="21" t="s">
        <v>91</v>
      </c>
      <c r="G193" s="21"/>
      <c r="H193" s="21"/>
      <c r="I193" s="21"/>
      <c r="J193" s="21"/>
    </row>
    <row r="194" spans="1:10" x14ac:dyDescent="0.3">
      <c r="A194" s="21" t="s">
        <v>274</v>
      </c>
      <c r="B194" s="21">
        <v>0.3</v>
      </c>
      <c r="C194" s="21" t="s">
        <v>187</v>
      </c>
      <c r="D194" s="21" t="s">
        <v>98</v>
      </c>
      <c r="E194" s="21" t="s">
        <v>78</v>
      </c>
      <c r="F194" s="21" t="s">
        <v>91</v>
      </c>
      <c r="G194" s="21"/>
      <c r="H194" s="21"/>
      <c r="I194" s="21"/>
      <c r="J194" s="21"/>
    </row>
    <row r="195" spans="1:10" x14ac:dyDescent="0.3">
      <c r="A195" s="21" t="s">
        <v>275</v>
      </c>
      <c r="B195" s="21">
        <v>0.59</v>
      </c>
      <c r="C195" s="21" t="s">
        <v>187</v>
      </c>
      <c r="D195" s="21" t="s">
        <v>98</v>
      </c>
      <c r="E195" s="21" t="s">
        <v>78</v>
      </c>
      <c r="F195" s="21" t="s">
        <v>91</v>
      </c>
      <c r="G195" s="21"/>
      <c r="H195" s="21"/>
      <c r="I195" s="21"/>
      <c r="J195" s="21"/>
    </row>
    <row r="196" spans="1:10" x14ac:dyDescent="0.3">
      <c r="A196" s="21" t="s">
        <v>241</v>
      </c>
      <c r="B196" s="21">
        <v>0.15</v>
      </c>
      <c r="C196" s="21" t="s">
        <v>193</v>
      </c>
      <c r="D196" s="21" t="s">
        <v>242</v>
      </c>
      <c r="E196" s="21" t="s">
        <v>243</v>
      </c>
      <c r="F196" s="21" t="s">
        <v>91</v>
      </c>
      <c r="G196" s="21" t="s">
        <v>244</v>
      </c>
      <c r="H196" s="21"/>
      <c r="I196" s="21"/>
      <c r="J196" s="21"/>
    </row>
    <row r="197" spans="1:10" x14ac:dyDescent="0.3">
      <c r="A197" s="21" t="s">
        <v>245</v>
      </c>
      <c r="B197" s="21">
        <v>4.8</v>
      </c>
      <c r="C197" s="21" t="s">
        <v>193</v>
      </c>
      <c r="D197" s="21" t="s">
        <v>98</v>
      </c>
      <c r="E197" s="21" t="s">
        <v>243</v>
      </c>
      <c r="F197" s="21" t="s">
        <v>91</v>
      </c>
      <c r="G197" s="21" t="s">
        <v>246</v>
      </c>
      <c r="H197" s="21"/>
      <c r="I197" s="21"/>
      <c r="J197" s="21"/>
    </row>
    <row r="198" spans="1:10" x14ac:dyDescent="0.3">
      <c r="A198" s="21"/>
      <c r="B198" s="21"/>
      <c r="C198" s="21"/>
      <c r="D198" s="21"/>
      <c r="E198" s="21"/>
      <c r="F198" s="21"/>
      <c r="G198" s="21"/>
      <c r="H198" s="21"/>
      <c r="I198" s="21"/>
      <c r="J198" s="21"/>
    </row>
    <row r="199" spans="1:10" ht="15.6" x14ac:dyDescent="0.3">
      <c r="A199" s="11" t="s">
        <v>72</v>
      </c>
      <c r="B199" s="11" t="s">
        <v>273</v>
      </c>
      <c r="C199" s="21"/>
      <c r="D199" s="21"/>
      <c r="E199" s="21"/>
      <c r="F199" s="21"/>
      <c r="G199" s="21"/>
      <c r="H199" s="21"/>
      <c r="I199" s="21"/>
      <c r="J199" s="21"/>
    </row>
    <row r="200" spans="1:10" x14ac:dyDescent="0.3">
      <c r="A200" s="21" t="s">
        <v>202</v>
      </c>
      <c r="B200" s="21" t="s">
        <v>276</v>
      </c>
      <c r="C200" s="21"/>
      <c r="D200" s="21"/>
      <c r="E200" s="21"/>
      <c r="F200" s="21"/>
      <c r="G200" s="21"/>
      <c r="H200" s="21"/>
      <c r="I200" s="21"/>
      <c r="J200" s="21"/>
    </row>
    <row r="201" spans="1:10" x14ac:dyDescent="0.3">
      <c r="A201" s="21" t="s">
        <v>84</v>
      </c>
      <c r="B201" s="21" t="s">
        <v>86</v>
      </c>
      <c r="C201" s="21"/>
      <c r="D201" s="21"/>
      <c r="E201" s="21"/>
      <c r="F201" s="21"/>
      <c r="G201" s="21"/>
      <c r="H201" s="21"/>
      <c r="I201" s="21"/>
      <c r="J201" s="21"/>
    </row>
    <row r="202" spans="1:10" x14ac:dyDescent="0.3">
      <c r="A202" s="21" t="s">
        <v>73</v>
      </c>
      <c r="B202" s="21" t="s">
        <v>98</v>
      </c>
      <c r="C202" s="21"/>
      <c r="D202" s="21"/>
      <c r="E202" s="21"/>
      <c r="F202" s="21"/>
      <c r="G202" s="21"/>
      <c r="H202" s="21"/>
      <c r="I202" s="21"/>
      <c r="J202" s="21"/>
    </row>
    <row r="203" spans="1:10" x14ac:dyDescent="0.3">
      <c r="A203" s="21" t="s">
        <v>186</v>
      </c>
      <c r="B203" s="21">
        <v>1</v>
      </c>
      <c r="C203" s="21"/>
      <c r="D203" s="21"/>
      <c r="E203" s="21"/>
      <c r="F203" s="21"/>
      <c r="G203" s="21"/>
      <c r="H203" s="21"/>
      <c r="I203" s="21"/>
      <c r="J203" s="21"/>
    </row>
    <row r="204" spans="1:10" x14ac:dyDescent="0.3">
      <c r="A204" s="21" t="s">
        <v>74</v>
      </c>
      <c r="B204" s="21" t="s">
        <v>273</v>
      </c>
      <c r="C204" s="21"/>
      <c r="D204" s="21"/>
      <c r="E204" s="21"/>
      <c r="F204" s="21"/>
      <c r="G204" s="21"/>
      <c r="H204" s="21"/>
      <c r="I204" s="21"/>
      <c r="J204" s="21"/>
    </row>
    <row r="205" spans="1:10" x14ac:dyDescent="0.3">
      <c r="A205" s="21" t="s">
        <v>77</v>
      </c>
      <c r="B205" s="21" t="s">
        <v>78</v>
      </c>
      <c r="C205" s="21"/>
      <c r="D205" s="21"/>
      <c r="E205" s="21"/>
      <c r="F205" s="21"/>
      <c r="G205" s="21"/>
      <c r="H205" s="21"/>
      <c r="I205" s="21"/>
      <c r="J205" s="21"/>
    </row>
    <row r="206" spans="1:10" x14ac:dyDescent="0.3">
      <c r="A206" s="21" t="s">
        <v>204</v>
      </c>
      <c r="B206" s="21" t="s">
        <v>187</v>
      </c>
      <c r="C206" s="21"/>
      <c r="D206" s="21"/>
      <c r="E206" s="21"/>
      <c r="F206" s="21"/>
      <c r="G206" s="21"/>
      <c r="H206" s="21"/>
      <c r="I206" s="21"/>
      <c r="J206" s="21"/>
    </row>
    <row r="207" spans="1:10" ht="15.6" x14ac:dyDescent="0.3">
      <c r="A207" s="11" t="s">
        <v>80</v>
      </c>
      <c r="B207" s="21"/>
      <c r="C207" s="21"/>
      <c r="D207" s="21"/>
      <c r="E207" s="21"/>
      <c r="F207" s="21"/>
      <c r="G207" s="21"/>
      <c r="H207" s="21"/>
      <c r="I207" s="21"/>
      <c r="J207" s="21"/>
    </row>
    <row r="208" spans="1:10" x14ac:dyDescent="0.3">
      <c r="A208" s="21" t="s">
        <v>81</v>
      </c>
      <c r="B208" s="21" t="s">
        <v>82</v>
      </c>
      <c r="C208" s="21" t="s">
        <v>188</v>
      </c>
      <c r="D208" s="21" t="s">
        <v>73</v>
      </c>
      <c r="E208" s="21" t="s">
        <v>77</v>
      </c>
      <c r="F208" s="21" t="s">
        <v>75</v>
      </c>
      <c r="G208" s="21" t="s">
        <v>74</v>
      </c>
      <c r="H208" s="21"/>
      <c r="I208" s="21"/>
      <c r="J208" s="21"/>
    </row>
    <row r="209" spans="1:10" x14ac:dyDescent="0.3">
      <c r="A209" s="21" t="s">
        <v>273</v>
      </c>
      <c r="B209" s="21">
        <v>1</v>
      </c>
      <c r="C209" s="21" t="s">
        <v>187</v>
      </c>
      <c r="D209" s="21" t="s">
        <v>98</v>
      </c>
      <c r="E209" s="21" t="s">
        <v>78</v>
      </c>
      <c r="F209" s="21" t="s">
        <v>85</v>
      </c>
      <c r="G209" s="21"/>
      <c r="H209" s="21"/>
      <c r="I209" s="21"/>
      <c r="J209" s="21"/>
    </row>
    <row r="210" spans="1:10" x14ac:dyDescent="0.3">
      <c r="A210" s="21" t="s">
        <v>277</v>
      </c>
      <c r="B210" s="21">
        <v>0.46</v>
      </c>
      <c r="C210" s="21" t="s">
        <v>187</v>
      </c>
      <c r="D210" s="21" t="s">
        <v>98</v>
      </c>
      <c r="E210" s="21" t="s">
        <v>78</v>
      </c>
      <c r="F210" s="21" t="s">
        <v>91</v>
      </c>
      <c r="G210" s="21"/>
      <c r="H210" s="21"/>
      <c r="I210" s="21"/>
      <c r="J210" s="21"/>
    </row>
    <row r="211" spans="1:10" x14ac:dyDescent="0.3">
      <c r="A211" s="21" t="s">
        <v>278</v>
      </c>
      <c r="B211" s="21">
        <v>0.35</v>
      </c>
      <c r="C211" s="21" t="s">
        <v>187</v>
      </c>
      <c r="D211" s="21" t="s">
        <v>98</v>
      </c>
      <c r="E211" s="21" t="s">
        <v>78</v>
      </c>
      <c r="F211" s="21" t="s">
        <v>91</v>
      </c>
      <c r="G211" s="21"/>
      <c r="H211" s="21"/>
      <c r="I211" s="21"/>
      <c r="J211" s="21"/>
    </row>
    <row r="212" spans="1:10" x14ac:dyDescent="0.3">
      <c r="A212" s="21" t="s">
        <v>279</v>
      </c>
      <c r="B212" s="21">
        <v>8.6999999999999994E-2</v>
      </c>
      <c r="C212" s="21" t="s">
        <v>187</v>
      </c>
      <c r="D212" s="21" t="s">
        <v>98</v>
      </c>
      <c r="E212" s="21" t="s">
        <v>78</v>
      </c>
      <c r="F212" s="21" t="s">
        <v>91</v>
      </c>
      <c r="G212" s="21"/>
      <c r="H212" s="21"/>
      <c r="I212" s="21"/>
      <c r="J212" s="21"/>
    </row>
    <row r="213" spans="1:10" x14ac:dyDescent="0.3">
      <c r="A213" s="21" t="s">
        <v>280</v>
      </c>
      <c r="B213" s="21">
        <v>0.1</v>
      </c>
      <c r="C213" s="21" t="s">
        <v>193</v>
      </c>
      <c r="D213" s="21" t="s">
        <v>98</v>
      </c>
      <c r="E213" s="21" t="s">
        <v>78</v>
      </c>
      <c r="F213" s="21" t="s">
        <v>91</v>
      </c>
      <c r="G213" s="21" t="s">
        <v>281</v>
      </c>
      <c r="H213" s="21"/>
      <c r="I213" s="21"/>
      <c r="J213" s="21"/>
    </row>
    <row r="214" spans="1:10" x14ac:dyDescent="0.3">
      <c r="A214" s="21"/>
      <c r="B214" s="21"/>
      <c r="C214" s="21"/>
      <c r="D214" s="21"/>
      <c r="E214" s="21"/>
      <c r="F214" s="21"/>
      <c r="G214" s="21"/>
      <c r="H214" s="21"/>
      <c r="I214" s="21"/>
      <c r="J214" s="21"/>
    </row>
    <row r="215" spans="1:10" ht="15.6" x14ac:dyDescent="0.3">
      <c r="A215" s="11" t="s">
        <v>72</v>
      </c>
      <c r="B215" s="11" t="s">
        <v>274</v>
      </c>
      <c r="C215" s="21"/>
      <c r="D215" s="21"/>
      <c r="E215" s="21"/>
      <c r="F215" s="21"/>
      <c r="G215" s="21"/>
      <c r="H215" s="21"/>
      <c r="I215" s="21"/>
      <c r="J215" s="21"/>
    </row>
    <row r="216" spans="1:10" x14ac:dyDescent="0.3">
      <c r="A216" s="21" t="s">
        <v>202</v>
      </c>
      <c r="B216" s="21" t="s">
        <v>282</v>
      </c>
      <c r="C216" s="21"/>
      <c r="D216" s="21"/>
      <c r="E216" s="21"/>
      <c r="F216" s="21"/>
      <c r="G216" s="21"/>
      <c r="H216" s="21"/>
      <c r="I216" s="21"/>
      <c r="J216" s="21"/>
    </row>
    <row r="217" spans="1:10" x14ac:dyDescent="0.3">
      <c r="A217" s="21" t="s">
        <v>84</v>
      </c>
      <c r="B217" s="21" t="s">
        <v>86</v>
      </c>
      <c r="C217" s="21"/>
      <c r="D217" s="21"/>
      <c r="E217" s="21"/>
      <c r="F217" s="21"/>
      <c r="G217" s="21"/>
      <c r="H217" s="21"/>
      <c r="I217" s="21"/>
      <c r="J217" s="21"/>
    </row>
    <row r="218" spans="1:10" x14ac:dyDescent="0.3">
      <c r="A218" s="21" t="s">
        <v>73</v>
      </c>
      <c r="B218" s="21" t="s">
        <v>98</v>
      </c>
      <c r="C218" s="21"/>
      <c r="D218" s="21"/>
      <c r="E218" s="21"/>
      <c r="F218" s="21"/>
      <c r="G218" s="21"/>
      <c r="H218" s="21"/>
      <c r="I218" s="21"/>
      <c r="J218" s="21"/>
    </row>
    <row r="219" spans="1:10" x14ac:dyDescent="0.3">
      <c r="A219" s="21" t="s">
        <v>186</v>
      </c>
      <c r="B219" s="21">
        <v>1</v>
      </c>
      <c r="C219" s="21"/>
      <c r="D219" s="21"/>
      <c r="E219" s="21"/>
      <c r="F219" s="21"/>
      <c r="G219" s="21"/>
      <c r="H219" s="21"/>
      <c r="I219" s="21"/>
      <c r="J219" s="21"/>
    </row>
    <row r="220" spans="1:10" x14ac:dyDescent="0.3">
      <c r="A220" s="21" t="s">
        <v>74</v>
      </c>
      <c r="B220" s="21" t="s">
        <v>274</v>
      </c>
      <c r="C220" s="21"/>
      <c r="D220" s="21"/>
      <c r="E220" s="21"/>
      <c r="F220" s="21"/>
      <c r="G220" s="21"/>
      <c r="H220" s="21"/>
      <c r="I220" s="21"/>
      <c r="J220" s="21"/>
    </row>
    <row r="221" spans="1:10" x14ac:dyDescent="0.3">
      <c r="A221" s="21" t="s">
        <v>77</v>
      </c>
      <c r="B221" s="21" t="s">
        <v>78</v>
      </c>
      <c r="C221" s="21"/>
      <c r="D221" s="21"/>
      <c r="E221" s="21"/>
      <c r="F221" s="21"/>
      <c r="G221" s="21"/>
      <c r="H221" s="21"/>
      <c r="I221" s="21"/>
      <c r="J221" s="21"/>
    </row>
    <row r="222" spans="1:10" x14ac:dyDescent="0.3">
      <c r="A222" s="21" t="s">
        <v>204</v>
      </c>
      <c r="B222" s="21" t="s">
        <v>187</v>
      </c>
      <c r="C222" s="21"/>
      <c r="D222" s="21"/>
      <c r="E222" s="21"/>
      <c r="F222" s="21"/>
      <c r="G222" s="21"/>
      <c r="H222" s="21"/>
      <c r="I222" s="21"/>
      <c r="J222" s="21"/>
    </row>
    <row r="223" spans="1:10" ht="15.6" x14ac:dyDescent="0.3">
      <c r="A223" s="11" t="s">
        <v>80</v>
      </c>
      <c r="B223" s="21"/>
      <c r="C223" s="21"/>
      <c r="D223" s="21"/>
      <c r="E223" s="21"/>
      <c r="F223" s="21"/>
      <c r="G223" s="21"/>
      <c r="H223" s="21"/>
      <c r="I223" s="21"/>
      <c r="J223" s="21"/>
    </row>
    <row r="224" spans="1:10" x14ac:dyDescent="0.3">
      <c r="A224" s="21" t="s">
        <v>81</v>
      </c>
      <c r="B224" s="21" t="s">
        <v>82</v>
      </c>
      <c r="C224" s="21" t="s">
        <v>188</v>
      </c>
      <c r="D224" s="21" t="s">
        <v>73</v>
      </c>
      <c r="E224" s="21" t="s">
        <v>77</v>
      </c>
      <c r="F224" s="21" t="s">
        <v>75</v>
      </c>
      <c r="G224" s="21" t="s">
        <v>74</v>
      </c>
      <c r="H224" s="21"/>
      <c r="I224" s="21"/>
      <c r="J224" s="21"/>
    </row>
    <row r="225" spans="1:10" x14ac:dyDescent="0.3">
      <c r="A225" s="21" t="s">
        <v>274</v>
      </c>
      <c r="B225" s="21">
        <v>1</v>
      </c>
      <c r="C225" s="21" t="s">
        <v>187</v>
      </c>
      <c r="D225" s="21" t="s">
        <v>98</v>
      </c>
      <c r="E225" s="21" t="s">
        <v>78</v>
      </c>
      <c r="F225" s="21" t="s">
        <v>85</v>
      </c>
      <c r="G225" s="21"/>
      <c r="H225" s="21"/>
      <c r="I225" s="21"/>
      <c r="J225" s="21"/>
    </row>
    <row r="226" spans="1:10" x14ac:dyDescent="0.3">
      <c r="A226" s="21" t="s">
        <v>283</v>
      </c>
      <c r="B226" s="21">
        <v>0.21</v>
      </c>
      <c r="C226" s="21" t="s">
        <v>187</v>
      </c>
      <c r="D226" s="21" t="s">
        <v>98</v>
      </c>
      <c r="E226" s="21" t="s">
        <v>78</v>
      </c>
      <c r="F226" s="21" t="s">
        <v>91</v>
      </c>
      <c r="G226" s="21"/>
      <c r="H226" s="21"/>
      <c r="I226" s="21"/>
      <c r="J226" s="21"/>
    </row>
    <row r="227" spans="1:10" x14ac:dyDescent="0.3">
      <c r="A227" s="21" t="s">
        <v>284</v>
      </c>
      <c r="B227" s="21">
        <v>4.0999999999999999E-4</v>
      </c>
      <c r="C227" s="21" t="s">
        <v>187</v>
      </c>
      <c r="D227" s="21" t="s">
        <v>98</v>
      </c>
      <c r="E227" s="21" t="s">
        <v>78</v>
      </c>
      <c r="F227" s="21" t="s">
        <v>91</v>
      </c>
      <c r="G227" s="21"/>
      <c r="H227" s="21"/>
      <c r="I227" s="21"/>
      <c r="J227" s="21"/>
    </row>
    <row r="228" spans="1:10" x14ac:dyDescent="0.3">
      <c r="A228" s="21" t="s">
        <v>285</v>
      </c>
      <c r="B228" s="21">
        <v>0.79</v>
      </c>
      <c r="C228" s="21" t="s">
        <v>187</v>
      </c>
      <c r="D228" s="21" t="s">
        <v>98</v>
      </c>
      <c r="E228" s="21" t="s">
        <v>78</v>
      </c>
      <c r="F228" s="21" t="s">
        <v>91</v>
      </c>
      <c r="G228" s="21"/>
      <c r="H228" s="21"/>
      <c r="I228" s="21"/>
      <c r="J228" s="21"/>
    </row>
    <row r="229" spans="1:10" x14ac:dyDescent="0.3">
      <c r="A229" s="21" t="s">
        <v>267</v>
      </c>
      <c r="B229" s="21">
        <v>0.2</v>
      </c>
      <c r="C229" s="21" t="s">
        <v>193</v>
      </c>
      <c r="D229" s="21" t="s">
        <v>268</v>
      </c>
      <c r="E229" s="21" t="s">
        <v>243</v>
      </c>
      <c r="F229" s="21" t="s">
        <v>91</v>
      </c>
      <c r="G229" s="21" t="s">
        <v>269</v>
      </c>
      <c r="H229" s="21"/>
      <c r="I229" s="21"/>
      <c r="J229" s="21"/>
    </row>
    <row r="230" spans="1:10" x14ac:dyDescent="0.3">
      <c r="A230" s="21" t="s">
        <v>270</v>
      </c>
      <c r="B230" s="21">
        <v>0.1</v>
      </c>
      <c r="C230" s="21" t="s">
        <v>193</v>
      </c>
      <c r="D230" s="21" t="s">
        <v>242</v>
      </c>
      <c r="E230" s="21" t="s">
        <v>243</v>
      </c>
      <c r="F230" s="21" t="s">
        <v>91</v>
      </c>
      <c r="G230" s="21" t="s">
        <v>271</v>
      </c>
      <c r="H230" s="21"/>
      <c r="I230" s="21"/>
      <c r="J230" s="21"/>
    </row>
    <row r="231" spans="1:10" x14ac:dyDescent="0.3">
      <c r="A231" s="21"/>
      <c r="B231" s="21"/>
      <c r="C231" s="21"/>
      <c r="D231" s="21"/>
      <c r="E231" s="21"/>
      <c r="F231" s="21"/>
      <c r="G231" s="21"/>
      <c r="H231" s="21"/>
      <c r="I231" s="21"/>
      <c r="J231" s="21"/>
    </row>
    <row r="232" spans="1:10" ht="15.6" x14ac:dyDescent="0.3">
      <c r="A232" s="11" t="s">
        <v>72</v>
      </c>
      <c r="B232" s="11" t="s">
        <v>286</v>
      </c>
      <c r="C232" s="21"/>
      <c r="D232" s="21"/>
      <c r="E232" s="21"/>
      <c r="F232" s="21"/>
      <c r="G232" s="21"/>
      <c r="H232" s="21"/>
      <c r="I232" s="21"/>
      <c r="J232" s="21"/>
    </row>
    <row r="233" spans="1:10" x14ac:dyDescent="0.3">
      <c r="A233" s="21" t="s">
        <v>202</v>
      </c>
      <c r="B233" s="21" t="s">
        <v>287</v>
      </c>
      <c r="C233" s="21"/>
      <c r="D233" s="21"/>
      <c r="E233" s="21"/>
      <c r="F233" s="21"/>
      <c r="G233" s="21"/>
      <c r="H233" s="21"/>
      <c r="I233" s="21"/>
      <c r="J233" s="21"/>
    </row>
    <row r="234" spans="1:10" x14ac:dyDescent="0.3">
      <c r="A234" s="21" t="s">
        <v>84</v>
      </c>
      <c r="B234" s="21" t="s">
        <v>86</v>
      </c>
      <c r="C234" s="21"/>
      <c r="D234" s="21"/>
      <c r="E234" s="21"/>
      <c r="F234" s="21"/>
      <c r="G234" s="21"/>
      <c r="H234" s="21"/>
      <c r="I234" s="21"/>
      <c r="J234" s="21"/>
    </row>
    <row r="235" spans="1:10" x14ac:dyDescent="0.3">
      <c r="A235" s="21" t="s">
        <v>73</v>
      </c>
      <c r="B235" s="21" t="s">
        <v>98</v>
      </c>
      <c r="C235" s="21"/>
      <c r="D235" s="21"/>
      <c r="E235" s="21"/>
      <c r="F235" s="21"/>
      <c r="G235" s="21"/>
      <c r="H235" s="21"/>
      <c r="I235" s="21"/>
      <c r="J235" s="21"/>
    </row>
    <row r="236" spans="1:10" x14ac:dyDescent="0.3">
      <c r="A236" s="21" t="s">
        <v>186</v>
      </c>
      <c r="B236" s="21">
        <v>1</v>
      </c>
      <c r="C236" s="21"/>
      <c r="D236" s="21"/>
      <c r="E236" s="21"/>
      <c r="F236" s="21"/>
      <c r="G236" s="21"/>
      <c r="H236" s="21"/>
      <c r="I236" s="21"/>
      <c r="J236" s="21"/>
    </row>
    <row r="237" spans="1:10" x14ac:dyDescent="0.3">
      <c r="A237" s="21" t="s">
        <v>74</v>
      </c>
      <c r="B237" s="21" t="s">
        <v>286</v>
      </c>
      <c r="C237" s="21"/>
      <c r="D237" s="21"/>
      <c r="E237" s="21"/>
      <c r="F237" s="21"/>
      <c r="G237" s="21"/>
      <c r="H237" s="21"/>
      <c r="I237" s="21"/>
      <c r="J237" s="21"/>
    </row>
    <row r="238" spans="1:10" x14ac:dyDescent="0.3">
      <c r="A238" s="21" t="s">
        <v>77</v>
      </c>
      <c r="B238" s="21" t="s">
        <v>78</v>
      </c>
      <c r="C238" s="21"/>
      <c r="D238" s="21"/>
      <c r="E238" s="21"/>
      <c r="F238" s="21"/>
      <c r="G238" s="21"/>
      <c r="H238" s="21"/>
      <c r="I238" s="21"/>
      <c r="J238" s="21"/>
    </row>
    <row r="239" spans="1:10" x14ac:dyDescent="0.3">
      <c r="A239" s="21" t="s">
        <v>204</v>
      </c>
      <c r="B239" s="21" t="s">
        <v>187</v>
      </c>
      <c r="C239" s="21"/>
      <c r="D239" s="21"/>
      <c r="E239" s="21"/>
      <c r="F239" s="21"/>
      <c r="G239" s="21"/>
      <c r="H239" s="21"/>
      <c r="I239" s="21"/>
      <c r="J239" s="21"/>
    </row>
    <row r="240" spans="1:10" ht="15.6" x14ac:dyDescent="0.3">
      <c r="A240" s="11" t="s">
        <v>80</v>
      </c>
      <c r="B240" s="21"/>
      <c r="C240" s="21"/>
      <c r="D240" s="21"/>
      <c r="E240" s="21"/>
      <c r="F240" s="21"/>
      <c r="G240" s="21"/>
      <c r="H240" s="21"/>
      <c r="I240" s="21"/>
      <c r="J240" s="21"/>
    </row>
    <row r="241" spans="1:10" x14ac:dyDescent="0.3">
      <c r="A241" s="21" t="s">
        <v>81</v>
      </c>
      <c r="B241" s="21" t="s">
        <v>82</v>
      </c>
      <c r="C241" s="21" t="s">
        <v>188</v>
      </c>
      <c r="D241" s="21" t="s">
        <v>73</v>
      </c>
      <c r="E241" s="21" t="s">
        <v>77</v>
      </c>
      <c r="F241" s="21" t="s">
        <v>75</v>
      </c>
      <c r="G241" s="21" t="s">
        <v>74</v>
      </c>
      <c r="H241" s="21"/>
      <c r="I241" s="21"/>
      <c r="J241" s="21"/>
    </row>
    <row r="242" spans="1:10" x14ac:dyDescent="0.3">
      <c r="A242" s="21" t="s">
        <v>286</v>
      </c>
      <c r="B242" s="21">
        <v>1</v>
      </c>
      <c r="C242" s="21" t="s">
        <v>187</v>
      </c>
      <c r="D242" s="21" t="s">
        <v>98</v>
      </c>
      <c r="E242" s="21" t="s">
        <v>78</v>
      </c>
      <c r="F242" s="21" t="s">
        <v>85</v>
      </c>
      <c r="G242" s="21"/>
      <c r="H242" s="21"/>
      <c r="I242" s="21"/>
      <c r="J242" s="21"/>
    </row>
    <row r="243" spans="1:10" x14ac:dyDescent="0.3">
      <c r="A243" s="21" t="s">
        <v>216</v>
      </c>
      <c r="B243" s="21">
        <v>1</v>
      </c>
      <c r="C243" s="21" t="s">
        <v>193</v>
      </c>
      <c r="D243" s="21" t="s">
        <v>98</v>
      </c>
      <c r="E243" s="21" t="s">
        <v>78</v>
      </c>
      <c r="F243" s="21" t="s">
        <v>91</v>
      </c>
      <c r="G243" s="21" t="s">
        <v>217</v>
      </c>
      <c r="H243" s="21"/>
      <c r="I243" s="21"/>
      <c r="J243" s="21"/>
    </row>
    <row r="244" spans="1:10" x14ac:dyDescent="0.3">
      <c r="A244" s="21" t="s">
        <v>288</v>
      </c>
      <c r="B244" s="21">
        <v>0.17</v>
      </c>
      <c r="C244" s="21" t="s">
        <v>193</v>
      </c>
      <c r="D244" s="21" t="s">
        <v>98</v>
      </c>
      <c r="E244" s="21" t="s">
        <v>78</v>
      </c>
      <c r="F244" s="21" t="s">
        <v>91</v>
      </c>
      <c r="G244" s="21" t="s">
        <v>289</v>
      </c>
      <c r="H244" s="21"/>
      <c r="I244" s="21"/>
      <c r="J244" s="21"/>
    </row>
    <row r="245" spans="1:10" x14ac:dyDescent="0.3">
      <c r="A245" s="21" t="s">
        <v>290</v>
      </c>
      <c r="B245" s="21">
        <v>0.49</v>
      </c>
      <c r="C245" s="21" t="s">
        <v>193</v>
      </c>
      <c r="D245" s="21" t="s">
        <v>98</v>
      </c>
      <c r="E245" s="21" t="s">
        <v>78</v>
      </c>
      <c r="F245" s="21" t="s">
        <v>91</v>
      </c>
      <c r="G245" s="21" t="s">
        <v>291</v>
      </c>
      <c r="H245" s="21"/>
      <c r="I245" s="21"/>
      <c r="J245" s="21"/>
    </row>
    <row r="246" spans="1:10" x14ac:dyDescent="0.3">
      <c r="A246" s="21" t="s">
        <v>290</v>
      </c>
      <c r="B246" s="21">
        <v>8.5999999999999993E-2</v>
      </c>
      <c r="C246" s="21" t="s">
        <v>193</v>
      </c>
      <c r="D246" s="21" t="s">
        <v>98</v>
      </c>
      <c r="E246" s="21" t="s">
        <v>78</v>
      </c>
      <c r="F246" s="21" t="s">
        <v>91</v>
      </c>
      <c r="G246" s="21" t="s">
        <v>291</v>
      </c>
      <c r="H246" s="21"/>
      <c r="I246" s="21"/>
      <c r="J246" s="21"/>
    </row>
    <row r="247" spans="1:10" x14ac:dyDescent="0.3">
      <c r="A247" s="21" t="s">
        <v>292</v>
      </c>
      <c r="B247" s="21">
        <v>0.17</v>
      </c>
      <c r="C247" s="21" t="s">
        <v>193</v>
      </c>
      <c r="D247" s="21" t="s">
        <v>98</v>
      </c>
      <c r="E247" s="21" t="s">
        <v>78</v>
      </c>
      <c r="F247" s="21" t="s">
        <v>91</v>
      </c>
      <c r="G247" s="21" t="s">
        <v>293</v>
      </c>
      <c r="H247" s="21"/>
      <c r="I247" s="21"/>
      <c r="J247" s="21"/>
    </row>
    <row r="248" spans="1:10" x14ac:dyDescent="0.3">
      <c r="A248" s="21" t="s">
        <v>294</v>
      </c>
      <c r="B248" s="21">
        <v>3.7999999999999998E-10</v>
      </c>
      <c r="C248" s="21" t="s">
        <v>193</v>
      </c>
      <c r="D248" s="21" t="s">
        <v>98</v>
      </c>
      <c r="E248" s="21" t="s">
        <v>77</v>
      </c>
      <c r="F248" s="21" t="s">
        <v>91</v>
      </c>
      <c r="G248" s="21" t="s">
        <v>295</v>
      </c>
      <c r="H248" s="21"/>
      <c r="I248" s="21"/>
      <c r="J248" s="21"/>
    </row>
    <row r="249" spans="1:10" x14ac:dyDescent="0.3">
      <c r="A249" s="21" t="s">
        <v>296</v>
      </c>
      <c r="B249" s="21">
        <v>0.25</v>
      </c>
      <c r="C249" s="21" t="s">
        <v>193</v>
      </c>
      <c r="D249" s="21" t="s">
        <v>98</v>
      </c>
      <c r="E249" s="21" t="s">
        <v>78</v>
      </c>
      <c r="F249" s="21" t="s">
        <v>91</v>
      </c>
      <c r="G249" s="21" t="s">
        <v>297</v>
      </c>
      <c r="H249" s="21"/>
      <c r="I249" s="21"/>
      <c r="J249" s="21"/>
    </row>
    <row r="250" spans="1:10" x14ac:dyDescent="0.3">
      <c r="A250" s="21" t="s">
        <v>298</v>
      </c>
      <c r="B250" s="21">
        <v>0.56999999999999995</v>
      </c>
      <c r="C250" s="21" t="s">
        <v>193</v>
      </c>
      <c r="D250" s="21" t="s">
        <v>98</v>
      </c>
      <c r="E250" s="21" t="s">
        <v>78</v>
      </c>
      <c r="F250" s="21" t="s">
        <v>91</v>
      </c>
      <c r="G250" s="21" t="s">
        <v>299</v>
      </c>
      <c r="H250" s="21"/>
      <c r="I250" s="21"/>
      <c r="J250" s="21"/>
    </row>
    <row r="251" spans="1:10" x14ac:dyDescent="0.3">
      <c r="A251" s="21" t="s">
        <v>300</v>
      </c>
      <c r="B251" s="21">
        <v>1.2999999999999999E-10</v>
      </c>
      <c r="C251" s="21" t="s">
        <v>193</v>
      </c>
      <c r="D251" s="21" t="s">
        <v>98</v>
      </c>
      <c r="E251" s="21" t="s">
        <v>77</v>
      </c>
      <c r="F251" s="21" t="s">
        <v>91</v>
      </c>
      <c r="G251" s="21" t="s">
        <v>301</v>
      </c>
      <c r="H251" s="21"/>
      <c r="I251" s="21"/>
      <c r="J251" s="21"/>
    </row>
    <row r="252" spans="1:10" x14ac:dyDescent="0.3">
      <c r="A252" s="21"/>
      <c r="B252" s="21"/>
      <c r="C252" s="21"/>
      <c r="D252" s="21"/>
      <c r="E252" s="21"/>
      <c r="F252" s="21"/>
      <c r="G252" s="21"/>
      <c r="H252" s="21"/>
      <c r="I252" s="21"/>
      <c r="J252" s="21"/>
    </row>
    <row r="253" spans="1:10" ht="15.6" x14ac:dyDescent="0.3">
      <c r="A253" s="11" t="s">
        <v>72</v>
      </c>
      <c r="B253" s="11" t="s">
        <v>249</v>
      </c>
      <c r="C253" s="21"/>
      <c r="D253" s="21"/>
      <c r="E253" s="21"/>
      <c r="F253" s="21"/>
      <c r="G253" s="21"/>
      <c r="H253" s="21"/>
      <c r="I253" s="21"/>
      <c r="J253" s="21"/>
    </row>
    <row r="254" spans="1:10" x14ac:dyDescent="0.3">
      <c r="A254" s="21" t="s">
        <v>202</v>
      </c>
      <c r="B254" s="21" t="s">
        <v>302</v>
      </c>
      <c r="C254" s="21"/>
      <c r="D254" s="21"/>
      <c r="E254" s="21"/>
      <c r="F254" s="21"/>
      <c r="G254" s="21"/>
      <c r="H254" s="21"/>
      <c r="I254" s="21"/>
      <c r="J254" s="21"/>
    </row>
    <row r="255" spans="1:10" x14ac:dyDescent="0.3">
      <c r="A255" s="21" t="s">
        <v>84</v>
      </c>
      <c r="B255" s="21" t="s">
        <v>86</v>
      </c>
      <c r="C255" s="21"/>
      <c r="D255" s="21"/>
      <c r="E255" s="21"/>
      <c r="F255" s="21"/>
      <c r="G255" s="21"/>
      <c r="H255" s="21"/>
      <c r="I255" s="21"/>
      <c r="J255" s="21"/>
    </row>
    <row r="256" spans="1:10" x14ac:dyDescent="0.3">
      <c r="A256" s="21" t="s">
        <v>73</v>
      </c>
      <c r="B256" s="21" t="s">
        <v>98</v>
      </c>
      <c r="C256" s="21"/>
      <c r="D256" s="21"/>
      <c r="E256" s="21"/>
      <c r="F256" s="21"/>
      <c r="G256" s="21"/>
      <c r="H256" s="21"/>
      <c r="I256" s="21"/>
      <c r="J256" s="21"/>
    </row>
    <row r="257" spans="1:10" x14ac:dyDescent="0.3">
      <c r="A257" s="21" t="s">
        <v>186</v>
      </c>
      <c r="B257" s="21">
        <v>1</v>
      </c>
      <c r="C257" s="21"/>
      <c r="D257" s="21"/>
      <c r="E257" s="21"/>
      <c r="F257" s="21"/>
      <c r="G257" s="21"/>
      <c r="H257" s="21"/>
      <c r="I257" s="21"/>
      <c r="J257" s="21"/>
    </row>
    <row r="258" spans="1:10" x14ac:dyDescent="0.3">
      <c r="A258" s="21" t="s">
        <v>74</v>
      </c>
      <c r="B258" s="21" t="s">
        <v>249</v>
      </c>
      <c r="C258" s="21"/>
      <c r="D258" s="21"/>
      <c r="E258" s="21"/>
      <c r="F258" s="21"/>
      <c r="G258" s="21"/>
      <c r="H258" s="21"/>
      <c r="I258" s="21"/>
      <c r="J258" s="21"/>
    </row>
    <row r="259" spans="1:10" x14ac:dyDescent="0.3">
      <c r="A259" s="21" t="s">
        <v>77</v>
      </c>
      <c r="B259" s="21" t="s">
        <v>78</v>
      </c>
      <c r="C259" s="21"/>
      <c r="D259" s="21"/>
      <c r="E259" s="21"/>
      <c r="F259" s="21"/>
      <c r="G259" s="21"/>
      <c r="H259" s="21"/>
      <c r="I259" s="21"/>
      <c r="J259" s="21"/>
    </row>
    <row r="260" spans="1:10" x14ac:dyDescent="0.3">
      <c r="A260" s="21" t="s">
        <v>204</v>
      </c>
      <c r="B260" s="21" t="s">
        <v>187</v>
      </c>
      <c r="C260" s="21"/>
      <c r="D260" s="21"/>
      <c r="E260" s="21"/>
      <c r="F260" s="21"/>
      <c r="G260" s="21"/>
      <c r="H260" s="21"/>
      <c r="I260" s="21"/>
      <c r="J260" s="21"/>
    </row>
    <row r="261" spans="1:10" ht="15.6" x14ac:dyDescent="0.3">
      <c r="A261" s="11" t="s">
        <v>80</v>
      </c>
      <c r="B261" s="21"/>
      <c r="C261" s="21"/>
      <c r="D261" s="21"/>
      <c r="E261" s="21"/>
      <c r="F261" s="21"/>
      <c r="G261" s="21"/>
      <c r="H261" s="21"/>
      <c r="I261" s="21"/>
      <c r="J261" s="21"/>
    </row>
    <row r="262" spans="1:10" x14ac:dyDescent="0.3">
      <c r="A262" s="21" t="s">
        <v>81</v>
      </c>
      <c r="B262" s="21" t="s">
        <v>82</v>
      </c>
      <c r="C262" s="21" t="s">
        <v>188</v>
      </c>
      <c r="D262" s="21" t="s">
        <v>73</v>
      </c>
      <c r="E262" s="21" t="s">
        <v>77</v>
      </c>
      <c r="F262" s="21" t="s">
        <v>75</v>
      </c>
      <c r="G262" s="21"/>
      <c r="H262" s="21"/>
      <c r="I262" s="21"/>
      <c r="J262" s="21"/>
    </row>
    <row r="263" spans="1:10" x14ac:dyDescent="0.3">
      <c r="A263" s="21" t="s">
        <v>249</v>
      </c>
      <c r="B263" s="21">
        <v>1</v>
      </c>
      <c r="C263" s="21" t="s">
        <v>187</v>
      </c>
      <c r="D263" s="21" t="s">
        <v>98</v>
      </c>
      <c r="E263" s="21" t="s">
        <v>78</v>
      </c>
      <c r="F263" s="21" t="s">
        <v>85</v>
      </c>
      <c r="G263" s="21"/>
      <c r="H263" s="21"/>
      <c r="I263" s="21"/>
      <c r="J263" s="21"/>
    </row>
    <row r="264" spans="1:10" x14ac:dyDescent="0.3">
      <c r="A264" s="21" t="s">
        <v>214</v>
      </c>
      <c r="B264" s="21">
        <v>0.11</v>
      </c>
      <c r="C264" s="21" t="s">
        <v>187</v>
      </c>
      <c r="D264" s="21" t="s">
        <v>98</v>
      </c>
      <c r="E264" s="21" t="s">
        <v>78</v>
      </c>
      <c r="F264" s="21" t="s">
        <v>91</v>
      </c>
      <c r="G264" s="21"/>
      <c r="H264" s="21"/>
      <c r="I264" s="21"/>
      <c r="J264" s="21"/>
    </row>
    <row r="265" spans="1:10" x14ac:dyDescent="0.3">
      <c r="A265" s="21" t="s">
        <v>222</v>
      </c>
      <c r="B265" s="21">
        <v>0.89</v>
      </c>
      <c r="C265" s="21" t="s">
        <v>187</v>
      </c>
      <c r="D265" s="21" t="s">
        <v>98</v>
      </c>
      <c r="E265" s="21" t="s">
        <v>78</v>
      </c>
      <c r="F265" s="21" t="s">
        <v>91</v>
      </c>
      <c r="G265" s="21"/>
      <c r="H265" s="21"/>
      <c r="I265" s="21"/>
      <c r="J265" s="21"/>
    </row>
    <row r="266" spans="1:10" x14ac:dyDescent="0.3">
      <c r="A266" s="21"/>
      <c r="B266" s="21"/>
      <c r="C266" s="21"/>
      <c r="D266" s="21"/>
      <c r="E266" s="21"/>
      <c r="F266" s="21"/>
      <c r="G266" s="21"/>
      <c r="H266" s="21"/>
      <c r="I266" s="21"/>
      <c r="J266" s="21"/>
    </row>
    <row r="267" spans="1:10" ht="15.6" x14ac:dyDescent="0.3">
      <c r="A267" s="11" t="s">
        <v>72</v>
      </c>
      <c r="B267" s="11" t="s">
        <v>303</v>
      </c>
      <c r="C267" s="21"/>
      <c r="D267" s="21"/>
      <c r="E267" s="21"/>
      <c r="F267" s="21"/>
      <c r="G267" s="21"/>
      <c r="H267" s="21"/>
      <c r="I267" s="21"/>
      <c r="J267" s="21"/>
    </row>
    <row r="268" spans="1:10" x14ac:dyDescent="0.3">
      <c r="A268" s="21" t="s">
        <v>202</v>
      </c>
      <c r="B268" s="21" t="s">
        <v>304</v>
      </c>
      <c r="C268" s="21"/>
      <c r="D268" s="21"/>
      <c r="E268" s="21"/>
      <c r="F268" s="21"/>
      <c r="G268" s="21"/>
      <c r="H268" s="21"/>
      <c r="I268" s="21"/>
      <c r="J268" s="21"/>
    </row>
    <row r="269" spans="1:10" x14ac:dyDescent="0.3">
      <c r="A269" s="21" t="s">
        <v>84</v>
      </c>
      <c r="B269" s="21" t="s">
        <v>305</v>
      </c>
      <c r="C269" s="21"/>
      <c r="D269" s="21"/>
      <c r="E269" s="21"/>
      <c r="F269" s="21"/>
      <c r="G269" s="21"/>
      <c r="H269" s="21"/>
      <c r="I269" s="21"/>
      <c r="J269" s="21"/>
    </row>
    <row r="270" spans="1:10" x14ac:dyDescent="0.3">
      <c r="A270" s="21" t="s">
        <v>73</v>
      </c>
      <c r="B270" s="21" t="s">
        <v>98</v>
      </c>
      <c r="C270" s="21"/>
      <c r="D270" s="21"/>
      <c r="E270" s="21"/>
      <c r="F270" s="21"/>
      <c r="G270" s="21"/>
      <c r="H270" s="21"/>
      <c r="I270" s="21"/>
      <c r="J270" s="21"/>
    </row>
    <row r="271" spans="1:10" x14ac:dyDescent="0.3">
      <c r="A271" s="21" t="s">
        <v>186</v>
      </c>
      <c r="B271" s="21">
        <v>1</v>
      </c>
      <c r="C271" s="21"/>
      <c r="D271" s="21"/>
      <c r="E271" s="21"/>
      <c r="F271" s="21"/>
      <c r="G271" s="21"/>
      <c r="H271" s="21"/>
      <c r="I271" s="21"/>
      <c r="J271" s="21"/>
    </row>
    <row r="272" spans="1:10" x14ac:dyDescent="0.3">
      <c r="A272" s="21" t="s">
        <v>74</v>
      </c>
      <c r="B272" s="21" t="s">
        <v>303</v>
      </c>
      <c r="C272" s="21"/>
      <c r="D272" s="21"/>
      <c r="E272" s="21"/>
      <c r="F272" s="21"/>
      <c r="G272" s="21"/>
      <c r="H272" s="21"/>
      <c r="I272" s="21"/>
      <c r="J272" s="21"/>
    </row>
    <row r="273" spans="1:10" x14ac:dyDescent="0.3">
      <c r="A273" s="21" t="s">
        <v>77</v>
      </c>
      <c r="B273" s="21" t="s">
        <v>78</v>
      </c>
      <c r="C273" s="21"/>
      <c r="D273" s="21"/>
      <c r="E273" s="21"/>
      <c r="F273" s="21"/>
      <c r="G273" s="21"/>
      <c r="H273" s="21"/>
      <c r="I273" s="21"/>
      <c r="J273" s="21"/>
    </row>
    <row r="274" spans="1:10" x14ac:dyDescent="0.3">
      <c r="A274" s="21" t="s">
        <v>204</v>
      </c>
      <c r="B274" s="21" t="s">
        <v>187</v>
      </c>
      <c r="C274" s="21"/>
      <c r="D274" s="21"/>
      <c r="E274" s="21"/>
      <c r="F274" s="21"/>
      <c r="G274" s="21"/>
      <c r="H274" s="21"/>
      <c r="I274" s="21"/>
      <c r="J274" s="21"/>
    </row>
    <row r="275" spans="1:10" ht="15.6" x14ac:dyDescent="0.3">
      <c r="A275" s="11" t="s">
        <v>80</v>
      </c>
      <c r="B275" s="21"/>
      <c r="C275" s="21"/>
      <c r="D275" s="21"/>
      <c r="E275" s="21"/>
      <c r="F275" s="21"/>
      <c r="G275" s="21"/>
      <c r="H275" s="21"/>
      <c r="I275" s="21"/>
      <c r="J275" s="21"/>
    </row>
    <row r="276" spans="1:10" x14ac:dyDescent="0.3">
      <c r="A276" s="21" t="s">
        <v>81</v>
      </c>
      <c r="B276" s="21" t="s">
        <v>82</v>
      </c>
      <c r="C276" s="21" t="s">
        <v>188</v>
      </c>
      <c r="D276" s="21" t="s">
        <v>73</v>
      </c>
      <c r="E276" s="21" t="s">
        <v>77</v>
      </c>
      <c r="F276" s="21" t="s">
        <v>75</v>
      </c>
      <c r="G276" s="21" t="s">
        <v>74</v>
      </c>
      <c r="H276" s="21"/>
      <c r="I276" s="21"/>
      <c r="J276" s="21"/>
    </row>
    <row r="277" spans="1:10" x14ac:dyDescent="0.3">
      <c r="A277" s="21" t="s">
        <v>303</v>
      </c>
      <c r="B277" s="21">
        <v>1</v>
      </c>
      <c r="C277" s="21" t="s">
        <v>187</v>
      </c>
      <c r="D277" s="21" t="s">
        <v>98</v>
      </c>
      <c r="E277" s="21" t="s">
        <v>78</v>
      </c>
      <c r="F277" s="21" t="s">
        <v>85</v>
      </c>
      <c r="G277" s="21"/>
      <c r="H277" s="21"/>
      <c r="I277" s="21"/>
      <c r="J277" s="21"/>
    </row>
    <row r="278" spans="1:10" x14ac:dyDescent="0.3">
      <c r="A278" s="21" t="s">
        <v>306</v>
      </c>
      <c r="B278" s="21">
        <v>-0.11</v>
      </c>
      <c r="C278" s="21" t="s">
        <v>193</v>
      </c>
      <c r="D278" s="21" t="s">
        <v>98</v>
      </c>
      <c r="E278" s="21" t="s">
        <v>78</v>
      </c>
      <c r="F278" s="21" t="s">
        <v>91</v>
      </c>
      <c r="G278" s="21" t="s">
        <v>307</v>
      </c>
      <c r="H278" s="21"/>
      <c r="I278" s="21"/>
      <c r="J278" s="21"/>
    </row>
    <row r="279" spans="1:10" x14ac:dyDescent="0.3">
      <c r="A279" s="21" t="s">
        <v>308</v>
      </c>
      <c r="B279" s="21">
        <v>-0.11</v>
      </c>
      <c r="C279" s="21" t="s">
        <v>193</v>
      </c>
      <c r="D279" s="21" t="s">
        <v>94</v>
      </c>
      <c r="E279" s="21" t="s">
        <v>78</v>
      </c>
      <c r="F279" s="21" t="s">
        <v>91</v>
      </c>
      <c r="G279" s="21" t="s">
        <v>309</v>
      </c>
      <c r="H279" s="21"/>
      <c r="I279" s="21"/>
      <c r="J279" s="21"/>
    </row>
    <row r="280" spans="1:10" x14ac:dyDescent="0.3">
      <c r="A280" s="21" t="s">
        <v>310</v>
      </c>
      <c r="B280" s="21">
        <v>0.38019999999999998</v>
      </c>
      <c r="C280" s="21" t="s">
        <v>193</v>
      </c>
      <c r="D280" s="21" t="s">
        <v>98</v>
      </c>
      <c r="E280" s="21" t="s">
        <v>78</v>
      </c>
      <c r="F280" s="21" t="s">
        <v>91</v>
      </c>
      <c r="G280" s="21" t="s">
        <v>311</v>
      </c>
      <c r="H280" s="21"/>
      <c r="I280" s="21"/>
      <c r="J280" s="21"/>
    </row>
    <row r="281" spans="1:10" x14ac:dyDescent="0.3">
      <c r="A281" s="21" t="s">
        <v>253</v>
      </c>
      <c r="B281" s="21">
        <v>-0.76</v>
      </c>
      <c r="C281" s="21" t="s">
        <v>193</v>
      </c>
      <c r="D281" s="21" t="s">
        <v>268</v>
      </c>
      <c r="E281" s="21" t="s">
        <v>206</v>
      </c>
      <c r="F281" s="21" t="s">
        <v>91</v>
      </c>
      <c r="G281" s="21" t="s">
        <v>254</v>
      </c>
      <c r="H281" s="21"/>
      <c r="I281" s="21"/>
      <c r="J281" s="21"/>
    </row>
    <row r="282" spans="1:10" x14ac:dyDescent="0.3">
      <c r="A282" s="21" t="s">
        <v>312</v>
      </c>
      <c r="B282" s="21">
        <v>-7.9000000000000008E-3</v>
      </c>
      <c r="C282" s="21" t="s">
        <v>193</v>
      </c>
      <c r="D282" s="21" t="s">
        <v>94</v>
      </c>
      <c r="E282" s="21" t="s">
        <v>78</v>
      </c>
      <c r="F282" s="21" t="s">
        <v>91</v>
      </c>
      <c r="G282" s="21" t="s">
        <v>313</v>
      </c>
      <c r="H282" s="21"/>
      <c r="I282" s="21"/>
      <c r="J282" s="21"/>
    </row>
    <row r="283" spans="1:10" x14ac:dyDescent="0.3">
      <c r="A283" s="21"/>
      <c r="B283" s="21"/>
      <c r="C283" s="21"/>
      <c r="D283" s="21"/>
      <c r="E283" s="21"/>
      <c r="F283" s="21"/>
      <c r="G283" s="21"/>
      <c r="H283" s="21"/>
      <c r="I283" s="21"/>
      <c r="J283" s="21"/>
    </row>
    <row r="284" spans="1:10" x14ac:dyDescent="0.3">
      <c r="A284" s="21"/>
      <c r="B284" s="21"/>
      <c r="C284" s="21"/>
      <c r="D284" s="21"/>
      <c r="E284" s="21"/>
      <c r="F284" s="21"/>
      <c r="G284" s="21"/>
      <c r="H284" s="21"/>
      <c r="I284" s="21"/>
      <c r="J284" s="21"/>
    </row>
    <row r="285" spans="1:10" x14ac:dyDescent="0.3">
      <c r="A285" s="21"/>
      <c r="B285" s="21"/>
      <c r="C285" s="21"/>
      <c r="D285" s="21"/>
      <c r="E285" s="21"/>
      <c r="F285" s="21"/>
      <c r="G285" s="21"/>
      <c r="H285" s="21"/>
      <c r="I285" s="21"/>
      <c r="J285" s="21"/>
    </row>
    <row r="286" spans="1:10" ht="15.6" x14ac:dyDescent="0.3">
      <c r="A286" s="11" t="s">
        <v>72</v>
      </c>
      <c r="B286" s="11" t="s">
        <v>261</v>
      </c>
      <c r="C286" s="21"/>
      <c r="D286" s="21"/>
      <c r="E286" s="21"/>
      <c r="F286" s="21"/>
      <c r="G286" s="21"/>
      <c r="H286" s="21"/>
      <c r="I286" s="21"/>
      <c r="J286" s="21"/>
    </row>
    <row r="287" spans="1:10" x14ac:dyDescent="0.3">
      <c r="A287" s="21" t="s">
        <v>202</v>
      </c>
      <c r="B287" s="21" t="s">
        <v>314</v>
      </c>
      <c r="C287" s="21"/>
      <c r="D287" s="21"/>
      <c r="E287" s="21"/>
      <c r="F287" s="21"/>
      <c r="G287" s="21"/>
      <c r="H287" s="21"/>
      <c r="I287" s="21"/>
      <c r="J287" s="21"/>
    </row>
    <row r="288" spans="1:10" x14ac:dyDescent="0.3">
      <c r="A288" s="21" t="s">
        <v>84</v>
      </c>
      <c r="B288" s="21" t="s">
        <v>315</v>
      </c>
      <c r="C288" s="21"/>
      <c r="D288" s="21"/>
      <c r="E288" s="21"/>
      <c r="F288" s="21"/>
      <c r="G288" s="21"/>
      <c r="H288" s="21"/>
      <c r="I288" s="21"/>
      <c r="J288" s="21"/>
    </row>
    <row r="289" spans="1:10" x14ac:dyDescent="0.3">
      <c r="A289" s="21" t="s">
        <v>73</v>
      </c>
      <c r="B289" s="21" t="s">
        <v>98</v>
      </c>
      <c r="C289" s="21"/>
      <c r="D289" s="21"/>
      <c r="E289" s="21"/>
      <c r="F289" s="21"/>
      <c r="G289" s="21"/>
      <c r="H289" s="21"/>
      <c r="I289" s="21"/>
      <c r="J289" s="21"/>
    </row>
    <row r="290" spans="1:10" x14ac:dyDescent="0.3">
      <c r="A290" s="21" t="s">
        <v>186</v>
      </c>
      <c r="B290" s="21">
        <v>1</v>
      </c>
      <c r="C290" s="21"/>
      <c r="D290" s="21"/>
      <c r="E290" s="21"/>
      <c r="F290" s="21"/>
      <c r="G290" s="21"/>
      <c r="H290" s="21"/>
      <c r="I290" s="21"/>
      <c r="J290" s="21"/>
    </row>
    <row r="291" spans="1:10" x14ac:dyDescent="0.3">
      <c r="A291" s="21" t="s">
        <v>74</v>
      </c>
      <c r="B291" s="21" t="s">
        <v>261</v>
      </c>
      <c r="C291" s="21"/>
      <c r="D291" s="21"/>
      <c r="E291" s="21"/>
      <c r="F291" s="21"/>
      <c r="G291" s="21"/>
      <c r="H291" s="21"/>
      <c r="I291" s="21"/>
      <c r="J291" s="21"/>
    </row>
    <row r="292" spans="1:10" x14ac:dyDescent="0.3">
      <c r="A292" s="21" t="s">
        <v>77</v>
      </c>
      <c r="B292" s="21" t="s">
        <v>78</v>
      </c>
      <c r="C292" s="21"/>
      <c r="D292" s="21"/>
      <c r="E292" s="21"/>
      <c r="F292" s="21"/>
      <c r="G292" s="21"/>
      <c r="H292" s="21"/>
      <c r="I292" s="21"/>
      <c r="J292" s="21"/>
    </row>
    <row r="293" spans="1:10" x14ac:dyDescent="0.3">
      <c r="A293" s="21" t="s">
        <v>204</v>
      </c>
      <c r="B293" s="21" t="s">
        <v>187</v>
      </c>
      <c r="C293" s="21"/>
      <c r="D293" s="21"/>
      <c r="E293" s="21"/>
      <c r="F293" s="21"/>
      <c r="G293" s="21"/>
      <c r="H293" s="21"/>
      <c r="I293" s="21"/>
      <c r="J293" s="21"/>
    </row>
    <row r="294" spans="1:10" ht="15.6" x14ac:dyDescent="0.3">
      <c r="A294" s="11" t="s">
        <v>80</v>
      </c>
      <c r="B294" s="21"/>
      <c r="C294" s="21"/>
      <c r="D294" s="21"/>
      <c r="E294" s="21"/>
      <c r="F294" s="21"/>
      <c r="G294" s="21"/>
      <c r="H294" s="21"/>
      <c r="I294" s="21"/>
      <c r="J294" s="21"/>
    </row>
    <row r="295" spans="1:10" x14ac:dyDescent="0.3">
      <c r="A295" s="21" t="s">
        <v>81</v>
      </c>
      <c r="B295" s="21" t="s">
        <v>82</v>
      </c>
      <c r="C295" s="21" t="s">
        <v>188</v>
      </c>
      <c r="D295" s="21" t="s">
        <v>73</v>
      </c>
      <c r="E295" s="21" t="s">
        <v>77</v>
      </c>
      <c r="F295" s="21" t="s">
        <v>75</v>
      </c>
      <c r="G295" s="21" t="s">
        <v>248</v>
      </c>
      <c r="H295" s="21" t="s">
        <v>74</v>
      </c>
      <c r="I295" s="21"/>
      <c r="J295" s="21"/>
    </row>
    <row r="296" spans="1:10" x14ac:dyDescent="0.3">
      <c r="A296" s="21" t="s">
        <v>261</v>
      </c>
      <c r="B296" s="21">
        <v>1</v>
      </c>
      <c r="C296" s="21" t="s">
        <v>187</v>
      </c>
      <c r="D296" s="21" t="s">
        <v>98</v>
      </c>
      <c r="E296" s="21" t="s">
        <v>78</v>
      </c>
      <c r="F296" s="21" t="s">
        <v>85</v>
      </c>
      <c r="G296" s="21"/>
      <c r="H296" s="21"/>
      <c r="I296" s="21"/>
      <c r="J296" s="21"/>
    </row>
    <row r="297" spans="1:10" x14ac:dyDescent="0.3">
      <c r="A297" s="21" t="s">
        <v>288</v>
      </c>
      <c r="B297" s="21">
        <v>2.0000000000000001E-4</v>
      </c>
      <c r="C297" s="21" t="s">
        <v>193</v>
      </c>
      <c r="D297" s="21" t="s">
        <v>98</v>
      </c>
      <c r="E297" s="21" t="s">
        <v>78</v>
      </c>
      <c r="F297" s="21" t="s">
        <v>91</v>
      </c>
      <c r="G297" s="21"/>
      <c r="H297" s="21" t="s">
        <v>289</v>
      </c>
      <c r="I297" s="21"/>
      <c r="J297" s="21"/>
    </row>
    <row r="298" spans="1:10" x14ac:dyDescent="0.3">
      <c r="A298" s="21" t="s">
        <v>316</v>
      </c>
      <c r="B298" s="21">
        <v>5.7000000000000002E-3</v>
      </c>
      <c r="C298" s="21" t="s">
        <v>193</v>
      </c>
      <c r="D298" s="21" t="s">
        <v>37</v>
      </c>
      <c r="E298" s="21" t="s">
        <v>78</v>
      </c>
      <c r="F298" s="21" t="s">
        <v>91</v>
      </c>
      <c r="G298" s="21"/>
      <c r="H298" s="21" t="s">
        <v>317</v>
      </c>
      <c r="I298" s="21"/>
      <c r="J298" s="21"/>
    </row>
    <row r="299" spans="1:10" x14ac:dyDescent="0.3">
      <c r="A299" s="21" t="s">
        <v>318</v>
      </c>
      <c r="B299" s="21">
        <v>5.7000000000000002E-3</v>
      </c>
      <c r="C299" s="21" t="s">
        <v>193</v>
      </c>
      <c r="D299" s="21" t="s">
        <v>98</v>
      </c>
      <c r="E299" s="21" t="s">
        <v>78</v>
      </c>
      <c r="F299" s="21" t="s">
        <v>91</v>
      </c>
      <c r="G299" s="21"/>
      <c r="H299" s="21" t="s">
        <v>319</v>
      </c>
      <c r="I299" s="21"/>
      <c r="J299" s="21"/>
    </row>
    <row r="300" spans="1:10" x14ac:dyDescent="0.3">
      <c r="A300" s="21" t="s">
        <v>320</v>
      </c>
      <c r="B300" s="21">
        <v>2.1000000000000001E-2</v>
      </c>
      <c r="C300" s="21" t="s">
        <v>193</v>
      </c>
      <c r="D300" s="21" t="s">
        <v>98</v>
      </c>
      <c r="E300" s="21" t="s">
        <v>78</v>
      </c>
      <c r="F300" s="21" t="s">
        <v>91</v>
      </c>
      <c r="G300" s="21"/>
      <c r="H300" s="21" t="s">
        <v>321</v>
      </c>
      <c r="I300" s="21"/>
      <c r="J300" s="21"/>
    </row>
    <row r="301" spans="1:10" x14ac:dyDescent="0.3">
      <c r="A301" s="21" t="s">
        <v>322</v>
      </c>
      <c r="B301" s="21">
        <v>2E-8</v>
      </c>
      <c r="C301" s="21" t="s">
        <v>193</v>
      </c>
      <c r="D301" s="21" t="s">
        <v>98</v>
      </c>
      <c r="E301" s="21" t="s">
        <v>77</v>
      </c>
      <c r="F301" s="21" t="s">
        <v>91</v>
      </c>
      <c r="G301" s="21"/>
      <c r="H301" s="21" t="s">
        <v>323</v>
      </c>
      <c r="I301" s="21"/>
      <c r="J301" s="21"/>
    </row>
    <row r="302" spans="1:10" x14ac:dyDescent="0.3">
      <c r="A302" s="21" t="s">
        <v>292</v>
      </c>
      <c r="B302" s="21">
        <v>8.8000000000000005E-3</v>
      </c>
      <c r="C302" s="21" t="s">
        <v>193</v>
      </c>
      <c r="D302" s="21" t="s">
        <v>98</v>
      </c>
      <c r="E302" s="21" t="s">
        <v>78</v>
      </c>
      <c r="F302" s="21" t="s">
        <v>91</v>
      </c>
      <c r="G302" s="21"/>
      <c r="H302" s="21" t="s">
        <v>293</v>
      </c>
      <c r="I302" s="21"/>
      <c r="J302" s="21"/>
    </row>
    <row r="303" spans="1:10" x14ac:dyDescent="0.3">
      <c r="A303" s="21" t="s">
        <v>324</v>
      </c>
      <c r="B303" s="21">
        <v>1.7E-5</v>
      </c>
      <c r="C303" s="21" t="s">
        <v>193</v>
      </c>
      <c r="D303" s="21" t="s">
        <v>98</v>
      </c>
      <c r="E303" s="21" t="s">
        <v>78</v>
      </c>
      <c r="F303" s="21" t="s">
        <v>91</v>
      </c>
      <c r="G303" s="21"/>
      <c r="H303" s="21" t="s">
        <v>325</v>
      </c>
      <c r="I303" s="21"/>
      <c r="J303" s="21"/>
    </row>
    <row r="304" spans="1:10" x14ac:dyDescent="0.3">
      <c r="A304" s="21" t="s">
        <v>326</v>
      </c>
      <c r="B304" s="21">
        <v>0.85</v>
      </c>
      <c r="C304" s="21" t="s">
        <v>193</v>
      </c>
      <c r="D304" s="21" t="s">
        <v>98</v>
      </c>
      <c r="E304" s="21" t="s">
        <v>78</v>
      </c>
      <c r="F304" s="21" t="s">
        <v>91</v>
      </c>
      <c r="G304" s="21"/>
      <c r="H304" s="21" t="s">
        <v>327</v>
      </c>
      <c r="I304" s="21"/>
      <c r="J304" s="21"/>
    </row>
    <row r="305" spans="1:10" x14ac:dyDescent="0.3">
      <c r="A305" s="21" t="s">
        <v>328</v>
      </c>
      <c r="B305" s="21">
        <v>1.9E-3</v>
      </c>
      <c r="C305" s="21" t="s">
        <v>193</v>
      </c>
      <c r="D305" s="21" t="s">
        <v>242</v>
      </c>
      <c r="E305" s="21" t="s">
        <v>78</v>
      </c>
      <c r="F305" s="21" t="s">
        <v>91</v>
      </c>
      <c r="G305" s="21"/>
      <c r="H305" s="21" t="s">
        <v>329</v>
      </c>
      <c r="I305" s="21"/>
      <c r="J305" s="21"/>
    </row>
    <row r="306" spans="1:10" x14ac:dyDescent="0.3">
      <c r="A306" s="21" t="s">
        <v>330</v>
      </c>
      <c r="B306" s="21">
        <v>6.7999999999999996E-3</v>
      </c>
      <c r="C306" s="21" t="s">
        <v>193</v>
      </c>
      <c r="D306" s="21" t="s">
        <v>98</v>
      </c>
      <c r="E306" s="21" t="s">
        <v>78</v>
      </c>
      <c r="F306" s="21" t="s">
        <v>91</v>
      </c>
      <c r="G306" s="21"/>
      <c r="H306" s="21" t="s">
        <v>331</v>
      </c>
      <c r="I306" s="21"/>
      <c r="J306" s="21"/>
    </row>
    <row r="307" spans="1:10" x14ac:dyDescent="0.3">
      <c r="A307" s="21" t="s">
        <v>264</v>
      </c>
      <c r="B307" s="21">
        <v>0.11</v>
      </c>
      <c r="C307" s="21" t="s">
        <v>193</v>
      </c>
      <c r="D307" s="21" t="s">
        <v>98</v>
      </c>
      <c r="E307" s="21" t="s">
        <v>78</v>
      </c>
      <c r="F307" s="21" t="s">
        <v>91</v>
      </c>
      <c r="G307" s="21" t="s">
        <v>265</v>
      </c>
      <c r="H307" s="21" t="s">
        <v>266</v>
      </c>
      <c r="I307" s="21"/>
      <c r="J307" s="21"/>
    </row>
    <row r="308" spans="1:10" x14ac:dyDescent="0.3">
      <c r="A308" s="21" t="s">
        <v>332</v>
      </c>
      <c r="B308" s="21">
        <v>0.85</v>
      </c>
      <c r="C308" s="21" t="s">
        <v>193</v>
      </c>
      <c r="D308" s="21" t="s">
        <v>98</v>
      </c>
      <c r="E308" s="21" t="s">
        <v>78</v>
      </c>
      <c r="F308" s="21" t="s">
        <v>91</v>
      </c>
      <c r="G308" s="21"/>
      <c r="H308" s="21" t="s">
        <v>333</v>
      </c>
      <c r="I308" s="21"/>
      <c r="J308" s="21"/>
    </row>
    <row r="309" spans="1:10" x14ac:dyDescent="0.3">
      <c r="A309" s="21"/>
      <c r="B309" s="21"/>
      <c r="C309" s="21"/>
      <c r="D309" s="21"/>
      <c r="E309" s="21"/>
      <c r="F309" s="21"/>
      <c r="G309" s="21"/>
      <c r="H309" s="21"/>
      <c r="I309" s="21"/>
      <c r="J309" s="21"/>
    </row>
    <row r="310" spans="1:10" ht="15.6" x14ac:dyDescent="0.3">
      <c r="A310" s="11" t="s">
        <v>72</v>
      </c>
      <c r="B310" s="11" t="s">
        <v>262</v>
      </c>
      <c r="C310" s="21"/>
      <c r="D310" s="21"/>
      <c r="E310" s="21"/>
      <c r="F310" s="21"/>
      <c r="G310" s="21"/>
      <c r="H310" s="21"/>
      <c r="I310" s="21"/>
      <c r="J310" s="21"/>
    </row>
    <row r="311" spans="1:10" x14ac:dyDescent="0.3">
      <c r="A311" s="21" t="s">
        <v>202</v>
      </c>
      <c r="B311" s="21" t="s">
        <v>334</v>
      </c>
      <c r="C311" s="21"/>
      <c r="D311" s="21"/>
      <c r="E311" s="21"/>
      <c r="F311" s="21"/>
      <c r="G311" s="21"/>
      <c r="H311" s="21"/>
      <c r="I311" s="21"/>
      <c r="J311" s="21"/>
    </row>
    <row r="312" spans="1:10" x14ac:dyDescent="0.3">
      <c r="A312" s="21" t="s">
        <v>84</v>
      </c>
      <c r="B312" s="21" t="s">
        <v>315</v>
      </c>
      <c r="C312" s="21"/>
      <c r="D312" s="21"/>
      <c r="E312" s="21"/>
      <c r="F312" s="21"/>
      <c r="G312" s="21"/>
      <c r="H312" s="21"/>
      <c r="I312" s="21"/>
      <c r="J312" s="21"/>
    </row>
    <row r="313" spans="1:10" x14ac:dyDescent="0.3">
      <c r="A313" s="21" t="s">
        <v>73</v>
      </c>
      <c r="B313" s="21" t="s">
        <v>98</v>
      </c>
      <c r="C313" s="21"/>
      <c r="D313" s="21"/>
      <c r="E313" s="21"/>
      <c r="F313" s="21"/>
      <c r="G313" s="21"/>
      <c r="H313" s="21"/>
      <c r="I313" s="21"/>
      <c r="J313" s="21"/>
    </row>
    <row r="314" spans="1:10" x14ac:dyDescent="0.3">
      <c r="A314" s="21" t="s">
        <v>186</v>
      </c>
      <c r="B314" s="21">
        <v>1</v>
      </c>
      <c r="C314" s="21"/>
      <c r="D314" s="21"/>
      <c r="E314" s="21"/>
      <c r="F314" s="21"/>
      <c r="G314" s="21"/>
      <c r="H314" s="21"/>
      <c r="I314" s="21"/>
      <c r="J314" s="21"/>
    </row>
    <row r="315" spans="1:10" x14ac:dyDescent="0.3">
      <c r="A315" s="21" t="s">
        <v>74</v>
      </c>
      <c r="B315" s="21" t="s">
        <v>262</v>
      </c>
      <c r="C315" s="21"/>
      <c r="D315" s="21"/>
      <c r="E315" s="21"/>
      <c r="F315" s="21"/>
      <c r="G315" s="21"/>
      <c r="H315" s="21"/>
      <c r="I315" s="21"/>
      <c r="J315" s="21"/>
    </row>
    <row r="316" spans="1:10" x14ac:dyDescent="0.3">
      <c r="A316" s="21" t="s">
        <v>77</v>
      </c>
      <c r="B316" s="21" t="s">
        <v>78</v>
      </c>
      <c r="C316" s="21"/>
      <c r="D316" s="21"/>
      <c r="E316" s="21"/>
      <c r="F316" s="21"/>
      <c r="G316" s="21"/>
      <c r="H316" s="21"/>
      <c r="I316" s="21"/>
      <c r="J316" s="21"/>
    </row>
    <row r="317" spans="1:10" x14ac:dyDescent="0.3">
      <c r="A317" s="21" t="s">
        <v>204</v>
      </c>
      <c r="B317" s="21" t="s">
        <v>187</v>
      </c>
      <c r="C317" s="21"/>
      <c r="D317" s="21"/>
      <c r="E317" s="21"/>
      <c r="F317" s="21"/>
      <c r="G317" s="21"/>
      <c r="H317" s="21"/>
      <c r="I317" s="21"/>
      <c r="J317" s="21"/>
    </row>
    <row r="318" spans="1:10" ht="15.6" x14ac:dyDescent="0.3">
      <c r="A318" s="11" t="s">
        <v>80</v>
      </c>
      <c r="B318" s="21"/>
      <c r="C318" s="21"/>
      <c r="D318" s="21"/>
      <c r="E318" s="21"/>
      <c r="F318" s="21"/>
      <c r="G318" s="21"/>
      <c r="H318" s="21"/>
      <c r="I318" s="21"/>
      <c r="J318" s="21"/>
    </row>
    <row r="319" spans="1:10" x14ac:dyDescent="0.3">
      <c r="A319" s="21" t="s">
        <v>81</v>
      </c>
      <c r="B319" s="21" t="s">
        <v>82</v>
      </c>
      <c r="C319" s="21" t="s">
        <v>188</v>
      </c>
      <c r="D319" s="21" t="s">
        <v>73</v>
      </c>
      <c r="E319" s="21" t="s">
        <v>77</v>
      </c>
      <c r="F319" s="21" t="s">
        <v>75</v>
      </c>
      <c r="G319" s="21" t="s">
        <v>74</v>
      </c>
      <c r="H319" s="21"/>
      <c r="I319" s="21"/>
      <c r="J319" s="21"/>
    </row>
    <row r="320" spans="1:10" x14ac:dyDescent="0.3">
      <c r="A320" s="21" t="s">
        <v>262</v>
      </c>
      <c r="B320" s="21">
        <v>1</v>
      </c>
      <c r="C320" s="21" t="s">
        <v>187</v>
      </c>
      <c r="D320" s="21" t="s">
        <v>98</v>
      </c>
      <c r="E320" s="21" t="s">
        <v>78</v>
      </c>
      <c r="F320" s="21" t="s">
        <v>85</v>
      </c>
      <c r="G320" s="21"/>
      <c r="H320" s="21"/>
      <c r="I320" s="21"/>
      <c r="J320" s="21"/>
    </row>
    <row r="321" spans="1:10" x14ac:dyDescent="0.3">
      <c r="A321" s="21" t="s">
        <v>294</v>
      </c>
      <c r="B321" s="21">
        <v>4.6000000000000001E-10</v>
      </c>
      <c r="C321" s="21" t="s">
        <v>193</v>
      </c>
      <c r="D321" s="21" t="s">
        <v>98</v>
      </c>
      <c r="E321" s="21" t="s">
        <v>77</v>
      </c>
      <c r="F321" s="21" t="s">
        <v>91</v>
      </c>
      <c r="G321" s="21" t="s">
        <v>295</v>
      </c>
      <c r="H321" s="21"/>
      <c r="I321" s="21"/>
      <c r="J321" s="21"/>
    </row>
    <row r="322" spans="1:10" x14ac:dyDescent="0.3">
      <c r="A322" s="21" t="s">
        <v>326</v>
      </c>
      <c r="B322" s="21">
        <v>1</v>
      </c>
      <c r="C322" s="21" t="s">
        <v>193</v>
      </c>
      <c r="D322" s="21" t="s">
        <v>98</v>
      </c>
      <c r="E322" s="21" t="s">
        <v>78</v>
      </c>
      <c r="F322" s="21" t="s">
        <v>91</v>
      </c>
      <c r="G322" s="21" t="s">
        <v>327</v>
      </c>
      <c r="H322" s="21"/>
      <c r="I322" s="21"/>
      <c r="J322" s="21"/>
    </row>
    <row r="323" spans="1:10" x14ac:dyDescent="0.3">
      <c r="A323" s="21" t="s">
        <v>332</v>
      </c>
      <c r="B323" s="21">
        <v>1</v>
      </c>
      <c r="C323" s="21" t="s">
        <v>193</v>
      </c>
      <c r="D323" s="21" t="s">
        <v>98</v>
      </c>
      <c r="E323" s="21" t="s">
        <v>78</v>
      </c>
      <c r="F323" s="21" t="s">
        <v>91</v>
      </c>
      <c r="G323" s="21" t="s">
        <v>333</v>
      </c>
      <c r="H323" s="21"/>
      <c r="I323" s="21"/>
      <c r="J323" s="21"/>
    </row>
    <row r="324" spans="1:10" x14ac:dyDescent="0.3">
      <c r="A324" s="21"/>
      <c r="B324" s="21"/>
      <c r="C324" s="21"/>
      <c r="D324" s="21"/>
      <c r="E324" s="21"/>
      <c r="F324" s="21"/>
      <c r="G324" s="21"/>
      <c r="H324" s="21"/>
      <c r="I324" s="21"/>
      <c r="J324" s="21"/>
    </row>
    <row r="325" spans="1:10" ht="15.6" x14ac:dyDescent="0.3">
      <c r="A325" s="11" t="s">
        <v>72</v>
      </c>
      <c r="B325" s="11" t="s">
        <v>232</v>
      </c>
      <c r="C325" s="21"/>
      <c r="D325" s="21"/>
      <c r="E325" s="21"/>
      <c r="F325" s="21"/>
      <c r="G325" s="21"/>
      <c r="H325" s="21"/>
      <c r="I325" s="21"/>
      <c r="J325" s="21"/>
    </row>
    <row r="326" spans="1:10" x14ac:dyDescent="0.3">
      <c r="A326" s="21" t="s">
        <v>202</v>
      </c>
      <c r="B326" s="21" t="s">
        <v>335</v>
      </c>
      <c r="C326" s="21"/>
      <c r="D326" s="21"/>
      <c r="E326" s="21"/>
      <c r="F326" s="21"/>
      <c r="G326" s="21"/>
      <c r="H326" s="21"/>
      <c r="I326" s="21"/>
      <c r="J326" s="21"/>
    </row>
    <row r="327" spans="1:10" x14ac:dyDescent="0.3">
      <c r="A327" s="21" t="s">
        <v>84</v>
      </c>
      <c r="B327" s="21" t="s">
        <v>86</v>
      </c>
      <c r="C327" s="21"/>
      <c r="D327" s="21"/>
      <c r="E327" s="21"/>
      <c r="F327" s="21"/>
      <c r="G327" s="21"/>
      <c r="H327" s="21"/>
      <c r="I327" s="21"/>
      <c r="J327" s="21"/>
    </row>
    <row r="328" spans="1:10" x14ac:dyDescent="0.3">
      <c r="A328" s="21" t="s">
        <v>73</v>
      </c>
      <c r="B328" s="21" t="s">
        <v>98</v>
      </c>
      <c r="C328" s="21"/>
      <c r="D328" s="21"/>
      <c r="E328" s="21"/>
      <c r="F328" s="21"/>
      <c r="G328" s="21"/>
      <c r="H328" s="21"/>
      <c r="I328" s="21"/>
      <c r="J328" s="21"/>
    </row>
    <row r="329" spans="1:10" x14ac:dyDescent="0.3">
      <c r="A329" s="21" t="s">
        <v>186</v>
      </c>
      <c r="B329" s="21">
        <v>1</v>
      </c>
      <c r="C329" s="21"/>
      <c r="D329" s="21"/>
      <c r="E329" s="21"/>
      <c r="F329" s="21"/>
      <c r="G329" s="21"/>
      <c r="H329" s="21"/>
      <c r="I329" s="21"/>
      <c r="J329" s="21"/>
    </row>
    <row r="330" spans="1:10" x14ac:dyDescent="0.3">
      <c r="A330" s="21" t="s">
        <v>74</v>
      </c>
      <c r="B330" s="21" t="s">
        <v>232</v>
      </c>
      <c r="C330" s="21"/>
      <c r="D330" s="21"/>
      <c r="E330" s="21"/>
      <c r="F330" s="21"/>
      <c r="G330" s="21"/>
      <c r="H330" s="21"/>
      <c r="I330" s="21"/>
      <c r="J330" s="21"/>
    </row>
    <row r="331" spans="1:10" x14ac:dyDescent="0.3">
      <c r="A331" s="21" t="s">
        <v>77</v>
      </c>
      <c r="B331" s="21" t="s">
        <v>78</v>
      </c>
      <c r="C331" s="21"/>
      <c r="D331" s="21"/>
      <c r="E331" s="21"/>
      <c r="F331" s="21"/>
      <c r="G331" s="21"/>
      <c r="H331" s="21"/>
      <c r="I331" s="21"/>
      <c r="J331" s="21"/>
    </row>
    <row r="332" spans="1:10" x14ac:dyDescent="0.3">
      <c r="A332" s="21" t="s">
        <v>204</v>
      </c>
      <c r="B332" s="21" t="s">
        <v>187</v>
      </c>
      <c r="C332" s="21"/>
      <c r="D332" s="21"/>
      <c r="E332" s="21"/>
      <c r="F332" s="21"/>
      <c r="G332" s="21"/>
      <c r="H332" s="21"/>
      <c r="I332" s="21"/>
      <c r="J332" s="21"/>
    </row>
    <row r="333" spans="1:10" ht="15.6" x14ac:dyDescent="0.3">
      <c r="A333" s="11" t="s">
        <v>80</v>
      </c>
      <c r="B333" s="21"/>
      <c r="C333" s="21"/>
      <c r="D333" s="21"/>
      <c r="E333" s="21"/>
      <c r="F333" s="21"/>
      <c r="G333" s="21"/>
      <c r="H333" s="21"/>
      <c r="I333" s="21"/>
      <c r="J333" s="21"/>
    </row>
    <row r="334" spans="1:10" x14ac:dyDescent="0.3">
      <c r="A334" s="21" t="s">
        <v>81</v>
      </c>
      <c r="B334" s="21" t="s">
        <v>82</v>
      </c>
      <c r="C334" s="21" t="s">
        <v>188</v>
      </c>
      <c r="D334" s="21" t="s">
        <v>73</v>
      </c>
      <c r="E334" s="21" t="s">
        <v>77</v>
      </c>
      <c r="F334" s="21" t="s">
        <v>75</v>
      </c>
      <c r="G334" s="21" t="s">
        <v>74</v>
      </c>
      <c r="H334" s="21"/>
      <c r="I334" s="21"/>
      <c r="J334" s="21"/>
    </row>
    <row r="335" spans="1:10" x14ac:dyDescent="0.3">
      <c r="A335" s="21" t="s">
        <v>232</v>
      </c>
      <c r="B335" s="21">
        <v>1</v>
      </c>
      <c r="C335" s="21" t="s">
        <v>187</v>
      </c>
      <c r="D335" s="21" t="s">
        <v>98</v>
      </c>
      <c r="E335" s="21" t="s">
        <v>78</v>
      </c>
      <c r="F335" s="21" t="s">
        <v>85</v>
      </c>
      <c r="G335" s="21"/>
      <c r="H335" s="21"/>
      <c r="I335" s="21"/>
      <c r="J335" s="21"/>
    </row>
    <row r="336" spans="1:10" x14ac:dyDescent="0.3">
      <c r="A336" s="21" t="s">
        <v>290</v>
      </c>
      <c r="B336" s="21">
        <v>1</v>
      </c>
      <c r="C336" s="21" t="s">
        <v>193</v>
      </c>
      <c r="D336" s="21" t="s">
        <v>98</v>
      </c>
      <c r="E336" s="21" t="s">
        <v>78</v>
      </c>
      <c r="F336" s="21" t="s">
        <v>91</v>
      </c>
      <c r="G336" s="21" t="s">
        <v>291</v>
      </c>
      <c r="H336" s="21"/>
      <c r="I336" s="21"/>
      <c r="J336" s="21"/>
    </row>
    <row r="337" spans="1:10" x14ac:dyDescent="0.3">
      <c r="A337" s="21" t="s">
        <v>294</v>
      </c>
      <c r="B337" s="21">
        <v>4.6000000000000001E-10</v>
      </c>
      <c r="C337" s="21" t="s">
        <v>193</v>
      </c>
      <c r="D337" s="21" t="s">
        <v>98</v>
      </c>
      <c r="E337" s="21" t="s">
        <v>77</v>
      </c>
      <c r="F337" s="21" t="s">
        <v>91</v>
      </c>
      <c r="G337" s="21" t="s">
        <v>295</v>
      </c>
      <c r="H337" s="21"/>
      <c r="I337" s="21"/>
      <c r="J337" s="21"/>
    </row>
    <row r="338" spans="1:10" x14ac:dyDescent="0.3">
      <c r="A338" s="21" t="s">
        <v>336</v>
      </c>
      <c r="B338" s="21">
        <v>1</v>
      </c>
      <c r="C338" s="21" t="s">
        <v>193</v>
      </c>
      <c r="D338" s="21" t="s">
        <v>98</v>
      </c>
      <c r="E338" s="21" t="s">
        <v>78</v>
      </c>
      <c r="F338" s="21" t="s">
        <v>91</v>
      </c>
      <c r="G338" s="21" t="s">
        <v>337</v>
      </c>
      <c r="H338" s="21"/>
      <c r="I338" s="21"/>
      <c r="J338" s="21"/>
    </row>
    <row r="339" spans="1:10" x14ac:dyDescent="0.3">
      <c r="A339" s="21"/>
      <c r="B339" s="21"/>
      <c r="C339" s="21"/>
      <c r="D339" s="21"/>
      <c r="E339" s="21"/>
      <c r="F339" s="21"/>
      <c r="G339" s="21"/>
      <c r="H339" s="21"/>
      <c r="I339" s="21"/>
      <c r="J339" s="21"/>
    </row>
    <row r="340" spans="1:10" ht="15.6" x14ac:dyDescent="0.3">
      <c r="A340" s="11" t="s">
        <v>72</v>
      </c>
      <c r="B340" s="11" t="s">
        <v>233</v>
      </c>
      <c r="C340" s="21"/>
      <c r="D340" s="21"/>
      <c r="E340" s="21"/>
      <c r="F340" s="21"/>
      <c r="G340" s="21"/>
      <c r="H340" s="21"/>
      <c r="I340" s="21"/>
      <c r="J340" s="21"/>
    </row>
    <row r="341" spans="1:10" x14ac:dyDescent="0.3">
      <c r="A341" s="21" t="s">
        <v>202</v>
      </c>
      <c r="B341" s="21" t="s">
        <v>338</v>
      </c>
      <c r="C341" s="21"/>
      <c r="D341" s="21"/>
      <c r="E341" s="21"/>
      <c r="F341" s="21"/>
      <c r="G341" s="21"/>
      <c r="H341" s="21"/>
      <c r="I341" s="21"/>
      <c r="J341" s="21"/>
    </row>
    <row r="342" spans="1:10" x14ac:dyDescent="0.3">
      <c r="A342" s="21" t="s">
        <v>84</v>
      </c>
      <c r="B342" s="21" t="s">
        <v>86</v>
      </c>
      <c r="C342" s="21"/>
      <c r="D342" s="21"/>
      <c r="E342" s="21"/>
      <c r="F342" s="21"/>
      <c r="G342" s="21"/>
      <c r="H342" s="21"/>
      <c r="I342" s="21"/>
      <c r="J342" s="21"/>
    </row>
    <row r="343" spans="1:10" x14ac:dyDescent="0.3">
      <c r="A343" s="21" t="s">
        <v>73</v>
      </c>
      <c r="B343" s="21" t="s">
        <v>98</v>
      </c>
      <c r="C343" s="21"/>
      <c r="D343" s="21"/>
      <c r="E343" s="21"/>
      <c r="F343" s="21"/>
      <c r="G343" s="21"/>
      <c r="H343" s="21"/>
      <c r="I343" s="21"/>
      <c r="J343" s="21"/>
    </row>
    <row r="344" spans="1:10" x14ac:dyDescent="0.3">
      <c r="A344" s="21" t="s">
        <v>186</v>
      </c>
      <c r="B344" s="21">
        <v>1</v>
      </c>
      <c r="C344" s="21"/>
      <c r="D344" s="21"/>
      <c r="E344" s="21"/>
      <c r="F344" s="21"/>
      <c r="G344" s="21"/>
      <c r="H344" s="21"/>
      <c r="I344" s="21"/>
      <c r="J344" s="21"/>
    </row>
    <row r="345" spans="1:10" x14ac:dyDescent="0.3">
      <c r="A345" s="21" t="s">
        <v>74</v>
      </c>
      <c r="B345" s="21" t="s">
        <v>233</v>
      </c>
      <c r="C345" s="21"/>
      <c r="D345" s="21"/>
      <c r="E345" s="21"/>
      <c r="F345" s="21"/>
      <c r="G345" s="21"/>
      <c r="H345" s="21"/>
      <c r="I345" s="21"/>
      <c r="J345" s="21"/>
    </row>
    <row r="346" spans="1:10" x14ac:dyDescent="0.3">
      <c r="A346" s="21" t="s">
        <v>77</v>
      </c>
      <c r="B346" s="21" t="s">
        <v>78</v>
      </c>
      <c r="C346" s="21"/>
      <c r="D346" s="21"/>
      <c r="E346" s="21"/>
      <c r="F346" s="21"/>
      <c r="G346" s="21"/>
      <c r="H346" s="21"/>
      <c r="I346" s="21"/>
      <c r="J346" s="21"/>
    </row>
    <row r="347" spans="1:10" x14ac:dyDescent="0.3">
      <c r="A347" s="21" t="s">
        <v>204</v>
      </c>
      <c r="B347" s="21" t="s">
        <v>187</v>
      </c>
      <c r="C347" s="21"/>
      <c r="D347" s="21"/>
      <c r="E347" s="21"/>
      <c r="F347" s="21"/>
      <c r="G347" s="21"/>
      <c r="H347" s="21"/>
      <c r="I347" s="21"/>
      <c r="J347" s="21"/>
    </row>
    <row r="348" spans="1:10" ht="15.6" x14ac:dyDescent="0.3">
      <c r="A348" s="11" t="s">
        <v>80</v>
      </c>
      <c r="B348" s="21"/>
      <c r="C348" s="21"/>
      <c r="D348" s="21"/>
      <c r="E348" s="21"/>
      <c r="F348" s="21"/>
      <c r="G348" s="21"/>
      <c r="H348" s="21"/>
      <c r="I348" s="21"/>
      <c r="J348" s="21"/>
    </row>
    <row r="349" spans="1:10" x14ac:dyDescent="0.3">
      <c r="A349" s="21" t="s">
        <v>81</v>
      </c>
      <c r="B349" s="21" t="s">
        <v>82</v>
      </c>
      <c r="C349" s="21" t="s">
        <v>188</v>
      </c>
      <c r="D349" s="21" t="s">
        <v>73</v>
      </c>
      <c r="E349" s="21" t="s">
        <v>77</v>
      </c>
      <c r="F349" s="21" t="s">
        <v>75</v>
      </c>
      <c r="G349" s="21" t="s">
        <v>74</v>
      </c>
      <c r="H349" s="21"/>
      <c r="I349" s="21"/>
      <c r="J349" s="21"/>
    </row>
    <row r="350" spans="1:10" x14ac:dyDescent="0.3">
      <c r="A350" s="21" t="s">
        <v>233</v>
      </c>
      <c r="B350" s="21">
        <v>1</v>
      </c>
      <c r="C350" s="21" t="s">
        <v>187</v>
      </c>
      <c r="D350" s="21" t="s">
        <v>98</v>
      </c>
      <c r="E350" s="21" t="s">
        <v>78</v>
      </c>
      <c r="F350" s="21" t="s">
        <v>85</v>
      </c>
      <c r="G350" s="21"/>
      <c r="H350" s="21"/>
      <c r="I350" s="21"/>
      <c r="J350" s="21"/>
    </row>
    <row r="351" spans="1:10" x14ac:dyDescent="0.3">
      <c r="A351" s="21" t="s">
        <v>224</v>
      </c>
      <c r="B351" s="21">
        <v>0.94</v>
      </c>
      <c r="C351" s="21" t="s">
        <v>193</v>
      </c>
      <c r="D351" s="21" t="s">
        <v>98</v>
      </c>
      <c r="E351" s="21" t="s">
        <v>78</v>
      </c>
      <c r="F351" s="21" t="s">
        <v>91</v>
      </c>
      <c r="G351" s="21" t="s">
        <v>225</v>
      </c>
      <c r="H351" s="21"/>
      <c r="I351" s="21"/>
      <c r="J351" s="21"/>
    </row>
    <row r="352" spans="1:10" x14ac:dyDescent="0.3">
      <c r="A352" s="21" t="s">
        <v>339</v>
      </c>
      <c r="B352" s="21">
        <v>0.02</v>
      </c>
      <c r="C352" s="21" t="s">
        <v>193</v>
      </c>
      <c r="D352" s="21" t="s">
        <v>242</v>
      </c>
      <c r="E352" s="21" t="s">
        <v>78</v>
      </c>
      <c r="F352" s="21" t="s">
        <v>91</v>
      </c>
      <c r="G352" s="21" t="s">
        <v>340</v>
      </c>
      <c r="H352" s="21"/>
      <c r="I352" s="21"/>
      <c r="J352" s="21"/>
    </row>
    <row r="353" spans="1:10" x14ac:dyDescent="0.3">
      <c r="A353" s="21" t="s">
        <v>341</v>
      </c>
      <c r="B353" s="21">
        <v>0.96</v>
      </c>
      <c r="C353" s="21" t="s">
        <v>193</v>
      </c>
      <c r="D353" s="21" t="s">
        <v>98</v>
      </c>
      <c r="E353" s="21" t="s">
        <v>78</v>
      </c>
      <c r="F353" s="21" t="s">
        <v>91</v>
      </c>
      <c r="G353" s="21" t="s">
        <v>342</v>
      </c>
      <c r="H353" s="21"/>
      <c r="I353" s="21"/>
      <c r="J353" s="21"/>
    </row>
    <row r="354" spans="1:10" x14ac:dyDescent="0.3">
      <c r="A354" s="21" t="s">
        <v>343</v>
      </c>
      <c r="B354" s="21">
        <v>0.02</v>
      </c>
      <c r="C354" s="21" t="s">
        <v>193</v>
      </c>
      <c r="D354" s="21" t="s">
        <v>98</v>
      </c>
      <c r="E354" s="21" t="s">
        <v>78</v>
      </c>
      <c r="F354" s="21" t="s">
        <v>91</v>
      </c>
      <c r="G354" s="21" t="s">
        <v>344</v>
      </c>
      <c r="H354" s="21"/>
      <c r="I354" s="21"/>
      <c r="J354" s="21"/>
    </row>
    <row r="355" spans="1:10" x14ac:dyDescent="0.3">
      <c r="A355" s="21" t="s">
        <v>208</v>
      </c>
      <c r="B355" s="21">
        <v>4.0000000000000001E-10</v>
      </c>
      <c r="C355" s="21" t="s">
        <v>193</v>
      </c>
      <c r="D355" s="21" t="s">
        <v>98</v>
      </c>
      <c r="E355" s="21" t="s">
        <v>77</v>
      </c>
      <c r="F355" s="21" t="s">
        <v>91</v>
      </c>
      <c r="G355" s="21" t="s">
        <v>209</v>
      </c>
      <c r="H355" s="21"/>
      <c r="I355" s="21"/>
      <c r="J355" s="21"/>
    </row>
    <row r="356" spans="1:10" x14ac:dyDescent="0.3">
      <c r="A356" s="21"/>
      <c r="B356" s="21"/>
      <c r="C356" s="21"/>
      <c r="D356" s="21"/>
      <c r="E356" s="21"/>
      <c r="F356" s="21"/>
      <c r="G356" s="21"/>
      <c r="H356" s="21"/>
      <c r="I356" s="21"/>
      <c r="J356" s="21"/>
    </row>
    <row r="357" spans="1:10" ht="15.6" x14ac:dyDescent="0.3">
      <c r="A357" s="11" t="s">
        <v>72</v>
      </c>
      <c r="B357" s="11" t="s">
        <v>207</v>
      </c>
      <c r="C357" s="21"/>
      <c r="D357" s="21"/>
      <c r="E357" s="21"/>
      <c r="F357" s="21"/>
      <c r="G357" s="21"/>
      <c r="H357" s="21"/>
      <c r="I357" s="21"/>
      <c r="J357" s="21"/>
    </row>
    <row r="358" spans="1:10" x14ac:dyDescent="0.3">
      <c r="A358" s="21" t="s">
        <v>202</v>
      </c>
      <c r="B358" s="21" t="s">
        <v>345</v>
      </c>
      <c r="C358" s="21"/>
      <c r="D358" s="21"/>
      <c r="E358" s="21"/>
      <c r="F358" s="21"/>
      <c r="G358" s="21"/>
      <c r="H358" s="21"/>
      <c r="I358" s="21"/>
      <c r="J358" s="21"/>
    </row>
    <row r="359" spans="1:10" x14ac:dyDescent="0.3">
      <c r="A359" s="21" t="s">
        <v>84</v>
      </c>
      <c r="B359" s="21" t="s">
        <v>346</v>
      </c>
      <c r="C359" s="21"/>
      <c r="D359" s="21"/>
      <c r="E359" s="21"/>
      <c r="F359" s="21"/>
      <c r="G359" s="21"/>
      <c r="H359" s="21"/>
      <c r="I359" s="21"/>
      <c r="J359" s="21"/>
    </row>
    <row r="360" spans="1:10" x14ac:dyDescent="0.3">
      <c r="A360" s="21" t="s">
        <v>73</v>
      </c>
      <c r="B360" s="21" t="s">
        <v>98</v>
      </c>
      <c r="C360" s="21"/>
      <c r="D360" s="21"/>
      <c r="E360" s="21"/>
      <c r="F360" s="21"/>
      <c r="G360" s="21"/>
      <c r="H360" s="21"/>
      <c r="I360" s="21"/>
      <c r="J360" s="21"/>
    </row>
    <row r="361" spans="1:10" x14ac:dyDescent="0.3">
      <c r="A361" s="21" t="s">
        <v>186</v>
      </c>
      <c r="B361" s="21">
        <v>1</v>
      </c>
      <c r="C361" s="21"/>
      <c r="D361" s="21"/>
      <c r="E361" s="21"/>
      <c r="F361" s="21"/>
      <c r="G361" s="21"/>
      <c r="H361" s="21"/>
      <c r="I361" s="21"/>
      <c r="J361" s="21"/>
    </row>
    <row r="362" spans="1:10" x14ac:dyDescent="0.3">
      <c r="A362" s="21" t="s">
        <v>74</v>
      </c>
      <c r="B362" s="21" t="s">
        <v>207</v>
      </c>
      <c r="C362" s="21"/>
      <c r="D362" s="21"/>
      <c r="E362" s="21"/>
      <c r="F362" s="21"/>
      <c r="G362" s="21"/>
      <c r="H362" s="21"/>
      <c r="I362" s="21"/>
      <c r="J362" s="21"/>
    </row>
    <row r="363" spans="1:10" x14ac:dyDescent="0.3">
      <c r="A363" s="21" t="s">
        <v>77</v>
      </c>
      <c r="B363" s="21" t="s">
        <v>78</v>
      </c>
      <c r="C363" s="21"/>
      <c r="D363" s="21"/>
      <c r="E363" s="21"/>
      <c r="F363" s="21"/>
      <c r="G363" s="21"/>
      <c r="H363" s="21"/>
      <c r="I363" s="21"/>
      <c r="J363" s="21"/>
    </row>
    <row r="364" spans="1:10" x14ac:dyDescent="0.3">
      <c r="A364" s="21" t="s">
        <v>204</v>
      </c>
      <c r="B364" s="21" t="s">
        <v>187</v>
      </c>
      <c r="C364" s="21"/>
      <c r="D364" s="21"/>
      <c r="E364" s="21"/>
      <c r="F364" s="21"/>
      <c r="G364" s="21"/>
      <c r="H364" s="21"/>
      <c r="I364" s="21"/>
      <c r="J364" s="21"/>
    </row>
    <row r="365" spans="1:10" ht="15.6" x14ac:dyDescent="0.3">
      <c r="A365" s="11" t="s">
        <v>80</v>
      </c>
      <c r="B365" s="21"/>
      <c r="C365" s="21"/>
      <c r="D365" s="21"/>
      <c r="E365" s="21"/>
      <c r="F365" s="21"/>
      <c r="G365" s="21"/>
      <c r="H365" s="21"/>
      <c r="I365" s="21"/>
      <c r="J365" s="21"/>
    </row>
    <row r="366" spans="1:10" x14ac:dyDescent="0.3">
      <c r="A366" s="21" t="s">
        <v>81</v>
      </c>
      <c r="B366" s="21" t="s">
        <v>82</v>
      </c>
      <c r="C366" s="21" t="s">
        <v>188</v>
      </c>
      <c r="D366" s="21" t="s">
        <v>73</v>
      </c>
      <c r="E366" s="21" t="s">
        <v>77</v>
      </c>
      <c r="F366" s="21" t="s">
        <v>83</v>
      </c>
      <c r="G366" s="21" t="s">
        <v>75</v>
      </c>
      <c r="H366" s="21" t="s">
        <v>248</v>
      </c>
      <c r="I366" s="21" t="s">
        <v>74</v>
      </c>
      <c r="J366" s="21"/>
    </row>
    <row r="367" spans="1:10" x14ac:dyDescent="0.3">
      <c r="A367" s="21" t="s">
        <v>347</v>
      </c>
      <c r="B367" s="21">
        <v>1.6</v>
      </c>
      <c r="C367" s="21" t="s">
        <v>187</v>
      </c>
      <c r="D367" s="21"/>
      <c r="E367" s="21" t="s">
        <v>78</v>
      </c>
      <c r="F367" s="21" t="s">
        <v>348</v>
      </c>
      <c r="G367" s="21" t="s">
        <v>173</v>
      </c>
      <c r="H367" s="21" t="s">
        <v>349</v>
      </c>
      <c r="I367" s="21"/>
      <c r="J367" s="21"/>
    </row>
    <row r="368" spans="1:10" x14ac:dyDescent="0.3">
      <c r="A368" s="21" t="s">
        <v>207</v>
      </c>
      <c r="B368" s="21">
        <v>1</v>
      </c>
      <c r="C368" s="21" t="s">
        <v>187</v>
      </c>
      <c r="D368" s="21" t="s">
        <v>98</v>
      </c>
      <c r="E368" s="21" t="s">
        <v>78</v>
      </c>
      <c r="F368" s="21"/>
      <c r="G368" s="21" t="s">
        <v>85</v>
      </c>
      <c r="H368" s="21"/>
      <c r="I368" s="21"/>
      <c r="J368" s="21"/>
    </row>
    <row r="369" spans="1:10" x14ac:dyDescent="0.3">
      <c r="A369" s="21" t="s">
        <v>303</v>
      </c>
      <c r="B369" s="21">
        <v>0.56999999999999995</v>
      </c>
      <c r="C369" s="21" t="s">
        <v>187</v>
      </c>
      <c r="D369" s="21" t="s">
        <v>98</v>
      </c>
      <c r="E369" s="21" t="s">
        <v>78</v>
      </c>
      <c r="F369" s="21"/>
      <c r="G369" s="21" t="s">
        <v>91</v>
      </c>
      <c r="H369" s="21"/>
      <c r="I369" s="21"/>
      <c r="J369" s="21"/>
    </row>
    <row r="370" spans="1:10" x14ac:dyDescent="0.3">
      <c r="A370" s="21" t="s">
        <v>208</v>
      </c>
      <c r="B370" s="21">
        <v>4.0000000000000001E-10</v>
      </c>
      <c r="C370" s="21" t="s">
        <v>193</v>
      </c>
      <c r="D370" s="21" t="s">
        <v>98</v>
      </c>
      <c r="E370" s="21" t="s">
        <v>77</v>
      </c>
      <c r="F370" s="21"/>
      <c r="G370" s="21" t="s">
        <v>91</v>
      </c>
      <c r="H370" s="21"/>
      <c r="I370" s="21" t="s">
        <v>209</v>
      </c>
      <c r="J370" s="21"/>
    </row>
    <row r="371" spans="1:10" x14ac:dyDescent="0.3">
      <c r="A371" s="21" t="s">
        <v>350</v>
      </c>
      <c r="B371" s="21">
        <v>0.55000000000000004</v>
      </c>
      <c r="C371" s="21" t="s">
        <v>193</v>
      </c>
      <c r="D371" s="21" t="s">
        <v>98</v>
      </c>
      <c r="E371" s="21" t="s">
        <v>78</v>
      </c>
      <c r="F371" s="21"/>
      <c r="G371" s="21" t="s">
        <v>91</v>
      </c>
      <c r="H371" s="21" t="s">
        <v>351</v>
      </c>
      <c r="I371" s="21" t="s">
        <v>352</v>
      </c>
      <c r="J371" s="21"/>
    </row>
    <row r="372" spans="1:10" x14ac:dyDescent="0.3">
      <c r="A372" s="21" t="s">
        <v>353</v>
      </c>
      <c r="B372" s="21">
        <v>0.56999999999999995</v>
      </c>
      <c r="C372" s="21" t="s">
        <v>193</v>
      </c>
      <c r="D372" s="21" t="s">
        <v>98</v>
      </c>
      <c r="E372" s="21" t="s">
        <v>78</v>
      </c>
      <c r="F372" s="21"/>
      <c r="G372" s="21" t="s">
        <v>91</v>
      </c>
      <c r="H372" s="21" t="s">
        <v>354</v>
      </c>
      <c r="I372" s="21" t="s">
        <v>355</v>
      </c>
      <c r="J372" s="21"/>
    </row>
    <row r="373" spans="1:10" x14ac:dyDescent="0.3">
      <c r="A373" s="21" t="s">
        <v>356</v>
      </c>
      <c r="B373" s="21">
        <v>0.88</v>
      </c>
      <c r="C373" s="21" t="s">
        <v>193</v>
      </c>
      <c r="D373" s="21" t="s">
        <v>98</v>
      </c>
      <c r="E373" s="21" t="s">
        <v>78</v>
      </c>
      <c r="F373" s="21"/>
      <c r="G373" s="21" t="s">
        <v>91</v>
      </c>
      <c r="H373" s="21"/>
      <c r="I373" s="21" t="s">
        <v>357</v>
      </c>
      <c r="J373" s="21"/>
    </row>
    <row r="374" spans="1:10" x14ac:dyDescent="0.3">
      <c r="A374" s="21"/>
      <c r="B374" s="21"/>
      <c r="C374" s="21"/>
      <c r="D374" s="21"/>
      <c r="E374" s="21"/>
      <c r="F374" s="21"/>
      <c r="G374" s="21"/>
      <c r="H374" s="21"/>
      <c r="I374" s="21"/>
      <c r="J374" s="21"/>
    </row>
    <row r="375" spans="1:10" ht="15.6" x14ac:dyDescent="0.3">
      <c r="A375" s="11" t="s">
        <v>72</v>
      </c>
      <c r="B375" s="11" t="s">
        <v>358</v>
      </c>
      <c r="C375" s="21"/>
      <c r="D375" s="21"/>
      <c r="E375" s="21"/>
      <c r="F375" s="21"/>
      <c r="G375" s="21"/>
      <c r="H375" s="21"/>
      <c r="I375" s="21"/>
      <c r="J375" s="21"/>
    </row>
    <row r="376" spans="1:10" x14ac:dyDescent="0.3">
      <c r="A376" s="21" t="s">
        <v>202</v>
      </c>
      <c r="B376" s="21" t="s">
        <v>359</v>
      </c>
      <c r="C376" s="21"/>
      <c r="D376" s="21"/>
      <c r="E376" s="21"/>
      <c r="F376" s="21"/>
      <c r="G376" s="21"/>
      <c r="H376" s="21"/>
      <c r="I376" s="21"/>
      <c r="J376" s="21"/>
    </row>
    <row r="377" spans="1:10" x14ac:dyDescent="0.3">
      <c r="A377" s="21" t="s">
        <v>73</v>
      </c>
      <c r="B377" s="21" t="s">
        <v>94</v>
      </c>
      <c r="C377" s="21"/>
      <c r="D377" s="21"/>
      <c r="E377" s="21"/>
      <c r="F377" s="21"/>
      <c r="G377" s="21"/>
      <c r="H377" s="21"/>
      <c r="I377" s="21"/>
      <c r="J377" s="21"/>
    </row>
    <row r="378" spans="1:10" x14ac:dyDescent="0.3">
      <c r="A378" s="21" t="s">
        <v>186</v>
      </c>
      <c r="B378" s="21">
        <v>1</v>
      </c>
      <c r="C378" s="21"/>
      <c r="D378" s="21"/>
      <c r="E378" s="21"/>
      <c r="F378" s="21"/>
      <c r="G378" s="21"/>
      <c r="H378" s="21"/>
      <c r="I378" s="21"/>
      <c r="J378" s="21"/>
    </row>
    <row r="379" spans="1:10" x14ac:dyDescent="0.3">
      <c r="A379" s="21" t="s">
        <v>74</v>
      </c>
      <c r="B379" s="21" t="s">
        <v>360</v>
      </c>
      <c r="C379" s="21"/>
      <c r="D379" s="21"/>
      <c r="E379" s="21"/>
      <c r="F379" s="21"/>
      <c r="G379" s="21"/>
      <c r="H379" s="21"/>
      <c r="I379" s="21"/>
      <c r="J379" s="21"/>
    </row>
    <row r="380" spans="1:10" x14ac:dyDescent="0.3">
      <c r="A380" s="21" t="s">
        <v>75</v>
      </c>
      <c r="B380" s="21" t="s">
        <v>76</v>
      </c>
      <c r="C380" s="21"/>
      <c r="D380" s="21"/>
      <c r="E380" s="21"/>
      <c r="F380" s="21"/>
      <c r="G380" s="21"/>
      <c r="H380" s="21"/>
      <c r="I380" s="21"/>
      <c r="J380" s="21"/>
    </row>
    <row r="381" spans="1:10" x14ac:dyDescent="0.3">
      <c r="A381" s="21" t="s">
        <v>77</v>
      </c>
      <c r="B381" s="21" t="s">
        <v>78</v>
      </c>
      <c r="C381" s="21"/>
      <c r="D381" s="21"/>
      <c r="E381" s="21"/>
      <c r="F381" s="21"/>
      <c r="G381" s="21"/>
      <c r="H381" s="21"/>
      <c r="I381" s="21"/>
      <c r="J381" s="21"/>
    </row>
    <row r="382" spans="1:10" x14ac:dyDescent="0.3">
      <c r="A382" s="21" t="s">
        <v>204</v>
      </c>
      <c r="B382" s="21" t="s">
        <v>361</v>
      </c>
      <c r="C382" s="21"/>
      <c r="D382" s="21"/>
      <c r="E382" s="21"/>
      <c r="F382" s="21"/>
      <c r="G382" s="21"/>
      <c r="H382" s="21"/>
      <c r="I382" s="21"/>
      <c r="J382" s="21"/>
    </row>
    <row r="383" spans="1:10" ht="15.6" x14ac:dyDescent="0.3">
      <c r="A383" s="11" t="s">
        <v>80</v>
      </c>
      <c r="B383" s="21"/>
      <c r="C383" s="21"/>
      <c r="D383" s="21"/>
      <c r="E383" s="21"/>
      <c r="F383" s="21"/>
      <c r="G383" s="21"/>
      <c r="H383" s="21"/>
      <c r="I383" s="21"/>
      <c r="J383" s="21"/>
    </row>
    <row r="384" spans="1:10" x14ac:dyDescent="0.3">
      <c r="A384" s="21" t="s">
        <v>81</v>
      </c>
      <c r="B384" s="21" t="s">
        <v>82</v>
      </c>
      <c r="C384" s="21" t="s">
        <v>188</v>
      </c>
      <c r="D384" s="21" t="s">
        <v>73</v>
      </c>
      <c r="E384" s="21" t="s">
        <v>77</v>
      </c>
      <c r="F384" s="21" t="s">
        <v>83</v>
      </c>
      <c r="G384" s="21" t="s">
        <v>75</v>
      </c>
      <c r="H384" s="21" t="s">
        <v>74</v>
      </c>
      <c r="I384" s="21"/>
      <c r="J384" s="21"/>
    </row>
    <row r="385" spans="1:10" x14ac:dyDescent="0.3">
      <c r="A385" s="21" t="s">
        <v>205</v>
      </c>
      <c r="B385" s="21">
        <v>15.73</v>
      </c>
      <c r="C385" s="21" t="s">
        <v>362</v>
      </c>
      <c r="D385" s="21"/>
      <c r="E385" s="21" t="s">
        <v>206</v>
      </c>
      <c r="F385" s="21" t="s">
        <v>171</v>
      </c>
      <c r="G385" s="21" t="s">
        <v>173</v>
      </c>
      <c r="H385" s="21"/>
      <c r="I385" s="21"/>
      <c r="J385" s="21"/>
    </row>
    <row r="386" spans="1:10" x14ac:dyDescent="0.3">
      <c r="A386" s="21" t="s">
        <v>363</v>
      </c>
      <c r="B386" s="21">
        <v>1.44E-2</v>
      </c>
      <c r="C386" s="21" t="s">
        <v>362</v>
      </c>
      <c r="D386" s="21"/>
      <c r="E386" s="21" t="s">
        <v>78</v>
      </c>
      <c r="F386" s="21" t="s">
        <v>171</v>
      </c>
      <c r="G386" s="21" t="s">
        <v>173</v>
      </c>
      <c r="H386" s="21"/>
      <c r="I386" s="21"/>
      <c r="J386" s="21"/>
    </row>
    <row r="387" spans="1:10" x14ac:dyDescent="0.3">
      <c r="A387" s="21" t="s">
        <v>364</v>
      </c>
      <c r="B387" s="21">
        <v>0.25</v>
      </c>
      <c r="C387" s="21" t="s">
        <v>362</v>
      </c>
      <c r="D387" s="21"/>
      <c r="E387" s="21" t="s">
        <v>365</v>
      </c>
      <c r="F387" s="21" t="s">
        <v>366</v>
      </c>
      <c r="G387" s="21" t="s">
        <v>173</v>
      </c>
      <c r="H387" s="21"/>
      <c r="I387" s="21"/>
      <c r="J387" s="21"/>
    </row>
    <row r="388" spans="1:10" x14ac:dyDescent="0.3">
      <c r="A388" s="21" t="s">
        <v>358</v>
      </c>
      <c r="B388" s="21">
        <v>1</v>
      </c>
      <c r="C388" s="21" t="s">
        <v>367</v>
      </c>
      <c r="D388" s="21" t="s">
        <v>94</v>
      </c>
      <c r="E388" s="21" t="s">
        <v>78</v>
      </c>
      <c r="F388" s="21"/>
      <c r="G388" s="21" t="s">
        <v>85</v>
      </c>
      <c r="H388" s="21" t="s">
        <v>358</v>
      </c>
      <c r="I388" s="21"/>
      <c r="J388" s="21"/>
    </row>
    <row r="389" spans="1:10" x14ac:dyDescent="0.3">
      <c r="A389" s="21" t="s">
        <v>368</v>
      </c>
      <c r="B389" s="21">
        <v>0.752</v>
      </c>
      <c r="C389" s="21" t="s">
        <v>369</v>
      </c>
      <c r="D389" s="21" t="s">
        <v>94</v>
      </c>
      <c r="E389" s="21" t="s">
        <v>78</v>
      </c>
      <c r="F389" s="21"/>
      <c r="G389" s="21" t="s">
        <v>91</v>
      </c>
      <c r="H389" s="21" t="s">
        <v>370</v>
      </c>
      <c r="I389" s="21"/>
      <c r="J389" s="21"/>
    </row>
    <row r="390" spans="1:10" x14ac:dyDescent="0.3">
      <c r="A390" s="21" t="s">
        <v>371</v>
      </c>
      <c r="B390" s="21">
        <v>0.01</v>
      </c>
      <c r="C390" s="21" t="s">
        <v>369</v>
      </c>
      <c r="D390" s="21" t="s">
        <v>98</v>
      </c>
      <c r="E390" s="21" t="s">
        <v>78</v>
      </c>
      <c r="F390" s="21"/>
      <c r="G390" s="21" t="s">
        <v>91</v>
      </c>
      <c r="H390" s="21" t="s">
        <v>372</v>
      </c>
      <c r="I390" s="21"/>
      <c r="J390" s="21"/>
    </row>
    <row r="391" spans="1:10" x14ac:dyDescent="0.3">
      <c r="A391" s="21" t="s">
        <v>373</v>
      </c>
      <c r="B391" s="21">
        <v>2.7300000000000001E-2</v>
      </c>
      <c r="C391" s="21" t="s">
        <v>369</v>
      </c>
      <c r="D391" s="21" t="s">
        <v>98</v>
      </c>
      <c r="E391" s="21" t="s">
        <v>78</v>
      </c>
      <c r="F391" s="21"/>
      <c r="G391" s="21" t="s">
        <v>91</v>
      </c>
      <c r="H391" s="21" t="s">
        <v>374</v>
      </c>
      <c r="I391" s="21"/>
      <c r="J391" s="21"/>
    </row>
    <row r="392" spans="1:10" x14ac:dyDescent="0.3">
      <c r="A392" s="21" t="s">
        <v>375</v>
      </c>
      <c r="B392" s="21">
        <v>5.0400000000000002E-3</v>
      </c>
      <c r="C392" s="21" t="s">
        <v>369</v>
      </c>
      <c r="D392" s="21" t="s">
        <v>98</v>
      </c>
      <c r="E392" s="21" t="s">
        <v>78</v>
      </c>
      <c r="F392" s="21"/>
      <c r="G392" s="21" t="s">
        <v>91</v>
      </c>
      <c r="H392" s="21" t="s">
        <v>376</v>
      </c>
      <c r="I392" s="21"/>
      <c r="J392" s="21"/>
    </row>
    <row r="393" spans="1:10" x14ac:dyDescent="0.3">
      <c r="A393" s="21" t="s">
        <v>377</v>
      </c>
      <c r="B393" s="21">
        <v>0.251</v>
      </c>
      <c r="C393" s="21" t="s">
        <v>369</v>
      </c>
      <c r="D393" s="21" t="s">
        <v>98</v>
      </c>
      <c r="E393" s="21" t="s">
        <v>78</v>
      </c>
      <c r="F393" s="21"/>
      <c r="G393" s="21" t="s">
        <v>91</v>
      </c>
      <c r="H393" s="21" t="s">
        <v>378</v>
      </c>
      <c r="I393" s="21"/>
      <c r="J393" s="21"/>
    </row>
    <row r="394" spans="1:10" x14ac:dyDescent="0.3">
      <c r="A394" s="21" t="s">
        <v>379</v>
      </c>
      <c r="B394" s="21">
        <v>1.8</v>
      </c>
      <c r="C394" s="21" t="s">
        <v>369</v>
      </c>
      <c r="D394" s="21" t="s">
        <v>242</v>
      </c>
      <c r="E394" s="21" t="s">
        <v>78</v>
      </c>
      <c r="F394" s="21"/>
      <c r="G394" s="21" t="s">
        <v>91</v>
      </c>
      <c r="H394" s="21" t="s">
        <v>380</v>
      </c>
      <c r="I394" s="21"/>
      <c r="J394" s="21"/>
    </row>
    <row r="395" spans="1:10" x14ac:dyDescent="0.3">
      <c r="A395" s="21" t="s">
        <v>247</v>
      </c>
      <c r="B395" s="21">
        <v>0.55000000000000004</v>
      </c>
      <c r="C395" s="21" t="s">
        <v>369</v>
      </c>
      <c r="D395" s="21" t="s">
        <v>94</v>
      </c>
      <c r="E395" s="21" t="s">
        <v>101</v>
      </c>
      <c r="F395" s="21"/>
      <c r="G395" s="21" t="s">
        <v>91</v>
      </c>
      <c r="H395" s="21" t="s">
        <v>129</v>
      </c>
      <c r="I395" s="21"/>
      <c r="J395" s="21"/>
    </row>
    <row r="396" spans="1:10" x14ac:dyDescent="0.3">
      <c r="A396" s="21" t="s">
        <v>381</v>
      </c>
      <c r="B396" s="21">
        <v>13.75</v>
      </c>
      <c r="C396" s="21" t="s">
        <v>369</v>
      </c>
      <c r="D396" s="21" t="s">
        <v>94</v>
      </c>
      <c r="E396" s="21" t="s">
        <v>206</v>
      </c>
      <c r="F396" s="21"/>
      <c r="G396" s="21" t="s">
        <v>91</v>
      </c>
      <c r="H396" s="21" t="s">
        <v>382</v>
      </c>
      <c r="I396" s="21"/>
      <c r="J396" s="21"/>
    </row>
    <row r="397" spans="1:10" x14ac:dyDescent="0.3">
      <c r="A397" s="21" t="s">
        <v>383</v>
      </c>
      <c r="B397" s="21">
        <v>-1.8</v>
      </c>
      <c r="C397" s="21" t="s">
        <v>369</v>
      </c>
      <c r="D397" s="21" t="s">
        <v>242</v>
      </c>
      <c r="E397" s="21" t="s">
        <v>365</v>
      </c>
      <c r="F397" s="21"/>
      <c r="G397" s="21" t="s">
        <v>91</v>
      </c>
      <c r="H397" s="21" t="s">
        <v>384</v>
      </c>
      <c r="I397" s="21"/>
      <c r="J397" s="21"/>
    </row>
    <row r="398" spans="1:10" x14ac:dyDescent="0.3">
      <c r="A398" s="21"/>
      <c r="B398" s="21"/>
      <c r="C398" s="21"/>
      <c r="D398" s="21"/>
      <c r="E398" s="21"/>
      <c r="F398" s="21"/>
      <c r="G398" s="21"/>
      <c r="H398" s="21"/>
      <c r="I398" s="21"/>
      <c r="J398" s="21"/>
    </row>
    <row r="399" spans="1:10" ht="15.6" x14ac:dyDescent="0.3">
      <c r="A399" s="11" t="s">
        <v>72</v>
      </c>
      <c r="B399" s="11" t="s">
        <v>250</v>
      </c>
      <c r="C399" s="21"/>
      <c r="D399" s="21"/>
      <c r="E399" s="21"/>
      <c r="F399" s="21"/>
      <c r="G399" s="21"/>
      <c r="H399" s="21"/>
      <c r="I399" s="21"/>
      <c r="J399" s="21"/>
    </row>
    <row r="400" spans="1:10" x14ac:dyDescent="0.3">
      <c r="A400" s="21" t="s">
        <v>202</v>
      </c>
      <c r="B400" s="21" t="s">
        <v>385</v>
      </c>
      <c r="C400" s="21"/>
      <c r="D400" s="21"/>
      <c r="E400" s="21"/>
      <c r="F400" s="21"/>
      <c r="G400" s="21"/>
      <c r="H400" s="21"/>
      <c r="I400" s="21"/>
      <c r="J400" s="21"/>
    </row>
    <row r="401" spans="1:10" x14ac:dyDescent="0.3">
      <c r="A401" s="21" t="s">
        <v>84</v>
      </c>
      <c r="B401" s="21" t="s">
        <v>86</v>
      </c>
      <c r="C401" s="21"/>
      <c r="D401" s="21"/>
      <c r="E401" s="21"/>
      <c r="F401" s="21"/>
      <c r="G401" s="21"/>
      <c r="H401" s="21"/>
      <c r="I401" s="21"/>
      <c r="J401" s="21"/>
    </row>
    <row r="402" spans="1:10" x14ac:dyDescent="0.3">
      <c r="A402" s="21" t="s">
        <v>73</v>
      </c>
      <c r="B402" s="21" t="s">
        <v>98</v>
      </c>
      <c r="C402" s="21"/>
      <c r="D402" s="21"/>
      <c r="E402" s="21"/>
      <c r="F402" s="21"/>
      <c r="G402" s="21"/>
      <c r="H402" s="21"/>
      <c r="I402" s="21"/>
      <c r="J402" s="21"/>
    </row>
    <row r="403" spans="1:10" x14ac:dyDescent="0.3">
      <c r="A403" s="21" t="s">
        <v>186</v>
      </c>
      <c r="B403" s="21">
        <v>1</v>
      </c>
      <c r="C403" s="21"/>
      <c r="D403" s="21"/>
      <c r="E403" s="21"/>
      <c r="F403" s="21"/>
      <c r="G403" s="21"/>
      <c r="H403" s="21"/>
      <c r="I403" s="21"/>
      <c r="J403" s="21"/>
    </row>
    <row r="404" spans="1:10" x14ac:dyDescent="0.3">
      <c r="A404" s="21" t="s">
        <v>74</v>
      </c>
      <c r="B404" s="21" t="s">
        <v>250</v>
      </c>
      <c r="C404" s="21"/>
      <c r="D404" s="21"/>
      <c r="E404" s="21"/>
      <c r="F404" s="21"/>
      <c r="G404" s="21"/>
      <c r="H404" s="21"/>
      <c r="I404" s="21"/>
      <c r="J404" s="21"/>
    </row>
    <row r="405" spans="1:10" x14ac:dyDescent="0.3">
      <c r="A405" s="21" t="s">
        <v>77</v>
      </c>
      <c r="B405" s="21" t="s">
        <v>78</v>
      </c>
      <c r="C405" s="21"/>
      <c r="D405" s="21"/>
      <c r="E405" s="21"/>
      <c r="F405" s="21"/>
      <c r="G405" s="21"/>
      <c r="H405" s="21"/>
      <c r="I405" s="21"/>
      <c r="J405" s="21"/>
    </row>
    <row r="406" spans="1:10" x14ac:dyDescent="0.3">
      <c r="A406" s="21" t="s">
        <v>204</v>
      </c>
      <c r="B406" s="21" t="s">
        <v>187</v>
      </c>
      <c r="C406" s="21"/>
      <c r="D406" s="21"/>
      <c r="E406" s="21"/>
      <c r="F406" s="21"/>
      <c r="G406" s="21"/>
      <c r="H406" s="21"/>
      <c r="I406" s="21"/>
      <c r="J406" s="21"/>
    </row>
    <row r="407" spans="1:10" ht="15.6" x14ac:dyDescent="0.3">
      <c r="A407" s="11" t="s">
        <v>80</v>
      </c>
      <c r="B407" s="21"/>
      <c r="C407" s="21"/>
      <c r="D407" s="21"/>
      <c r="E407" s="21"/>
      <c r="F407" s="21"/>
      <c r="G407" s="21"/>
      <c r="H407" s="21"/>
      <c r="I407" s="21"/>
      <c r="J407" s="21"/>
    </row>
    <row r="408" spans="1:10" x14ac:dyDescent="0.3">
      <c r="A408" s="21" t="s">
        <v>81</v>
      </c>
      <c r="B408" s="21" t="s">
        <v>82</v>
      </c>
      <c r="C408" s="21" t="s">
        <v>188</v>
      </c>
      <c r="D408" s="21" t="s">
        <v>73</v>
      </c>
      <c r="E408" s="21" t="s">
        <v>77</v>
      </c>
      <c r="F408" s="21" t="s">
        <v>75</v>
      </c>
      <c r="G408" s="21"/>
      <c r="H408" s="21"/>
      <c r="I408" s="21"/>
      <c r="J408" s="21"/>
    </row>
    <row r="409" spans="1:10" x14ac:dyDescent="0.3">
      <c r="A409" s="21" t="s">
        <v>250</v>
      </c>
      <c r="B409" s="21">
        <v>1</v>
      </c>
      <c r="C409" s="21" t="s">
        <v>187</v>
      </c>
      <c r="D409" s="21" t="s">
        <v>98</v>
      </c>
      <c r="E409" s="21" t="s">
        <v>78</v>
      </c>
      <c r="F409" s="21" t="s">
        <v>85</v>
      </c>
      <c r="G409" s="21"/>
      <c r="H409" s="21"/>
      <c r="I409" s="21"/>
      <c r="J409" s="21"/>
    </row>
    <row r="410" spans="1:10" x14ac:dyDescent="0.3">
      <c r="A410" s="21" t="s">
        <v>386</v>
      </c>
      <c r="B410" s="21">
        <v>0.4</v>
      </c>
      <c r="C410" s="21" t="s">
        <v>187</v>
      </c>
      <c r="D410" s="21" t="s">
        <v>98</v>
      </c>
      <c r="E410" s="21" t="s">
        <v>78</v>
      </c>
      <c r="F410" s="21" t="s">
        <v>91</v>
      </c>
      <c r="G410" s="21"/>
      <c r="H410" s="21"/>
      <c r="I410" s="21"/>
      <c r="J410" s="21"/>
    </row>
    <row r="411" spans="1:10" x14ac:dyDescent="0.3">
      <c r="A411" s="21" t="s">
        <v>387</v>
      </c>
      <c r="B411" s="21">
        <v>0.22</v>
      </c>
      <c r="C411" s="21" t="s">
        <v>187</v>
      </c>
      <c r="D411" s="21" t="s">
        <v>98</v>
      </c>
      <c r="E411" s="21" t="s">
        <v>78</v>
      </c>
      <c r="F411" s="21" t="s">
        <v>91</v>
      </c>
      <c r="G411" s="21"/>
      <c r="H411" s="21"/>
      <c r="I411" s="21"/>
      <c r="J411" s="21"/>
    </row>
    <row r="412" spans="1:10" x14ac:dyDescent="0.3">
      <c r="A412" s="21" t="s">
        <v>388</v>
      </c>
      <c r="B412" s="21">
        <v>0.38</v>
      </c>
      <c r="C412" s="21" t="s">
        <v>187</v>
      </c>
      <c r="D412" s="21" t="s">
        <v>98</v>
      </c>
      <c r="E412" s="21" t="s">
        <v>78</v>
      </c>
      <c r="F412" s="21" t="s">
        <v>91</v>
      </c>
      <c r="G412" s="21"/>
      <c r="H412" s="21"/>
      <c r="I412" s="21"/>
      <c r="J412" s="21"/>
    </row>
    <row r="413" spans="1:10" x14ac:dyDescent="0.3">
      <c r="A413" s="21"/>
      <c r="B413" s="21"/>
      <c r="C413" s="21"/>
      <c r="D413" s="21"/>
      <c r="E413" s="21"/>
      <c r="F413" s="21"/>
      <c r="G413" s="21"/>
      <c r="H413" s="21"/>
      <c r="I413" s="21"/>
      <c r="J413" s="21"/>
    </row>
    <row r="414" spans="1:10" ht="15.6" x14ac:dyDescent="0.3">
      <c r="A414" s="11" t="s">
        <v>72</v>
      </c>
      <c r="B414" s="11" t="s">
        <v>386</v>
      </c>
      <c r="C414" s="21"/>
      <c r="D414" s="21"/>
      <c r="E414" s="21"/>
      <c r="F414" s="21"/>
      <c r="G414" s="21"/>
      <c r="H414" s="21"/>
      <c r="I414" s="21"/>
      <c r="J414" s="21"/>
    </row>
    <row r="415" spans="1:10" x14ac:dyDescent="0.3">
      <c r="A415" s="21" t="s">
        <v>202</v>
      </c>
      <c r="B415" s="21" t="s">
        <v>389</v>
      </c>
      <c r="C415" s="21"/>
      <c r="D415" s="21"/>
      <c r="E415" s="21"/>
      <c r="F415" s="21"/>
      <c r="G415" s="21"/>
      <c r="H415" s="21"/>
      <c r="I415" s="21"/>
      <c r="J415" s="21"/>
    </row>
    <row r="416" spans="1:10" x14ac:dyDescent="0.3">
      <c r="A416" s="21" t="s">
        <v>84</v>
      </c>
      <c r="B416" s="21" t="s">
        <v>86</v>
      </c>
      <c r="C416" s="21"/>
      <c r="D416" s="21"/>
      <c r="E416" s="21"/>
      <c r="F416" s="21"/>
      <c r="G416" s="21"/>
      <c r="H416" s="21"/>
      <c r="I416" s="21"/>
      <c r="J416" s="21"/>
    </row>
    <row r="417" spans="1:10" x14ac:dyDescent="0.3">
      <c r="A417" s="21" t="s">
        <v>73</v>
      </c>
      <c r="B417" s="21" t="s">
        <v>98</v>
      </c>
      <c r="C417" s="21"/>
      <c r="D417" s="21"/>
      <c r="E417" s="21"/>
      <c r="F417" s="21"/>
      <c r="G417" s="21"/>
      <c r="H417" s="21"/>
      <c r="I417" s="21"/>
      <c r="J417" s="21"/>
    </row>
    <row r="418" spans="1:10" x14ac:dyDescent="0.3">
      <c r="A418" s="21" t="s">
        <v>186</v>
      </c>
      <c r="B418" s="21">
        <v>1</v>
      </c>
      <c r="C418" s="21"/>
      <c r="D418" s="21"/>
      <c r="E418" s="21"/>
      <c r="F418" s="21"/>
      <c r="G418" s="21"/>
      <c r="H418" s="21"/>
      <c r="I418" s="21"/>
      <c r="J418" s="21"/>
    </row>
    <row r="419" spans="1:10" x14ac:dyDescent="0.3">
      <c r="A419" s="21" t="s">
        <v>74</v>
      </c>
      <c r="B419" s="21" t="s">
        <v>386</v>
      </c>
      <c r="C419" s="21"/>
      <c r="D419" s="21"/>
      <c r="E419" s="21"/>
      <c r="F419" s="21"/>
      <c r="G419" s="21"/>
      <c r="H419" s="21"/>
      <c r="I419" s="21"/>
      <c r="J419" s="21"/>
    </row>
    <row r="420" spans="1:10" x14ac:dyDescent="0.3">
      <c r="A420" s="21" t="s">
        <v>77</v>
      </c>
      <c r="B420" s="21" t="s">
        <v>78</v>
      </c>
      <c r="C420" s="21"/>
      <c r="D420" s="21"/>
      <c r="E420" s="21"/>
      <c r="F420" s="21"/>
      <c r="G420" s="21"/>
      <c r="H420" s="21"/>
      <c r="I420" s="21"/>
      <c r="J420" s="21"/>
    </row>
    <row r="421" spans="1:10" x14ac:dyDescent="0.3">
      <c r="A421" s="21" t="s">
        <v>204</v>
      </c>
      <c r="B421" s="21" t="s">
        <v>187</v>
      </c>
      <c r="C421" s="21"/>
      <c r="D421" s="21"/>
      <c r="E421" s="21"/>
      <c r="F421" s="21"/>
      <c r="G421" s="21"/>
      <c r="H421" s="21"/>
      <c r="I421" s="21"/>
      <c r="J421" s="21"/>
    </row>
    <row r="422" spans="1:10" ht="15.6" x14ac:dyDescent="0.3">
      <c r="A422" s="11" t="s">
        <v>80</v>
      </c>
      <c r="B422" s="21"/>
      <c r="C422" s="21"/>
      <c r="D422" s="21"/>
      <c r="E422" s="21"/>
      <c r="F422" s="21"/>
      <c r="G422" s="21"/>
      <c r="H422" s="21"/>
      <c r="I422" s="21"/>
      <c r="J422" s="21"/>
    </row>
    <row r="423" spans="1:10" x14ac:dyDescent="0.3">
      <c r="A423" s="21" t="s">
        <v>81</v>
      </c>
      <c r="B423" s="21" t="s">
        <v>82</v>
      </c>
      <c r="C423" s="21" t="s">
        <v>188</v>
      </c>
      <c r="D423" s="21" t="s">
        <v>73</v>
      </c>
      <c r="E423" s="21" t="s">
        <v>77</v>
      </c>
      <c r="F423" s="21" t="s">
        <v>75</v>
      </c>
      <c r="G423" s="21" t="s">
        <v>248</v>
      </c>
      <c r="H423" s="21" t="s">
        <v>74</v>
      </c>
      <c r="I423" s="21"/>
      <c r="J423" s="21"/>
    </row>
    <row r="424" spans="1:10" x14ac:dyDescent="0.3">
      <c r="A424" s="21" t="s">
        <v>386</v>
      </c>
      <c r="B424" s="21">
        <v>1</v>
      </c>
      <c r="C424" s="21" t="s">
        <v>187</v>
      </c>
      <c r="D424" s="21" t="s">
        <v>98</v>
      </c>
      <c r="E424" s="21" t="s">
        <v>78</v>
      </c>
      <c r="F424" s="21" t="s">
        <v>85</v>
      </c>
      <c r="G424" s="21"/>
      <c r="H424" s="21"/>
      <c r="I424" s="21"/>
      <c r="J424" s="21"/>
    </row>
    <row r="425" spans="1:10" x14ac:dyDescent="0.3">
      <c r="A425" s="21" t="s">
        <v>216</v>
      </c>
      <c r="B425" s="21">
        <v>1</v>
      </c>
      <c r="C425" s="21" t="s">
        <v>193</v>
      </c>
      <c r="D425" s="21" t="s">
        <v>98</v>
      </c>
      <c r="E425" s="21" t="s">
        <v>78</v>
      </c>
      <c r="F425" s="21" t="s">
        <v>91</v>
      </c>
      <c r="G425" s="21"/>
      <c r="H425" s="21" t="s">
        <v>217</v>
      </c>
      <c r="I425" s="21"/>
      <c r="J425" s="21"/>
    </row>
    <row r="426" spans="1:10" x14ac:dyDescent="0.3">
      <c r="A426" s="21" t="s">
        <v>218</v>
      </c>
      <c r="B426" s="21">
        <v>7.7000000000000006E-11</v>
      </c>
      <c r="C426" s="21" t="s">
        <v>193</v>
      </c>
      <c r="D426" s="21" t="s">
        <v>98</v>
      </c>
      <c r="E426" s="21" t="s">
        <v>77</v>
      </c>
      <c r="F426" s="21" t="s">
        <v>91</v>
      </c>
      <c r="G426" s="21"/>
      <c r="H426" s="21" t="s">
        <v>219</v>
      </c>
      <c r="I426" s="21"/>
      <c r="J426" s="21"/>
    </row>
    <row r="427" spans="1:10" x14ac:dyDescent="0.3">
      <c r="A427" s="21" t="s">
        <v>292</v>
      </c>
      <c r="B427" s="21">
        <v>0.47</v>
      </c>
      <c r="C427" s="21" t="s">
        <v>193</v>
      </c>
      <c r="D427" s="21" t="s">
        <v>98</v>
      </c>
      <c r="E427" s="21" t="s">
        <v>78</v>
      </c>
      <c r="F427" s="21" t="s">
        <v>91</v>
      </c>
      <c r="G427" s="21"/>
      <c r="H427" s="21" t="s">
        <v>293</v>
      </c>
      <c r="I427" s="21"/>
      <c r="J427" s="21"/>
    </row>
    <row r="428" spans="1:10" x14ac:dyDescent="0.3">
      <c r="A428" s="21" t="s">
        <v>328</v>
      </c>
      <c r="B428" s="21">
        <v>0.08</v>
      </c>
      <c r="C428" s="21" t="s">
        <v>193</v>
      </c>
      <c r="D428" s="21" t="s">
        <v>242</v>
      </c>
      <c r="E428" s="21" t="s">
        <v>78</v>
      </c>
      <c r="F428" s="21" t="s">
        <v>91</v>
      </c>
      <c r="G428" s="21"/>
      <c r="H428" s="21" t="s">
        <v>329</v>
      </c>
      <c r="I428" s="21"/>
      <c r="J428" s="21"/>
    </row>
    <row r="429" spans="1:10" x14ac:dyDescent="0.3">
      <c r="A429" s="21" t="s">
        <v>390</v>
      </c>
      <c r="B429" s="21">
        <v>2.5000000000000001E-2</v>
      </c>
      <c r="C429" s="21" t="s">
        <v>193</v>
      </c>
      <c r="D429" s="21" t="s">
        <v>98</v>
      </c>
      <c r="E429" s="21" t="s">
        <v>78</v>
      </c>
      <c r="F429" s="21" t="s">
        <v>91</v>
      </c>
      <c r="G429" s="21"/>
      <c r="H429" s="21" t="s">
        <v>391</v>
      </c>
      <c r="I429" s="21"/>
      <c r="J429" s="21"/>
    </row>
    <row r="430" spans="1:10" x14ac:dyDescent="0.3">
      <c r="A430" s="21" t="s">
        <v>300</v>
      </c>
      <c r="B430" s="21">
        <v>3.4999999999999998E-10</v>
      </c>
      <c r="C430" s="21" t="s">
        <v>193</v>
      </c>
      <c r="D430" s="21" t="s">
        <v>98</v>
      </c>
      <c r="E430" s="21" t="s">
        <v>77</v>
      </c>
      <c r="F430" s="21" t="s">
        <v>91</v>
      </c>
      <c r="G430" s="21"/>
      <c r="H430" s="21" t="s">
        <v>301</v>
      </c>
      <c r="I430" s="21"/>
      <c r="J430" s="21"/>
    </row>
    <row r="431" spans="1:10" x14ac:dyDescent="0.3">
      <c r="A431" s="21" t="s">
        <v>330</v>
      </c>
      <c r="B431" s="21">
        <v>7.8E-2</v>
      </c>
      <c r="C431" s="21" t="s">
        <v>193</v>
      </c>
      <c r="D431" s="21" t="s">
        <v>98</v>
      </c>
      <c r="E431" s="21" t="s">
        <v>78</v>
      </c>
      <c r="F431" s="21" t="s">
        <v>91</v>
      </c>
      <c r="G431" s="21" t="s">
        <v>392</v>
      </c>
      <c r="H431" s="21" t="s">
        <v>331</v>
      </c>
      <c r="I431" s="21"/>
      <c r="J431" s="21"/>
    </row>
    <row r="432" spans="1:10" x14ac:dyDescent="0.3">
      <c r="A432" s="21" t="s">
        <v>393</v>
      </c>
      <c r="B432" s="21">
        <v>0.32</v>
      </c>
      <c r="C432" s="21" t="s">
        <v>193</v>
      </c>
      <c r="D432" s="21" t="s">
        <v>98</v>
      </c>
      <c r="E432" s="21" t="s">
        <v>78</v>
      </c>
      <c r="F432" s="21" t="s">
        <v>91</v>
      </c>
      <c r="G432" s="21"/>
      <c r="H432" s="21" t="s">
        <v>394</v>
      </c>
      <c r="I432" s="21"/>
      <c r="J432" s="21"/>
    </row>
    <row r="433" spans="1:10" x14ac:dyDescent="0.3">
      <c r="A433" s="21" t="s">
        <v>220</v>
      </c>
      <c r="B433" s="21">
        <v>0.5</v>
      </c>
      <c r="C433" s="21" t="s">
        <v>193</v>
      </c>
      <c r="D433" s="21" t="s">
        <v>98</v>
      </c>
      <c r="E433" s="21" t="s">
        <v>78</v>
      </c>
      <c r="F433" s="21" t="s">
        <v>91</v>
      </c>
      <c r="G433" s="21"/>
      <c r="H433" s="21" t="s">
        <v>221</v>
      </c>
      <c r="I433" s="21"/>
      <c r="J433" s="21"/>
    </row>
    <row r="434" spans="1:10" x14ac:dyDescent="0.3">
      <c r="A434" s="21"/>
      <c r="B434" s="21"/>
      <c r="C434" s="21"/>
      <c r="D434" s="21"/>
      <c r="E434" s="21"/>
      <c r="F434" s="21"/>
      <c r="G434" s="21"/>
      <c r="H434" s="21"/>
      <c r="I434" s="21"/>
      <c r="J434" s="21"/>
    </row>
    <row r="435" spans="1:10" ht="15.6" x14ac:dyDescent="0.3">
      <c r="A435" s="11" t="s">
        <v>72</v>
      </c>
      <c r="B435" s="11" t="s">
        <v>387</v>
      </c>
      <c r="C435" s="21"/>
      <c r="D435" s="21"/>
      <c r="E435" s="21"/>
      <c r="F435" s="21"/>
      <c r="G435" s="21"/>
      <c r="H435" s="21"/>
      <c r="I435" s="21"/>
      <c r="J435" s="21"/>
    </row>
    <row r="436" spans="1:10" x14ac:dyDescent="0.3">
      <c r="A436" s="21" t="s">
        <v>202</v>
      </c>
      <c r="B436" s="21" t="s">
        <v>395</v>
      </c>
      <c r="C436" s="21"/>
      <c r="D436" s="21"/>
      <c r="E436" s="21"/>
      <c r="F436" s="21"/>
      <c r="G436" s="21"/>
      <c r="H436" s="21"/>
      <c r="I436" s="21"/>
      <c r="J436" s="21"/>
    </row>
    <row r="437" spans="1:10" x14ac:dyDescent="0.3">
      <c r="A437" s="21" t="s">
        <v>84</v>
      </c>
      <c r="B437" s="21" t="s">
        <v>86</v>
      </c>
      <c r="C437" s="21"/>
      <c r="D437" s="21"/>
      <c r="E437" s="21"/>
      <c r="F437" s="21"/>
      <c r="G437" s="21"/>
      <c r="H437" s="21"/>
      <c r="I437" s="21"/>
      <c r="J437" s="21"/>
    </row>
    <row r="438" spans="1:10" x14ac:dyDescent="0.3">
      <c r="A438" s="21" t="s">
        <v>73</v>
      </c>
      <c r="B438" s="21" t="s">
        <v>98</v>
      </c>
      <c r="C438" s="21"/>
      <c r="D438" s="21"/>
      <c r="E438" s="21"/>
      <c r="F438" s="21"/>
      <c r="G438" s="21"/>
      <c r="H438" s="21"/>
      <c r="I438" s="21"/>
      <c r="J438" s="21"/>
    </row>
    <row r="439" spans="1:10" x14ac:dyDescent="0.3">
      <c r="A439" s="21" t="s">
        <v>186</v>
      </c>
      <c r="B439" s="21">
        <v>1</v>
      </c>
      <c r="C439" s="21"/>
      <c r="D439" s="21"/>
      <c r="E439" s="21"/>
      <c r="F439" s="21"/>
      <c r="G439" s="21"/>
      <c r="H439" s="21"/>
      <c r="I439" s="21"/>
      <c r="J439" s="21"/>
    </row>
    <row r="440" spans="1:10" x14ac:dyDescent="0.3">
      <c r="A440" s="21" t="s">
        <v>74</v>
      </c>
      <c r="B440" s="21" t="s">
        <v>387</v>
      </c>
      <c r="C440" s="21"/>
      <c r="D440" s="21"/>
      <c r="E440" s="21"/>
      <c r="F440" s="21"/>
      <c r="G440" s="21"/>
      <c r="H440" s="21"/>
      <c r="I440" s="21"/>
      <c r="J440" s="21"/>
    </row>
    <row r="441" spans="1:10" x14ac:dyDescent="0.3">
      <c r="A441" s="21" t="s">
        <v>77</v>
      </c>
      <c r="B441" s="21" t="s">
        <v>78</v>
      </c>
      <c r="C441" s="21"/>
      <c r="D441" s="21"/>
      <c r="E441" s="21"/>
      <c r="F441" s="21"/>
      <c r="G441" s="21"/>
      <c r="H441" s="21"/>
      <c r="I441" s="21"/>
      <c r="J441" s="21"/>
    </row>
    <row r="442" spans="1:10" x14ac:dyDescent="0.3">
      <c r="A442" s="21" t="s">
        <v>204</v>
      </c>
      <c r="B442" s="21" t="s">
        <v>187</v>
      </c>
      <c r="C442" s="21"/>
      <c r="D442" s="21"/>
      <c r="E442" s="21"/>
      <c r="F442" s="21"/>
      <c r="G442" s="21"/>
      <c r="H442" s="21"/>
      <c r="I442" s="21"/>
      <c r="J442" s="21"/>
    </row>
    <row r="443" spans="1:10" ht="15.6" x14ac:dyDescent="0.3">
      <c r="A443" s="11" t="s">
        <v>80</v>
      </c>
      <c r="B443" s="21"/>
      <c r="C443" s="21"/>
      <c r="D443" s="21"/>
      <c r="E443" s="21"/>
      <c r="F443" s="21"/>
      <c r="G443" s="21"/>
      <c r="H443" s="21"/>
      <c r="I443" s="21"/>
      <c r="J443" s="21"/>
    </row>
    <row r="444" spans="1:10" x14ac:dyDescent="0.3">
      <c r="A444" s="21" t="s">
        <v>81</v>
      </c>
      <c r="B444" s="21" t="s">
        <v>82</v>
      </c>
      <c r="C444" s="21" t="s">
        <v>188</v>
      </c>
      <c r="D444" s="21" t="s">
        <v>73</v>
      </c>
      <c r="E444" s="21" t="s">
        <v>77</v>
      </c>
      <c r="F444" s="21" t="s">
        <v>75</v>
      </c>
      <c r="G444" s="21" t="s">
        <v>74</v>
      </c>
      <c r="H444" s="21"/>
      <c r="I444" s="21"/>
      <c r="J444" s="21"/>
    </row>
    <row r="445" spans="1:10" x14ac:dyDescent="0.3">
      <c r="A445" s="21" t="s">
        <v>387</v>
      </c>
      <c r="B445" s="21">
        <v>1</v>
      </c>
      <c r="C445" s="21" t="s">
        <v>187</v>
      </c>
      <c r="D445" s="21" t="s">
        <v>98</v>
      </c>
      <c r="E445" s="21" t="s">
        <v>78</v>
      </c>
      <c r="F445" s="21" t="s">
        <v>85</v>
      </c>
      <c r="G445" s="21"/>
      <c r="H445" s="21"/>
      <c r="I445" s="21"/>
      <c r="J445" s="21"/>
    </row>
    <row r="446" spans="1:10" x14ac:dyDescent="0.3">
      <c r="A446" s="21" t="s">
        <v>216</v>
      </c>
      <c r="B446" s="21">
        <v>1</v>
      </c>
      <c r="C446" s="21" t="s">
        <v>193</v>
      </c>
      <c r="D446" s="21" t="s">
        <v>98</v>
      </c>
      <c r="E446" s="21" t="s">
        <v>78</v>
      </c>
      <c r="F446" s="21" t="s">
        <v>91</v>
      </c>
      <c r="G446" s="21" t="s">
        <v>217</v>
      </c>
      <c r="H446" s="21"/>
      <c r="I446" s="21"/>
      <c r="J446" s="21"/>
    </row>
    <row r="447" spans="1:10" x14ac:dyDescent="0.3">
      <c r="A447" s="21" t="s">
        <v>218</v>
      </c>
      <c r="B447" s="21">
        <v>1.5E-10</v>
      </c>
      <c r="C447" s="21" t="s">
        <v>193</v>
      </c>
      <c r="D447" s="21" t="s">
        <v>98</v>
      </c>
      <c r="E447" s="21" t="s">
        <v>77</v>
      </c>
      <c r="F447" s="21" t="s">
        <v>91</v>
      </c>
      <c r="G447" s="21" t="s">
        <v>219</v>
      </c>
      <c r="H447" s="21"/>
      <c r="I447" s="21"/>
      <c r="J447" s="21"/>
    </row>
    <row r="448" spans="1:10" x14ac:dyDescent="0.3">
      <c r="A448" s="21" t="s">
        <v>220</v>
      </c>
      <c r="B448" s="21">
        <v>1</v>
      </c>
      <c r="C448" s="21" t="s">
        <v>193</v>
      </c>
      <c r="D448" s="21" t="s">
        <v>98</v>
      </c>
      <c r="E448" s="21" t="s">
        <v>78</v>
      </c>
      <c r="F448" s="21" t="s">
        <v>91</v>
      </c>
      <c r="G448" s="21" t="s">
        <v>221</v>
      </c>
      <c r="H448" s="21"/>
      <c r="I448" s="21"/>
      <c r="J448" s="21"/>
    </row>
    <row r="449" spans="1:10" x14ac:dyDescent="0.3">
      <c r="A449" s="21"/>
      <c r="B449" s="21"/>
      <c r="C449" s="21"/>
      <c r="D449" s="21"/>
      <c r="E449" s="21"/>
      <c r="F449" s="21"/>
      <c r="G449" s="21"/>
      <c r="H449" s="21"/>
      <c r="I449" s="21"/>
      <c r="J449" s="21"/>
    </row>
    <row r="450" spans="1:10" ht="15.6" x14ac:dyDescent="0.3">
      <c r="A450" s="11" t="s">
        <v>72</v>
      </c>
      <c r="B450" s="11" t="s">
        <v>388</v>
      </c>
      <c r="C450" s="21"/>
      <c r="D450" s="21"/>
      <c r="E450" s="21"/>
      <c r="F450" s="21"/>
      <c r="G450" s="21"/>
      <c r="H450" s="21"/>
      <c r="I450" s="21"/>
      <c r="J450" s="21"/>
    </row>
    <row r="451" spans="1:10" x14ac:dyDescent="0.3">
      <c r="A451" s="21" t="s">
        <v>202</v>
      </c>
      <c r="B451" s="21" t="s">
        <v>396</v>
      </c>
      <c r="C451" s="21"/>
      <c r="D451" s="21"/>
      <c r="E451" s="21"/>
      <c r="F451" s="21"/>
      <c r="G451" s="21"/>
      <c r="H451" s="21"/>
      <c r="I451" s="21"/>
      <c r="J451" s="21"/>
    </row>
    <row r="452" spans="1:10" x14ac:dyDescent="0.3">
      <c r="A452" s="21" t="s">
        <v>84</v>
      </c>
      <c r="B452" s="21" t="s">
        <v>86</v>
      </c>
      <c r="C452" s="21"/>
      <c r="D452" s="21"/>
      <c r="E452" s="21"/>
      <c r="F452" s="21"/>
      <c r="G452" s="21"/>
      <c r="H452" s="21"/>
      <c r="I452" s="21"/>
      <c r="J452" s="21"/>
    </row>
    <row r="453" spans="1:10" x14ac:dyDescent="0.3">
      <c r="A453" s="21" t="s">
        <v>73</v>
      </c>
      <c r="B453" s="21" t="s">
        <v>98</v>
      </c>
      <c r="C453" s="21"/>
      <c r="D453" s="21"/>
      <c r="E453" s="21"/>
      <c r="F453" s="21"/>
      <c r="G453" s="21"/>
      <c r="H453" s="21"/>
      <c r="I453" s="21"/>
      <c r="J453" s="21"/>
    </row>
    <row r="454" spans="1:10" x14ac:dyDescent="0.3">
      <c r="A454" s="21" t="s">
        <v>186</v>
      </c>
      <c r="B454" s="21">
        <v>1</v>
      </c>
      <c r="C454" s="21"/>
      <c r="D454" s="21"/>
      <c r="E454" s="21"/>
      <c r="F454" s="21"/>
      <c r="G454" s="21"/>
      <c r="H454" s="21"/>
      <c r="I454" s="21"/>
      <c r="J454" s="21"/>
    </row>
    <row r="455" spans="1:10" x14ac:dyDescent="0.3">
      <c r="A455" s="21" t="s">
        <v>74</v>
      </c>
      <c r="B455" s="21" t="s">
        <v>388</v>
      </c>
      <c r="C455" s="21"/>
      <c r="D455" s="21"/>
      <c r="E455" s="21"/>
      <c r="F455" s="21"/>
      <c r="G455" s="21"/>
      <c r="H455" s="21"/>
      <c r="I455" s="21"/>
      <c r="J455" s="21"/>
    </row>
    <row r="456" spans="1:10" x14ac:dyDescent="0.3">
      <c r="A456" s="21" t="s">
        <v>77</v>
      </c>
      <c r="B456" s="21" t="s">
        <v>78</v>
      </c>
      <c r="C456" s="21"/>
      <c r="D456" s="21"/>
      <c r="E456" s="21"/>
      <c r="F456" s="21"/>
      <c r="G456" s="21"/>
      <c r="H456" s="21"/>
      <c r="I456" s="21"/>
      <c r="J456" s="21"/>
    </row>
    <row r="457" spans="1:10" x14ac:dyDescent="0.3">
      <c r="A457" s="21" t="s">
        <v>204</v>
      </c>
      <c r="B457" s="21" t="s">
        <v>187</v>
      </c>
      <c r="C457" s="21"/>
      <c r="D457" s="21"/>
      <c r="E457" s="21"/>
      <c r="F457" s="21"/>
      <c r="G457" s="21"/>
      <c r="H457" s="21"/>
      <c r="I457" s="21"/>
      <c r="J457" s="21"/>
    </row>
    <row r="458" spans="1:10" ht="15.6" x14ac:dyDescent="0.3">
      <c r="A458" s="11" t="s">
        <v>80</v>
      </c>
      <c r="B458" s="21"/>
      <c r="C458" s="21"/>
      <c r="D458" s="21"/>
      <c r="E458" s="21"/>
      <c r="F458" s="21"/>
      <c r="G458" s="21"/>
      <c r="H458" s="21"/>
      <c r="I458" s="21"/>
      <c r="J458" s="21"/>
    </row>
    <row r="459" spans="1:10" x14ac:dyDescent="0.3">
      <c r="A459" s="21" t="s">
        <v>81</v>
      </c>
      <c r="B459" s="21" t="s">
        <v>82</v>
      </c>
      <c r="C459" s="21" t="s">
        <v>188</v>
      </c>
      <c r="D459" s="21" t="s">
        <v>73</v>
      </c>
      <c r="E459" s="21" t="s">
        <v>77</v>
      </c>
      <c r="F459" s="21" t="s">
        <v>75</v>
      </c>
      <c r="G459" s="21" t="s">
        <v>74</v>
      </c>
      <c r="H459" s="21"/>
      <c r="I459" s="21"/>
      <c r="J459" s="21"/>
    </row>
    <row r="460" spans="1:10" x14ac:dyDescent="0.3">
      <c r="A460" s="21" t="s">
        <v>388</v>
      </c>
      <c r="B460" s="21">
        <v>1</v>
      </c>
      <c r="C460" s="21" t="s">
        <v>187</v>
      </c>
      <c r="D460" s="21" t="s">
        <v>98</v>
      </c>
      <c r="E460" s="21" t="s">
        <v>78</v>
      </c>
      <c r="F460" s="21" t="s">
        <v>85</v>
      </c>
      <c r="G460" s="21"/>
      <c r="H460" s="21"/>
      <c r="I460" s="21"/>
      <c r="J460" s="21"/>
    </row>
    <row r="461" spans="1:10" x14ac:dyDescent="0.3">
      <c r="A461" s="21" t="s">
        <v>290</v>
      </c>
      <c r="B461" s="21">
        <v>1</v>
      </c>
      <c r="C461" s="21" t="s">
        <v>193</v>
      </c>
      <c r="D461" s="21" t="s">
        <v>98</v>
      </c>
      <c r="E461" s="21" t="s">
        <v>78</v>
      </c>
      <c r="F461" s="21" t="s">
        <v>91</v>
      </c>
      <c r="G461" s="21" t="s">
        <v>291</v>
      </c>
      <c r="H461" s="21"/>
      <c r="I461" s="21"/>
      <c r="J461" s="21"/>
    </row>
    <row r="462" spans="1:10" x14ac:dyDescent="0.3">
      <c r="A462" s="21" t="s">
        <v>294</v>
      </c>
      <c r="B462" s="21">
        <v>4.6000000000000001E-10</v>
      </c>
      <c r="C462" s="21" t="s">
        <v>193</v>
      </c>
      <c r="D462" s="21" t="s">
        <v>98</v>
      </c>
      <c r="E462" s="21" t="s">
        <v>77</v>
      </c>
      <c r="F462" s="21" t="s">
        <v>91</v>
      </c>
      <c r="G462" s="21" t="s">
        <v>295</v>
      </c>
      <c r="H462" s="21"/>
      <c r="I462" s="21"/>
      <c r="J462" s="21"/>
    </row>
    <row r="463" spans="1:10" x14ac:dyDescent="0.3">
      <c r="A463" s="21" t="s">
        <v>336</v>
      </c>
      <c r="B463" s="21">
        <v>1</v>
      </c>
      <c r="C463" s="21" t="s">
        <v>193</v>
      </c>
      <c r="D463" s="21" t="s">
        <v>98</v>
      </c>
      <c r="E463" s="21" t="s">
        <v>78</v>
      </c>
      <c r="F463" s="21" t="s">
        <v>91</v>
      </c>
      <c r="G463" s="21" t="s">
        <v>337</v>
      </c>
      <c r="H463" s="21"/>
      <c r="I463" s="21"/>
      <c r="J463" s="21"/>
    </row>
    <row r="464" spans="1:10" x14ac:dyDescent="0.3">
      <c r="A464" s="21"/>
      <c r="B464" s="21"/>
      <c r="C464" s="21"/>
      <c r="D464" s="21"/>
      <c r="E464" s="21"/>
      <c r="F464" s="21"/>
      <c r="G464" s="21"/>
      <c r="H464" s="21"/>
      <c r="I464" s="21"/>
      <c r="J464" s="21"/>
    </row>
    <row r="465" spans="1:10" ht="15.6" x14ac:dyDescent="0.3">
      <c r="A465" s="11" t="s">
        <v>72</v>
      </c>
      <c r="B465" s="11" t="s">
        <v>238</v>
      </c>
      <c r="C465" s="21"/>
      <c r="D465" s="21"/>
      <c r="E465" s="21"/>
      <c r="F465" s="21"/>
      <c r="G465" s="21"/>
      <c r="H465" s="21"/>
      <c r="I465" s="21"/>
      <c r="J465" s="21"/>
    </row>
    <row r="466" spans="1:10" x14ac:dyDescent="0.3">
      <c r="A466" s="21" t="s">
        <v>202</v>
      </c>
      <c r="B466" s="21" t="s">
        <v>397</v>
      </c>
      <c r="C466" s="21"/>
      <c r="D466" s="21"/>
      <c r="E466" s="21"/>
      <c r="F466" s="21"/>
      <c r="G466" s="21"/>
      <c r="H466" s="21"/>
      <c r="I466" s="21"/>
      <c r="J466" s="21"/>
    </row>
    <row r="467" spans="1:10" x14ac:dyDescent="0.3">
      <c r="A467" s="21" t="s">
        <v>84</v>
      </c>
      <c r="B467" s="21" t="s">
        <v>86</v>
      </c>
      <c r="C467" s="21"/>
      <c r="D467" s="21"/>
      <c r="E467" s="21"/>
      <c r="F467" s="21"/>
      <c r="G467" s="21"/>
      <c r="H467" s="21"/>
      <c r="I467" s="21"/>
      <c r="J467" s="21"/>
    </row>
    <row r="468" spans="1:10" x14ac:dyDescent="0.3">
      <c r="A468" s="21" t="s">
        <v>73</v>
      </c>
      <c r="B468" s="21" t="s">
        <v>98</v>
      </c>
      <c r="C468" s="21"/>
      <c r="D468" s="21"/>
      <c r="E468" s="21"/>
      <c r="F468" s="21"/>
      <c r="G468" s="21"/>
      <c r="H468" s="21"/>
      <c r="I468" s="21"/>
      <c r="J468" s="21"/>
    </row>
    <row r="469" spans="1:10" x14ac:dyDescent="0.3">
      <c r="A469" s="21" t="s">
        <v>186</v>
      </c>
      <c r="B469" s="21">
        <v>1</v>
      </c>
      <c r="C469" s="21"/>
      <c r="D469" s="21"/>
      <c r="E469" s="21"/>
      <c r="F469" s="21"/>
      <c r="G469" s="21"/>
      <c r="H469" s="21"/>
      <c r="I469" s="21"/>
      <c r="J469" s="21"/>
    </row>
    <row r="470" spans="1:10" x14ac:dyDescent="0.3">
      <c r="A470" s="21" t="s">
        <v>74</v>
      </c>
      <c r="B470" s="21" t="s">
        <v>238</v>
      </c>
      <c r="C470" s="21"/>
      <c r="D470" s="21"/>
      <c r="E470" s="21"/>
      <c r="F470" s="21"/>
      <c r="G470" s="21"/>
      <c r="H470" s="21"/>
      <c r="I470" s="21"/>
      <c r="J470" s="21"/>
    </row>
    <row r="471" spans="1:10" x14ac:dyDescent="0.3">
      <c r="A471" s="21" t="s">
        <v>77</v>
      </c>
      <c r="B471" s="21" t="s">
        <v>78</v>
      </c>
      <c r="C471" s="21"/>
      <c r="D471" s="21"/>
      <c r="E471" s="21"/>
      <c r="F471" s="21"/>
      <c r="G471" s="21"/>
      <c r="H471" s="21"/>
      <c r="I471" s="21"/>
      <c r="J471" s="21"/>
    </row>
    <row r="472" spans="1:10" x14ac:dyDescent="0.3">
      <c r="A472" s="21" t="s">
        <v>204</v>
      </c>
      <c r="B472" s="21" t="s">
        <v>187</v>
      </c>
      <c r="C472" s="21"/>
      <c r="D472" s="21"/>
      <c r="E472" s="21"/>
      <c r="F472" s="21"/>
      <c r="G472" s="21"/>
      <c r="H472" s="21"/>
      <c r="I472" s="21"/>
      <c r="J472" s="21"/>
    </row>
    <row r="473" spans="1:10" ht="15.6" x14ac:dyDescent="0.3">
      <c r="A473" s="11" t="s">
        <v>80</v>
      </c>
      <c r="B473" s="21"/>
      <c r="C473" s="21"/>
      <c r="D473" s="21"/>
      <c r="E473" s="21"/>
      <c r="F473" s="21"/>
      <c r="G473" s="21"/>
      <c r="H473" s="21"/>
      <c r="I473" s="21"/>
      <c r="J473" s="21"/>
    </row>
    <row r="474" spans="1:10" x14ac:dyDescent="0.3">
      <c r="A474" s="21" t="s">
        <v>81</v>
      </c>
      <c r="B474" s="21" t="s">
        <v>82</v>
      </c>
      <c r="C474" s="21" t="s">
        <v>188</v>
      </c>
      <c r="D474" s="21" t="s">
        <v>73</v>
      </c>
      <c r="E474" s="21" t="s">
        <v>77</v>
      </c>
      <c r="F474" s="21" t="s">
        <v>75</v>
      </c>
      <c r="G474" s="21" t="s">
        <v>74</v>
      </c>
      <c r="H474" s="21"/>
      <c r="I474" s="21"/>
      <c r="J474" s="21"/>
    </row>
    <row r="475" spans="1:10" x14ac:dyDescent="0.3">
      <c r="A475" s="21" t="s">
        <v>238</v>
      </c>
      <c r="B475" s="21">
        <v>1</v>
      </c>
      <c r="C475" s="21" t="s">
        <v>187</v>
      </c>
      <c r="D475" s="21" t="s">
        <v>98</v>
      </c>
      <c r="E475" s="21" t="s">
        <v>78</v>
      </c>
      <c r="F475" s="21" t="s">
        <v>85</v>
      </c>
      <c r="G475" s="21"/>
      <c r="H475" s="21"/>
      <c r="I475" s="21"/>
      <c r="J475" s="21"/>
    </row>
    <row r="476" spans="1:10" x14ac:dyDescent="0.3">
      <c r="A476" s="21" t="s">
        <v>398</v>
      </c>
      <c r="B476" s="21">
        <v>2.3E-2</v>
      </c>
      <c r="C476" s="21" t="s">
        <v>187</v>
      </c>
      <c r="D476" s="21" t="s">
        <v>98</v>
      </c>
      <c r="E476" s="21" t="s">
        <v>78</v>
      </c>
      <c r="F476" s="21" t="s">
        <v>91</v>
      </c>
      <c r="G476" s="21"/>
      <c r="H476" s="21"/>
      <c r="I476" s="21"/>
      <c r="J476" s="21"/>
    </row>
    <row r="477" spans="1:10" x14ac:dyDescent="0.3">
      <c r="A477" s="21" t="s">
        <v>399</v>
      </c>
      <c r="B477" s="21">
        <v>3.7999999999999999E-2</v>
      </c>
      <c r="C477" s="21" t="s">
        <v>187</v>
      </c>
      <c r="D477" s="21" t="s">
        <v>98</v>
      </c>
      <c r="E477" s="21" t="s">
        <v>78</v>
      </c>
      <c r="F477" s="21" t="s">
        <v>91</v>
      </c>
      <c r="G477" s="21"/>
      <c r="H477" s="21"/>
      <c r="I477" s="21"/>
      <c r="J477" s="21"/>
    </row>
    <row r="478" spans="1:10" x14ac:dyDescent="0.3">
      <c r="A478" s="21" t="s">
        <v>400</v>
      </c>
      <c r="B478" s="21">
        <v>9.6000000000000002E-4</v>
      </c>
      <c r="C478" s="21" t="s">
        <v>187</v>
      </c>
      <c r="D478" s="21" t="s">
        <v>98</v>
      </c>
      <c r="E478" s="21" t="s">
        <v>78</v>
      </c>
      <c r="F478" s="21" t="s">
        <v>91</v>
      </c>
      <c r="G478" s="21"/>
      <c r="H478" s="21"/>
      <c r="I478" s="21"/>
      <c r="J478" s="21"/>
    </row>
    <row r="479" spans="1:10" x14ac:dyDescent="0.3">
      <c r="A479" s="21" t="s">
        <v>401</v>
      </c>
      <c r="B479" s="21">
        <v>0.87</v>
      </c>
      <c r="C479" s="21" t="s">
        <v>187</v>
      </c>
      <c r="D479" s="21" t="s">
        <v>98</v>
      </c>
      <c r="E479" s="21" t="s">
        <v>78</v>
      </c>
      <c r="F479" s="21" t="s">
        <v>91</v>
      </c>
      <c r="G479" s="21"/>
      <c r="H479" s="21"/>
      <c r="I479" s="21"/>
      <c r="J479" s="21"/>
    </row>
    <row r="480" spans="1:10" x14ac:dyDescent="0.3">
      <c r="A480" s="21" t="s">
        <v>402</v>
      </c>
      <c r="B480" s="21">
        <v>0.02</v>
      </c>
      <c r="C480" s="21" t="s">
        <v>187</v>
      </c>
      <c r="D480" s="21" t="s">
        <v>98</v>
      </c>
      <c r="E480" s="21" t="s">
        <v>78</v>
      </c>
      <c r="F480" s="21" t="s">
        <v>91</v>
      </c>
      <c r="G480" s="21"/>
      <c r="H480" s="21"/>
      <c r="I480" s="21"/>
      <c r="J480" s="21"/>
    </row>
    <row r="481" spans="1:10" x14ac:dyDescent="0.3">
      <c r="A481" s="21" t="s">
        <v>403</v>
      </c>
      <c r="B481" s="21">
        <v>4.8000000000000001E-2</v>
      </c>
      <c r="C481" s="21" t="s">
        <v>193</v>
      </c>
      <c r="D481" s="21" t="s">
        <v>98</v>
      </c>
      <c r="E481" s="21" t="s">
        <v>78</v>
      </c>
      <c r="F481" s="21" t="s">
        <v>91</v>
      </c>
      <c r="G481" s="21" t="s">
        <v>404</v>
      </c>
      <c r="H481" s="21"/>
      <c r="I481" s="21"/>
      <c r="J481" s="21"/>
    </row>
    <row r="482" spans="1:10" x14ac:dyDescent="0.3">
      <c r="A482" s="21" t="s">
        <v>267</v>
      </c>
      <c r="B482" s="21">
        <v>0.22</v>
      </c>
      <c r="C482" s="21" t="s">
        <v>193</v>
      </c>
      <c r="D482" s="21" t="s">
        <v>268</v>
      </c>
      <c r="E482" s="21" t="s">
        <v>243</v>
      </c>
      <c r="F482" s="21" t="s">
        <v>91</v>
      </c>
      <c r="G482" s="21" t="s">
        <v>269</v>
      </c>
      <c r="H482" s="21"/>
      <c r="I482" s="21"/>
      <c r="J482" s="21"/>
    </row>
    <row r="483" spans="1:10" x14ac:dyDescent="0.3">
      <c r="A483" s="21" t="s">
        <v>270</v>
      </c>
      <c r="B483" s="21">
        <v>0.1</v>
      </c>
      <c r="C483" s="21" t="s">
        <v>193</v>
      </c>
      <c r="D483" s="21" t="s">
        <v>242</v>
      </c>
      <c r="E483" s="21" t="s">
        <v>243</v>
      </c>
      <c r="F483" s="21" t="s">
        <v>91</v>
      </c>
      <c r="G483" s="21" t="s">
        <v>271</v>
      </c>
      <c r="H483" s="21"/>
      <c r="I483" s="21"/>
      <c r="J483" s="21"/>
    </row>
    <row r="484" spans="1:10" x14ac:dyDescent="0.3">
      <c r="A484" s="21"/>
      <c r="B484" s="21"/>
      <c r="C484" s="21"/>
      <c r="D484" s="21"/>
      <c r="E484" s="21"/>
      <c r="F484" s="21"/>
      <c r="G484" s="21"/>
      <c r="H484" s="21"/>
      <c r="I484" s="21"/>
      <c r="J484" s="21"/>
    </row>
    <row r="485" spans="1:10" ht="15.6" x14ac:dyDescent="0.3">
      <c r="A485" s="11" t="s">
        <v>72</v>
      </c>
      <c r="B485" s="11" t="s">
        <v>401</v>
      </c>
      <c r="C485" s="21"/>
      <c r="D485" s="21"/>
      <c r="E485" s="21"/>
      <c r="F485" s="21"/>
      <c r="G485" s="21"/>
      <c r="H485" s="21"/>
      <c r="I485" s="21"/>
      <c r="J485" s="21"/>
    </row>
    <row r="486" spans="1:10" x14ac:dyDescent="0.3">
      <c r="A486" s="21" t="s">
        <v>202</v>
      </c>
      <c r="B486" s="21" t="s">
        <v>405</v>
      </c>
      <c r="C486" s="21"/>
      <c r="D486" s="21"/>
      <c r="E486" s="21"/>
      <c r="F486" s="21"/>
      <c r="G486" s="21"/>
      <c r="H486" s="21"/>
      <c r="I486" s="21"/>
      <c r="J486" s="21"/>
    </row>
    <row r="487" spans="1:10" x14ac:dyDescent="0.3">
      <c r="A487" s="21" t="s">
        <v>84</v>
      </c>
      <c r="B487" s="21" t="s">
        <v>86</v>
      </c>
      <c r="C487" s="21"/>
      <c r="D487" s="21"/>
      <c r="E487" s="21"/>
      <c r="F487" s="21"/>
      <c r="G487" s="21"/>
      <c r="H487" s="21"/>
      <c r="I487" s="21"/>
      <c r="J487" s="21"/>
    </row>
    <row r="488" spans="1:10" x14ac:dyDescent="0.3">
      <c r="A488" s="21" t="s">
        <v>73</v>
      </c>
      <c r="B488" s="21" t="s">
        <v>98</v>
      </c>
      <c r="C488" s="21"/>
      <c r="D488" s="21"/>
      <c r="E488" s="21"/>
      <c r="F488" s="21"/>
      <c r="G488" s="21"/>
      <c r="H488" s="21"/>
      <c r="I488" s="21"/>
      <c r="J488" s="21"/>
    </row>
    <row r="489" spans="1:10" x14ac:dyDescent="0.3">
      <c r="A489" s="21" t="s">
        <v>186</v>
      </c>
      <c r="B489" s="21">
        <v>1</v>
      </c>
      <c r="C489" s="21"/>
      <c r="D489" s="21"/>
      <c r="E489" s="21"/>
      <c r="F489" s="21"/>
      <c r="G489" s="21"/>
      <c r="H489" s="21"/>
      <c r="I489" s="21"/>
      <c r="J489" s="21"/>
    </row>
    <row r="490" spans="1:10" x14ac:dyDescent="0.3">
      <c r="A490" s="21" t="s">
        <v>74</v>
      </c>
      <c r="B490" s="21" t="s">
        <v>401</v>
      </c>
      <c r="C490" s="21"/>
      <c r="D490" s="21"/>
      <c r="E490" s="21"/>
      <c r="F490" s="21"/>
      <c r="G490" s="21"/>
      <c r="H490" s="21"/>
      <c r="I490" s="21"/>
      <c r="J490" s="21"/>
    </row>
    <row r="491" spans="1:10" x14ac:dyDescent="0.3">
      <c r="A491" s="21" t="s">
        <v>77</v>
      </c>
      <c r="B491" s="21" t="s">
        <v>78</v>
      </c>
      <c r="C491" s="21"/>
      <c r="D491" s="21"/>
      <c r="E491" s="21"/>
      <c r="F491" s="21"/>
      <c r="G491" s="21"/>
      <c r="H491" s="21"/>
      <c r="I491" s="21"/>
      <c r="J491" s="21"/>
    </row>
    <row r="492" spans="1:10" x14ac:dyDescent="0.3">
      <c r="A492" s="21" t="s">
        <v>204</v>
      </c>
      <c r="B492" s="21" t="s">
        <v>187</v>
      </c>
      <c r="C492" s="21"/>
      <c r="D492" s="21"/>
      <c r="E492" s="21"/>
      <c r="F492" s="21"/>
      <c r="G492" s="21"/>
      <c r="H492" s="21"/>
      <c r="I492" s="21"/>
      <c r="J492" s="21"/>
    </row>
    <row r="493" spans="1:10" ht="15.6" x14ac:dyDescent="0.3">
      <c r="A493" s="11" t="s">
        <v>80</v>
      </c>
      <c r="B493" s="21"/>
      <c r="C493" s="21"/>
      <c r="D493" s="21"/>
      <c r="E493" s="21"/>
      <c r="F493" s="21"/>
      <c r="G493" s="21"/>
      <c r="H493" s="21"/>
      <c r="I493" s="21"/>
      <c r="J493" s="21"/>
    </row>
    <row r="494" spans="1:10" x14ac:dyDescent="0.3">
      <c r="A494" s="21" t="s">
        <v>81</v>
      </c>
      <c r="B494" s="21" t="s">
        <v>82</v>
      </c>
      <c r="C494" s="21" t="s">
        <v>188</v>
      </c>
      <c r="D494" s="21" t="s">
        <v>73</v>
      </c>
      <c r="E494" s="21" t="s">
        <v>77</v>
      </c>
      <c r="F494" s="21" t="s">
        <v>75</v>
      </c>
      <c r="G494" s="21" t="s">
        <v>74</v>
      </c>
      <c r="H494" s="21"/>
      <c r="I494" s="21"/>
      <c r="J494" s="21"/>
    </row>
    <row r="495" spans="1:10" x14ac:dyDescent="0.3">
      <c r="A495" s="21" t="s">
        <v>401</v>
      </c>
      <c r="B495" s="21">
        <v>1</v>
      </c>
      <c r="C495" s="21" t="s">
        <v>187</v>
      </c>
      <c r="D495" s="21" t="s">
        <v>98</v>
      </c>
      <c r="E495" s="21" t="s">
        <v>78</v>
      </c>
      <c r="F495" s="21" t="s">
        <v>85</v>
      </c>
      <c r="G495" s="21"/>
      <c r="H495" s="21"/>
      <c r="I495" s="21"/>
      <c r="J495" s="21"/>
    </row>
    <row r="496" spans="1:10" x14ac:dyDescent="0.3">
      <c r="A496" s="21" t="s">
        <v>216</v>
      </c>
      <c r="B496" s="21">
        <v>1</v>
      </c>
      <c r="C496" s="21" t="s">
        <v>193</v>
      </c>
      <c r="D496" s="21" t="s">
        <v>98</v>
      </c>
      <c r="E496" s="21" t="s">
        <v>78</v>
      </c>
      <c r="F496" s="21" t="s">
        <v>91</v>
      </c>
      <c r="G496" s="21" t="s">
        <v>217</v>
      </c>
      <c r="H496" s="21"/>
      <c r="I496" s="21"/>
      <c r="J496" s="21"/>
    </row>
    <row r="497" spans="1:10" x14ac:dyDescent="0.3">
      <c r="A497" s="21" t="s">
        <v>218</v>
      </c>
      <c r="B497" s="21">
        <v>1.5E-10</v>
      </c>
      <c r="C497" s="21" t="s">
        <v>193</v>
      </c>
      <c r="D497" s="21" t="s">
        <v>98</v>
      </c>
      <c r="E497" s="21" t="s">
        <v>77</v>
      </c>
      <c r="F497" s="21" t="s">
        <v>91</v>
      </c>
      <c r="G497" s="21" t="s">
        <v>219</v>
      </c>
      <c r="H497" s="21"/>
      <c r="I497" s="21"/>
      <c r="J497" s="21"/>
    </row>
    <row r="498" spans="1:10" x14ac:dyDescent="0.3">
      <c r="A498" s="21" t="s">
        <v>220</v>
      </c>
      <c r="B498" s="21">
        <v>1</v>
      </c>
      <c r="C498" s="21" t="s">
        <v>193</v>
      </c>
      <c r="D498" s="21" t="s">
        <v>98</v>
      </c>
      <c r="E498" s="21" t="s">
        <v>78</v>
      </c>
      <c r="F498" s="21" t="s">
        <v>91</v>
      </c>
      <c r="G498" s="21" t="s">
        <v>221</v>
      </c>
      <c r="H498" s="21"/>
      <c r="I498" s="21"/>
      <c r="J498" s="21"/>
    </row>
    <row r="499" spans="1:10" x14ac:dyDescent="0.3">
      <c r="A499" s="21" t="s">
        <v>267</v>
      </c>
      <c r="B499" s="21">
        <v>0.2</v>
      </c>
      <c r="C499" s="21" t="s">
        <v>193</v>
      </c>
      <c r="D499" s="21" t="s">
        <v>268</v>
      </c>
      <c r="E499" s="21" t="s">
        <v>243</v>
      </c>
      <c r="F499" s="21" t="s">
        <v>91</v>
      </c>
      <c r="G499" s="21" t="s">
        <v>269</v>
      </c>
      <c r="H499" s="21"/>
      <c r="I499" s="21"/>
      <c r="J499" s="21"/>
    </row>
    <row r="500" spans="1:10" x14ac:dyDescent="0.3">
      <c r="A500" s="21" t="s">
        <v>270</v>
      </c>
      <c r="B500" s="21">
        <v>0.1</v>
      </c>
      <c r="C500" s="21" t="s">
        <v>193</v>
      </c>
      <c r="D500" s="21" t="s">
        <v>242</v>
      </c>
      <c r="E500" s="21" t="s">
        <v>243</v>
      </c>
      <c r="F500" s="21" t="s">
        <v>91</v>
      </c>
      <c r="G500" s="21" t="s">
        <v>271</v>
      </c>
      <c r="H500" s="21"/>
      <c r="I500" s="21"/>
      <c r="J500" s="21"/>
    </row>
    <row r="501" spans="1:10" x14ac:dyDescent="0.3">
      <c r="A501" s="21"/>
      <c r="B501" s="21"/>
      <c r="C501" s="21"/>
      <c r="D501" s="21"/>
      <c r="E501" s="21"/>
      <c r="F501" s="21"/>
      <c r="G501" s="21"/>
      <c r="H501" s="21"/>
      <c r="I501" s="21"/>
      <c r="J501" s="21"/>
    </row>
    <row r="502" spans="1:10" ht="15.6" x14ac:dyDescent="0.3">
      <c r="A502" s="11" t="s">
        <v>72</v>
      </c>
      <c r="B502" s="11" t="s">
        <v>400</v>
      </c>
      <c r="C502" s="21"/>
      <c r="D502" s="21"/>
      <c r="E502" s="21"/>
      <c r="F502" s="21"/>
      <c r="G502" s="21"/>
      <c r="H502" s="21"/>
      <c r="I502" s="21"/>
      <c r="J502" s="21"/>
    </row>
    <row r="503" spans="1:10" x14ac:dyDescent="0.3">
      <c r="A503" s="21" t="s">
        <v>202</v>
      </c>
      <c r="B503" s="21" t="s">
        <v>406</v>
      </c>
      <c r="C503" s="21"/>
      <c r="D503" s="21"/>
      <c r="E503" s="21"/>
      <c r="F503" s="21"/>
      <c r="G503" s="21"/>
      <c r="H503" s="21"/>
      <c r="I503" s="21"/>
      <c r="J503" s="21"/>
    </row>
    <row r="504" spans="1:10" x14ac:dyDescent="0.3">
      <c r="A504" s="21" t="s">
        <v>84</v>
      </c>
      <c r="B504" s="21" t="s">
        <v>86</v>
      </c>
      <c r="C504" s="21"/>
      <c r="D504" s="21"/>
      <c r="E504" s="21"/>
      <c r="F504" s="21"/>
      <c r="G504" s="21"/>
      <c r="H504" s="21"/>
      <c r="I504" s="21"/>
      <c r="J504" s="21"/>
    </row>
    <row r="505" spans="1:10" x14ac:dyDescent="0.3">
      <c r="A505" s="21" t="s">
        <v>73</v>
      </c>
      <c r="B505" s="21" t="s">
        <v>98</v>
      </c>
      <c r="C505" s="21"/>
      <c r="D505" s="21"/>
      <c r="E505" s="21"/>
      <c r="F505" s="21"/>
      <c r="G505" s="21"/>
      <c r="H505" s="21"/>
      <c r="I505" s="21"/>
      <c r="J505" s="21"/>
    </row>
    <row r="506" spans="1:10" x14ac:dyDescent="0.3">
      <c r="A506" s="21" t="s">
        <v>186</v>
      </c>
      <c r="B506" s="21">
        <v>1</v>
      </c>
      <c r="C506" s="21"/>
      <c r="D506" s="21"/>
      <c r="E506" s="21"/>
      <c r="F506" s="21"/>
      <c r="G506" s="21"/>
      <c r="H506" s="21"/>
      <c r="I506" s="21"/>
      <c r="J506" s="21"/>
    </row>
    <row r="507" spans="1:10" x14ac:dyDescent="0.3">
      <c r="A507" s="21" t="s">
        <v>74</v>
      </c>
      <c r="B507" s="21" t="s">
        <v>400</v>
      </c>
      <c r="C507" s="21"/>
      <c r="D507" s="21"/>
      <c r="E507" s="21"/>
      <c r="F507" s="21"/>
      <c r="G507" s="21"/>
      <c r="H507" s="21"/>
      <c r="I507" s="21"/>
      <c r="J507" s="21"/>
    </row>
    <row r="508" spans="1:10" x14ac:dyDescent="0.3">
      <c r="A508" s="21" t="s">
        <v>77</v>
      </c>
      <c r="B508" s="21" t="s">
        <v>78</v>
      </c>
      <c r="C508" s="21"/>
      <c r="D508" s="21"/>
      <c r="E508" s="21"/>
      <c r="F508" s="21"/>
      <c r="G508" s="21"/>
      <c r="H508" s="21"/>
      <c r="I508" s="21"/>
      <c r="J508" s="21"/>
    </row>
    <row r="509" spans="1:10" x14ac:dyDescent="0.3">
      <c r="A509" s="21" t="s">
        <v>204</v>
      </c>
      <c r="B509" s="21" t="s">
        <v>187</v>
      </c>
      <c r="C509" s="21"/>
      <c r="D509" s="21"/>
      <c r="E509" s="21"/>
      <c r="F509" s="21"/>
      <c r="G509" s="21"/>
      <c r="H509" s="21"/>
      <c r="I509" s="21"/>
      <c r="J509" s="21"/>
    </row>
    <row r="510" spans="1:10" ht="15.6" x14ac:dyDescent="0.3">
      <c r="A510" s="11" t="s">
        <v>80</v>
      </c>
      <c r="B510" s="21"/>
      <c r="C510" s="21"/>
      <c r="D510" s="21"/>
      <c r="E510" s="21"/>
      <c r="F510" s="21"/>
      <c r="G510" s="21"/>
      <c r="H510" s="21"/>
      <c r="I510" s="21"/>
      <c r="J510" s="21"/>
    </row>
    <row r="511" spans="1:10" x14ac:dyDescent="0.3">
      <c r="A511" s="21" t="s">
        <v>81</v>
      </c>
      <c r="B511" s="21" t="s">
        <v>82</v>
      </c>
      <c r="C511" s="21" t="s">
        <v>188</v>
      </c>
      <c r="D511" s="21" t="s">
        <v>73</v>
      </c>
      <c r="E511" s="21" t="s">
        <v>77</v>
      </c>
      <c r="F511" s="21" t="s">
        <v>75</v>
      </c>
      <c r="G511" s="21" t="s">
        <v>248</v>
      </c>
      <c r="H511" s="21" t="s">
        <v>74</v>
      </c>
      <c r="I511" s="21"/>
      <c r="J511" s="21"/>
    </row>
    <row r="512" spans="1:10" x14ac:dyDescent="0.3">
      <c r="A512" s="21" t="s">
        <v>400</v>
      </c>
      <c r="B512" s="21">
        <v>1</v>
      </c>
      <c r="C512" s="21" t="s">
        <v>187</v>
      </c>
      <c r="D512" s="21" t="s">
        <v>98</v>
      </c>
      <c r="E512" s="21" t="s">
        <v>78</v>
      </c>
      <c r="F512" s="21" t="s">
        <v>85</v>
      </c>
      <c r="G512" s="21"/>
      <c r="H512" s="21"/>
      <c r="I512" s="21"/>
      <c r="J512" s="21"/>
    </row>
    <row r="513" spans="1:10" x14ac:dyDescent="0.3">
      <c r="A513" s="21" t="s">
        <v>292</v>
      </c>
      <c r="B513" s="21">
        <v>1</v>
      </c>
      <c r="C513" s="21" t="s">
        <v>193</v>
      </c>
      <c r="D513" s="21" t="s">
        <v>98</v>
      </c>
      <c r="E513" s="21" t="s">
        <v>78</v>
      </c>
      <c r="F513" s="21" t="s">
        <v>91</v>
      </c>
      <c r="G513" s="21"/>
      <c r="H513" s="21" t="s">
        <v>293</v>
      </c>
      <c r="I513" s="21"/>
      <c r="J513" s="21"/>
    </row>
    <row r="514" spans="1:10" x14ac:dyDescent="0.3">
      <c r="A514" s="21" t="s">
        <v>300</v>
      </c>
      <c r="B514" s="21">
        <v>7.4000000000000003E-10</v>
      </c>
      <c r="C514" s="21" t="s">
        <v>193</v>
      </c>
      <c r="D514" s="21" t="s">
        <v>98</v>
      </c>
      <c r="E514" s="21" t="s">
        <v>77</v>
      </c>
      <c r="F514" s="21" t="s">
        <v>91</v>
      </c>
      <c r="G514" s="21"/>
      <c r="H514" s="21" t="s">
        <v>301</v>
      </c>
      <c r="I514" s="21"/>
      <c r="J514" s="21"/>
    </row>
    <row r="515" spans="1:10" x14ac:dyDescent="0.3">
      <c r="A515" s="21" t="s">
        <v>407</v>
      </c>
      <c r="B515" s="21">
        <v>0.75</v>
      </c>
      <c r="C515" s="21" t="s">
        <v>193</v>
      </c>
      <c r="D515" s="21" t="s">
        <v>98</v>
      </c>
      <c r="E515" s="21" t="s">
        <v>78</v>
      </c>
      <c r="F515" s="21" t="s">
        <v>91</v>
      </c>
      <c r="G515" s="21" t="s">
        <v>408</v>
      </c>
      <c r="H515" s="21" t="s">
        <v>409</v>
      </c>
      <c r="I515" s="21"/>
      <c r="J515" s="21"/>
    </row>
    <row r="516" spans="1:10" x14ac:dyDescent="0.3">
      <c r="A516" s="21" t="s">
        <v>280</v>
      </c>
      <c r="B516" s="21">
        <v>0.25</v>
      </c>
      <c r="C516" s="21" t="s">
        <v>193</v>
      </c>
      <c r="D516" s="21" t="s">
        <v>98</v>
      </c>
      <c r="E516" s="21" t="s">
        <v>78</v>
      </c>
      <c r="F516" s="21" t="s">
        <v>91</v>
      </c>
      <c r="G516" s="21"/>
      <c r="H516" s="21" t="s">
        <v>281</v>
      </c>
      <c r="I516" s="21"/>
      <c r="J516" s="21"/>
    </row>
    <row r="517" spans="1:10" x14ac:dyDescent="0.3">
      <c r="A517" s="21"/>
      <c r="B517" s="21"/>
      <c r="C517" s="21"/>
      <c r="D517" s="21"/>
      <c r="E517" s="21"/>
      <c r="F517" s="21"/>
      <c r="G517" s="21"/>
      <c r="H517" s="21"/>
      <c r="I517" s="21"/>
      <c r="J517" s="21"/>
    </row>
    <row r="518" spans="1:10" ht="15.6" x14ac:dyDescent="0.3">
      <c r="A518" s="11" t="s">
        <v>72</v>
      </c>
      <c r="B518" s="11" t="s">
        <v>399</v>
      </c>
      <c r="C518" s="21"/>
      <c r="D518" s="21"/>
      <c r="E518" s="21"/>
      <c r="F518" s="21"/>
      <c r="G518" s="21"/>
      <c r="H518" s="21"/>
      <c r="I518" s="21"/>
      <c r="J518" s="21"/>
    </row>
    <row r="519" spans="1:10" x14ac:dyDescent="0.3">
      <c r="A519" s="21" t="s">
        <v>202</v>
      </c>
      <c r="B519" s="21" t="s">
        <v>410</v>
      </c>
      <c r="C519" s="21"/>
      <c r="D519" s="21"/>
      <c r="E519" s="21"/>
      <c r="F519" s="21"/>
      <c r="G519" s="21"/>
      <c r="H519" s="21"/>
      <c r="I519" s="21"/>
      <c r="J519" s="21"/>
    </row>
    <row r="520" spans="1:10" x14ac:dyDescent="0.3">
      <c r="A520" s="21" t="s">
        <v>84</v>
      </c>
      <c r="B520" s="21" t="s">
        <v>86</v>
      </c>
      <c r="C520" s="21"/>
      <c r="D520" s="21"/>
      <c r="E520" s="21"/>
      <c r="F520" s="21"/>
      <c r="G520" s="21"/>
      <c r="H520" s="21"/>
      <c r="I520" s="21"/>
      <c r="J520" s="21"/>
    </row>
    <row r="521" spans="1:10" x14ac:dyDescent="0.3">
      <c r="A521" s="21" t="s">
        <v>73</v>
      </c>
      <c r="B521" s="21" t="s">
        <v>98</v>
      </c>
      <c r="C521" s="21"/>
      <c r="D521" s="21"/>
      <c r="E521" s="21"/>
      <c r="F521" s="21"/>
      <c r="G521" s="21"/>
      <c r="H521" s="21"/>
      <c r="I521" s="21"/>
      <c r="J521" s="21"/>
    </row>
    <row r="522" spans="1:10" x14ac:dyDescent="0.3">
      <c r="A522" s="21" t="s">
        <v>186</v>
      </c>
      <c r="B522" s="21">
        <v>1</v>
      </c>
      <c r="C522" s="21"/>
      <c r="D522" s="21"/>
      <c r="E522" s="21"/>
      <c r="F522" s="21"/>
      <c r="G522" s="21"/>
      <c r="H522" s="21"/>
      <c r="I522" s="21"/>
      <c r="J522" s="21"/>
    </row>
    <row r="523" spans="1:10" x14ac:dyDescent="0.3">
      <c r="A523" s="21" t="s">
        <v>74</v>
      </c>
      <c r="B523" s="21" t="s">
        <v>399</v>
      </c>
      <c r="C523" s="21"/>
      <c r="D523" s="21"/>
      <c r="E523" s="21"/>
      <c r="F523" s="21"/>
      <c r="G523" s="21"/>
      <c r="H523" s="21"/>
      <c r="I523" s="21"/>
      <c r="J523" s="21"/>
    </row>
    <row r="524" spans="1:10" x14ac:dyDescent="0.3">
      <c r="A524" s="21" t="s">
        <v>77</v>
      </c>
      <c r="B524" s="21" t="s">
        <v>78</v>
      </c>
      <c r="C524" s="21"/>
      <c r="D524" s="21"/>
      <c r="E524" s="21"/>
      <c r="F524" s="21"/>
      <c r="G524" s="21"/>
      <c r="H524" s="21"/>
      <c r="I524" s="21"/>
      <c r="J524" s="21"/>
    </row>
    <row r="525" spans="1:10" x14ac:dyDescent="0.3">
      <c r="A525" s="21" t="s">
        <v>204</v>
      </c>
      <c r="B525" s="21" t="s">
        <v>187</v>
      </c>
      <c r="C525" s="21"/>
      <c r="D525" s="21"/>
      <c r="E525" s="21"/>
      <c r="F525" s="21"/>
      <c r="G525" s="21"/>
      <c r="H525" s="21"/>
      <c r="I525" s="21"/>
      <c r="J525" s="21"/>
    </row>
    <row r="526" spans="1:10" ht="15.6" x14ac:dyDescent="0.3">
      <c r="A526" s="11" t="s">
        <v>80</v>
      </c>
      <c r="B526" s="21"/>
      <c r="C526" s="21"/>
      <c r="D526" s="21"/>
      <c r="E526" s="21"/>
      <c r="F526" s="21"/>
      <c r="G526" s="21"/>
      <c r="H526" s="21"/>
      <c r="I526" s="21"/>
      <c r="J526" s="21"/>
    </row>
    <row r="527" spans="1:10" x14ac:dyDescent="0.3">
      <c r="A527" s="21" t="s">
        <v>81</v>
      </c>
      <c r="B527" s="21" t="s">
        <v>82</v>
      </c>
      <c r="C527" s="21" t="s">
        <v>188</v>
      </c>
      <c r="D527" s="21" t="s">
        <v>73</v>
      </c>
      <c r="E527" s="21" t="s">
        <v>77</v>
      </c>
      <c r="F527" s="21" t="s">
        <v>75</v>
      </c>
      <c r="G527" s="21" t="s">
        <v>74</v>
      </c>
      <c r="H527" s="21"/>
      <c r="I527" s="21"/>
      <c r="J527" s="21"/>
    </row>
    <row r="528" spans="1:10" x14ac:dyDescent="0.3">
      <c r="A528" s="21" t="s">
        <v>399</v>
      </c>
      <c r="B528" s="21">
        <v>1</v>
      </c>
      <c r="C528" s="21" t="s">
        <v>187</v>
      </c>
      <c r="D528" s="21" t="s">
        <v>98</v>
      </c>
      <c r="E528" s="21" t="s">
        <v>78</v>
      </c>
      <c r="F528" s="21" t="s">
        <v>85</v>
      </c>
      <c r="G528" s="21"/>
      <c r="H528" s="21"/>
      <c r="I528" s="21"/>
      <c r="J528" s="21"/>
    </row>
    <row r="529" spans="1:10" x14ac:dyDescent="0.3">
      <c r="A529" s="21" t="s">
        <v>216</v>
      </c>
      <c r="B529" s="21">
        <v>1</v>
      </c>
      <c r="C529" s="21" t="s">
        <v>193</v>
      </c>
      <c r="D529" s="21" t="s">
        <v>98</v>
      </c>
      <c r="E529" s="21" t="s">
        <v>78</v>
      </c>
      <c r="F529" s="21" t="s">
        <v>91</v>
      </c>
      <c r="G529" s="21" t="s">
        <v>217</v>
      </c>
      <c r="H529" s="21"/>
      <c r="I529" s="21"/>
      <c r="J529" s="21"/>
    </row>
    <row r="530" spans="1:10" x14ac:dyDescent="0.3">
      <c r="A530" s="21" t="s">
        <v>218</v>
      </c>
      <c r="B530" s="21">
        <v>1.5E-10</v>
      </c>
      <c r="C530" s="21" t="s">
        <v>193</v>
      </c>
      <c r="D530" s="21" t="s">
        <v>98</v>
      </c>
      <c r="E530" s="21" t="s">
        <v>77</v>
      </c>
      <c r="F530" s="21" t="s">
        <v>91</v>
      </c>
      <c r="G530" s="21" t="s">
        <v>219</v>
      </c>
      <c r="H530" s="21"/>
      <c r="I530" s="21"/>
      <c r="J530" s="21"/>
    </row>
    <row r="531" spans="1:10" x14ac:dyDescent="0.3">
      <c r="A531" s="21" t="s">
        <v>296</v>
      </c>
      <c r="B531" s="21">
        <v>1</v>
      </c>
      <c r="C531" s="21" t="s">
        <v>193</v>
      </c>
      <c r="D531" s="21" t="s">
        <v>98</v>
      </c>
      <c r="E531" s="21" t="s">
        <v>78</v>
      </c>
      <c r="F531" s="21" t="s">
        <v>91</v>
      </c>
      <c r="G531" s="21" t="s">
        <v>297</v>
      </c>
      <c r="H531" s="21"/>
      <c r="I531" s="21"/>
      <c r="J531" s="21"/>
    </row>
    <row r="532" spans="1:10" x14ac:dyDescent="0.3">
      <c r="A532" s="21"/>
      <c r="B532" s="21"/>
      <c r="C532" s="21"/>
      <c r="D532" s="21"/>
      <c r="E532" s="21"/>
      <c r="F532" s="21"/>
      <c r="G532" s="21"/>
      <c r="H532" s="21"/>
      <c r="I532" s="21"/>
      <c r="J532" s="21"/>
    </row>
    <row r="533" spans="1:10" ht="15.6" x14ac:dyDescent="0.3">
      <c r="A533" s="11" t="s">
        <v>72</v>
      </c>
      <c r="B533" s="11" t="s">
        <v>398</v>
      </c>
      <c r="C533" s="21"/>
      <c r="D533" s="21"/>
      <c r="E533" s="21"/>
      <c r="F533" s="21"/>
      <c r="G533" s="21"/>
      <c r="H533" s="21"/>
      <c r="I533" s="21"/>
      <c r="J533" s="21"/>
    </row>
    <row r="534" spans="1:10" x14ac:dyDescent="0.3">
      <c r="A534" s="21" t="s">
        <v>202</v>
      </c>
      <c r="B534" s="21" t="s">
        <v>411</v>
      </c>
      <c r="C534" s="21"/>
      <c r="D534" s="21"/>
      <c r="E534" s="21"/>
      <c r="F534" s="21"/>
      <c r="G534" s="21"/>
      <c r="H534" s="21"/>
      <c r="I534" s="21"/>
      <c r="J534" s="21"/>
    </row>
    <row r="535" spans="1:10" x14ac:dyDescent="0.3">
      <c r="A535" s="21" t="s">
        <v>84</v>
      </c>
      <c r="B535" s="21" t="s">
        <v>86</v>
      </c>
      <c r="C535" s="21"/>
      <c r="D535" s="21"/>
      <c r="E535" s="21"/>
      <c r="F535" s="21"/>
      <c r="G535" s="21"/>
      <c r="H535" s="21"/>
      <c r="I535" s="21"/>
      <c r="J535" s="21"/>
    </row>
    <row r="536" spans="1:10" x14ac:dyDescent="0.3">
      <c r="A536" s="21" t="s">
        <v>73</v>
      </c>
      <c r="B536" s="21" t="s">
        <v>98</v>
      </c>
      <c r="C536" s="21"/>
      <c r="D536" s="21"/>
      <c r="E536" s="21"/>
      <c r="F536" s="21"/>
      <c r="G536" s="21"/>
      <c r="H536" s="21"/>
      <c r="I536" s="21"/>
      <c r="J536" s="21"/>
    </row>
    <row r="537" spans="1:10" x14ac:dyDescent="0.3">
      <c r="A537" s="21" t="s">
        <v>186</v>
      </c>
      <c r="B537" s="21">
        <v>1</v>
      </c>
      <c r="C537" s="21"/>
      <c r="D537" s="21"/>
      <c r="E537" s="21"/>
      <c r="F537" s="21"/>
      <c r="G537" s="21"/>
      <c r="H537" s="21"/>
      <c r="I537" s="21"/>
      <c r="J537" s="21"/>
    </row>
    <row r="538" spans="1:10" x14ac:dyDescent="0.3">
      <c r="A538" s="21" t="s">
        <v>74</v>
      </c>
      <c r="B538" s="21" t="s">
        <v>398</v>
      </c>
      <c r="C538" s="21"/>
      <c r="D538" s="21"/>
      <c r="E538" s="21"/>
      <c r="F538" s="21"/>
      <c r="G538" s="21"/>
      <c r="H538" s="21"/>
      <c r="I538" s="21"/>
      <c r="J538" s="21"/>
    </row>
    <row r="539" spans="1:10" x14ac:dyDescent="0.3">
      <c r="A539" s="21" t="s">
        <v>77</v>
      </c>
      <c r="B539" s="21" t="s">
        <v>78</v>
      </c>
      <c r="C539" s="21"/>
      <c r="D539" s="21"/>
      <c r="E539" s="21"/>
      <c r="F539" s="21"/>
      <c r="G539" s="21"/>
      <c r="H539" s="21"/>
      <c r="I539" s="21"/>
      <c r="J539" s="21"/>
    </row>
    <row r="540" spans="1:10" x14ac:dyDescent="0.3">
      <c r="A540" s="21" t="s">
        <v>204</v>
      </c>
      <c r="B540" s="21" t="s">
        <v>187</v>
      </c>
      <c r="C540" s="21"/>
      <c r="D540" s="21"/>
      <c r="E540" s="21"/>
      <c r="F540" s="21"/>
      <c r="G540" s="21"/>
      <c r="H540" s="21"/>
      <c r="I540" s="21"/>
      <c r="J540" s="21"/>
    </row>
    <row r="541" spans="1:10" ht="15.6" x14ac:dyDescent="0.3">
      <c r="A541" s="11" t="s">
        <v>80</v>
      </c>
      <c r="B541" s="21"/>
      <c r="C541" s="21"/>
      <c r="D541" s="21"/>
      <c r="E541" s="21"/>
      <c r="F541" s="21"/>
      <c r="G541" s="21"/>
      <c r="H541" s="21"/>
      <c r="I541" s="21"/>
      <c r="J541" s="21"/>
    </row>
    <row r="542" spans="1:10" x14ac:dyDescent="0.3">
      <c r="A542" s="21" t="s">
        <v>81</v>
      </c>
      <c r="B542" s="21" t="s">
        <v>82</v>
      </c>
      <c r="C542" s="21" t="s">
        <v>188</v>
      </c>
      <c r="D542" s="21" t="s">
        <v>73</v>
      </c>
      <c r="E542" s="21" t="s">
        <v>77</v>
      </c>
      <c r="F542" s="21" t="s">
        <v>75</v>
      </c>
      <c r="G542" s="21" t="s">
        <v>74</v>
      </c>
      <c r="H542" s="21"/>
      <c r="I542" s="21"/>
      <c r="J542" s="21"/>
    </row>
    <row r="543" spans="1:10" x14ac:dyDescent="0.3">
      <c r="A543" s="21" t="s">
        <v>398</v>
      </c>
      <c r="B543" s="21">
        <v>1</v>
      </c>
      <c r="C543" s="21" t="s">
        <v>187</v>
      </c>
      <c r="D543" s="21" t="s">
        <v>98</v>
      </c>
      <c r="E543" s="21" t="s">
        <v>78</v>
      </c>
      <c r="F543" s="21" t="s">
        <v>85</v>
      </c>
      <c r="G543" s="21"/>
      <c r="H543" s="21"/>
      <c r="I543" s="21"/>
      <c r="J543" s="21"/>
    </row>
    <row r="544" spans="1:10" x14ac:dyDescent="0.3">
      <c r="A544" s="21" t="s">
        <v>294</v>
      </c>
      <c r="B544" s="21">
        <v>4.6000000000000001E-10</v>
      </c>
      <c r="C544" s="21" t="s">
        <v>193</v>
      </c>
      <c r="D544" s="21" t="s">
        <v>98</v>
      </c>
      <c r="E544" s="21" t="s">
        <v>77</v>
      </c>
      <c r="F544" s="21" t="s">
        <v>91</v>
      </c>
      <c r="G544" s="21" t="s">
        <v>295</v>
      </c>
      <c r="H544" s="21"/>
      <c r="I544" s="21"/>
      <c r="J544" s="21"/>
    </row>
    <row r="545" spans="1:10" x14ac:dyDescent="0.3">
      <c r="A545" s="21" t="s">
        <v>326</v>
      </c>
      <c r="B545" s="21">
        <v>1</v>
      </c>
      <c r="C545" s="21" t="s">
        <v>193</v>
      </c>
      <c r="D545" s="21" t="s">
        <v>98</v>
      </c>
      <c r="E545" s="21" t="s">
        <v>78</v>
      </c>
      <c r="F545" s="21" t="s">
        <v>91</v>
      </c>
      <c r="G545" s="21" t="s">
        <v>327</v>
      </c>
      <c r="H545" s="21"/>
      <c r="I545" s="21"/>
      <c r="J545" s="21"/>
    </row>
    <row r="546" spans="1:10" x14ac:dyDescent="0.3">
      <c r="A546" s="21" t="s">
        <v>332</v>
      </c>
      <c r="B546" s="21">
        <v>1</v>
      </c>
      <c r="C546" s="21" t="s">
        <v>193</v>
      </c>
      <c r="D546" s="21" t="s">
        <v>98</v>
      </c>
      <c r="E546" s="21" t="s">
        <v>78</v>
      </c>
      <c r="F546" s="21" t="s">
        <v>91</v>
      </c>
      <c r="G546" s="21" t="s">
        <v>333</v>
      </c>
      <c r="H546" s="21"/>
      <c r="I546" s="21"/>
      <c r="J546" s="21"/>
    </row>
    <row r="547" spans="1:10" x14ac:dyDescent="0.3">
      <c r="A547" s="21"/>
      <c r="B547" s="21"/>
      <c r="C547" s="21"/>
      <c r="D547" s="21"/>
      <c r="E547" s="21"/>
      <c r="F547" s="21"/>
      <c r="G547" s="21"/>
      <c r="H547" s="21"/>
      <c r="I547" s="21"/>
      <c r="J547" s="21"/>
    </row>
    <row r="548" spans="1:10" ht="15.6" x14ac:dyDescent="0.3">
      <c r="A548" s="11" t="s">
        <v>72</v>
      </c>
      <c r="B548" s="11" t="s">
        <v>251</v>
      </c>
      <c r="C548" s="21"/>
      <c r="D548" s="21"/>
      <c r="E548" s="21"/>
      <c r="F548" s="21"/>
      <c r="G548" s="21"/>
      <c r="H548" s="21"/>
      <c r="I548" s="21"/>
      <c r="J548" s="21"/>
    </row>
    <row r="549" spans="1:10" x14ac:dyDescent="0.3">
      <c r="A549" s="21" t="s">
        <v>202</v>
      </c>
      <c r="B549" s="21" t="s">
        <v>412</v>
      </c>
      <c r="C549" s="21"/>
      <c r="D549" s="21"/>
      <c r="E549" s="21"/>
      <c r="F549" s="21"/>
      <c r="G549" s="21"/>
      <c r="H549" s="21"/>
      <c r="I549" s="21"/>
      <c r="J549" s="21"/>
    </row>
    <row r="550" spans="1:10" x14ac:dyDescent="0.3">
      <c r="A550" s="21" t="s">
        <v>84</v>
      </c>
      <c r="B550" s="21" t="s">
        <v>86</v>
      </c>
      <c r="C550" s="21"/>
      <c r="D550" s="21"/>
      <c r="E550" s="21"/>
      <c r="F550" s="21"/>
      <c r="G550" s="21"/>
      <c r="H550" s="21"/>
      <c r="I550" s="21"/>
      <c r="J550" s="21"/>
    </row>
    <row r="551" spans="1:10" x14ac:dyDescent="0.3">
      <c r="A551" s="21" t="s">
        <v>73</v>
      </c>
      <c r="B551" s="21" t="s">
        <v>98</v>
      </c>
      <c r="C551" s="21"/>
      <c r="D551" s="21"/>
      <c r="E551" s="21"/>
      <c r="F551" s="21"/>
      <c r="G551" s="21"/>
      <c r="H551" s="21"/>
      <c r="I551" s="21"/>
      <c r="J551" s="21"/>
    </row>
    <row r="552" spans="1:10" x14ac:dyDescent="0.3">
      <c r="A552" s="21" t="s">
        <v>186</v>
      </c>
      <c r="B552" s="21">
        <v>1</v>
      </c>
      <c r="C552" s="21"/>
      <c r="D552" s="21"/>
      <c r="E552" s="21"/>
      <c r="F552" s="21"/>
      <c r="G552" s="21"/>
      <c r="H552" s="21"/>
      <c r="I552" s="21"/>
      <c r="J552" s="21"/>
    </row>
    <row r="553" spans="1:10" x14ac:dyDescent="0.3">
      <c r="A553" s="21" t="s">
        <v>74</v>
      </c>
      <c r="B553" s="21" t="s">
        <v>251</v>
      </c>
      <c r="C553" s="21"/>
      <c r="D553" s="21"/>
      <c r="E553" s="21"/>
      <c r="F553" s="21"/>
      <c r="G553" s="21"/>
      <c r="H553" s="21"/>
      <c r="I553" s="21"/>
      <c r="J553" s="21"/>
    </row>
    <row r="554" spans="1:10" x14ac:dyDescent="0.3">
      <c r="A554" s="21" t="s">
        <v>77</v>
      </c>
      <c r="B554" s="21" t="s">
        <v>78</v>
      </c>
      <c r="C554" s="21"/>
      <c r="D554" s="21"/>
      <c r="E554" s="21"/>
      <c r="F554" s="21"/>
      <c r="G554" s="21"/>
      <c r="H554" s="21"/>
      <c r="I554" s="21"/>
      <c r="J554" s="21"/>
    </row>
    <row r="555" spans="1:10" x14ac:dyDescent="0.3">
      <c r="A555" s="21" t="s">
        <v>204</v>
      </c>
      <c r="B555" s="21" t="s">
        <v>187</v>
      </c>
      <c r="C555" s="21"/>
      <c r="D555" s="21"/>
      <c r="E555" s="21"/>
      <c r="F555" s="21"/>
      <c r="G555" s="21"/>
      <c r="H555" s="21"/>
      <c r="I555" s="21"/>
      <c r="J555" s="21"/>
    </row>
    <row r="556" spans="1:10" ht="15.6" x14ac:dyDescent="0.3">
      <c r="A556" s="11" t="s">
        <v>80</v>
      </c>
      <c r="B556" s="21"/>
      <c r="C556" s="21"/>
      <c r="D556" s="21"/>
      <c r="E556" s="21"/>
      <c r="F556" s="21"/>
      <c r="G556" s="21"/>
      <c r="H556" s="21"/>
      <c r="I556" s="21"/>
      <c r="J556" s="21"/>
    </row>
    <row r="557" spans="1:10" x14ac:dyDescent="0.3">
      <c r="A557" s="21" t="s">
        <v>81</v>
      </c>
      <c r="B557" s="21" t="s">
        <v>82</v>
      </c>
      <c r="C557" s="21" t="s">
        <v>188</v>
      </c>
      <c r="D557" s="21" t="s">
        <v>73</v>
      </c>
      <c r="E557" s="21" t="s">
        <v>77</v>
      </c>
      <c r="F557" s="21" t="s">
        <v>75</v>
      </c>
      <c r="G557" s="21" t="s">
        <v>74</v>
      </c>
      <c r="H557" s="21"/>
      <c r="I557" s="21"/>
      <c r="J557" s="21"/>
    </row>
    <row r="558" spans="1:10" x14ac:dyDescent="0.3">
      <c r="A558" s="21" t="s">
        <v>251</v>
      </c>
      <c r="B558" s="21">
        <v>1</v>
      </c>
      <c r="C558" s="21" t="s">
        <v>187</v>
      </c>
      <c r="D558" s="21" t="s">
        <v>98</v>
      </c>
      <c r="E558" s="21" t="s">
        <v>78</v>
      </c>
      <c r="F558" s="21" t="s">
        <v>85</v>
      </c>
      <c r="G558" s="21"/>
      <c r="H558" s="21"/>
      <c r="I558" s="21"/>
      <c r="J558" s="21"/>
    </row>
    <row r="559" spans="1:10" x14ac:dyDescent="0.3">
      <c r="A559" s="21" t="s">
        <v>208</v>
      </c>
      <c r="B559" s="21">
        <v>4.0000000000000001E-10</v>
      </c>
      <c r="C559" s="21" t="s">
        <v>193</v>
      </c>
      <c r="D559" s="21" t="s">
        <v>98</v>
      </c>
      <c r="E559" s="21" t="s">
        <v>77</v>
      </c>
      <c r="F559" s="21" t="s">
        <v>91</v>
      </c>
      <c r="G559" s="21" t="s">
        <v>209</v>
      </c>
      <c r="H559" s="21"/>
      <c r="I559" s="21"/>
      <c r="J559" s="21"/>
    </row>
    <row r="560" spans="1:10" x14ac:dyDescent="0.3">
      <c r="A560" s="21" t="s">
        <v>413</v>
      </c>
      <c r="B560" s="21">
        <v>0.88</v>
      </c>
      <c r="C560" s="21" t="s">
        <v>193</v>
      </c>
      <c r="D560" s="21" t="s">
        <v>98</v>
      </c>
      <c r="E560" s="21" t="s">
        <v>78</v>
      </c>
      <c r="F560" s="21" t="s">
        <v>91</v>
      </c>
      <c r="G560" s="21" t="s">
        <v>414</v>
      </c>
      <c r="H560" s="21"/>
      <c r="I560" s="21"/>
      <c r="J560" s="21"/>
    </row>
    <row r="561" spans="1:10" x14ac:dyDescent="0.3">
      <c r="A561" s="21" t="s">
        <v>415</v>
      </c>
      <c r="B561" s="21">
        <v>0.12</v>
      </c>
      <c r="C561" s="21" t="s">
        <v>193</v>
      </c>
      <c r="D561" s="21" t="s">
        <v>98</v>
      </c>
      <c r="E561" s="21" t="s">
        <v>78</v>
      </c>
      <c r="F561" s="21" t="s">
        <v>91</v>
      </c>
      <c r="G561" s="21" t="s">
        <v>416</v>
      </c>
      <c r="H561" s="21"/>
      <c r="I561" s="21"/>
      <c r="J561" s="21"/>
    </row>
    <row r="562" spans="1:10" x14ac:dyDescent="0.3">
      <c r="A562" s="21"/>
      <c r="B562" s="21"/>
      <c r="C562" s="21"/>
      <c r="D562" s="21"/>
      <c r="E562" s="21"/>
      <c r="F562" s="21"/>
      <c r="G562" s="21"/>
      <c r="H562" s="21"/>
      <c r="I562" s="21"/>
      <c r="J562" s="21"/>
    </row>
    <row r="563" spans="1:10" ht="15.6" x14ac:dyDescent="0.3">
      <c r="A563" s="11" t="s">
        <v>72</v>
      </c>
      <c r="B563" s="11" t="s">
        <v>275</v>
      </c>
      <c r="C563" s="21"/>
      <c r="D563" s="21"/>
      <c r="E563" s="21"/>
      <c r="F563" s="21"/>
      <c r="G563" s="21"/>
      <c r="H563" s="21"/>
      <c r="I563" s="21"/>
      <c r="J563" s="21"/>
    </row>
    <row r="564" spans="1:10" x14ac:dyDescent="0.3">
      <c r="A564" s="21" t="s">
        <v>202</v>
      </c>
      <c r="B564" s="21" t="s">
        <v>417</v>
      </c>
      <c r="C564" s="21"/>
      <c r="D564" s="21"/>
      <c r="E564" s="21"/>
      <c r="F564" s="21"/>
      <c r="G564" s="21"/>
      <c r="H564" s="21"/>
      <c r="I564" s="21"/>
      <c r="J564" s="21"/>
    </row>
    <row r="565" spans="1:10" x14ac:dyDescent="0.3">
      <c r="A565" s="21" t="s">
        <v>84</v>
      </c>
      <c r="B565" s="21" t="s">
        <v>86</v>
      </c>
      <c r="C565" s="21"/>
      <c r="D565" s="21"/>
      <c r="E565" s="21"/>
      <c r="F565" s="21"/>
      <c r="G565" s="21"/>
      <c r="H565" s="21"/>
      <c r="I565" s="21"/>
      <c r="J565" s="21"/>
    </row>
    <row r="566" spans="1:10" x14ac:dyDescent="0.3">
      <c r="A566" s="21" t="s">
        <v>73</v>
      </c>
      <c r="B566" s="21" t="s">
        <v>98</v>
      </c>
      <c r="C566" s="21"/>
      <c r="D566" s="21"/>
      <c r="E566" s="21"/>
      <c r="F566" s="21"/>
      <c r="G566" s="21"/>
      <c r="H566" s="21"/>
      <c r="I566" s="21"/>
      <c r="J566" s="21"/>
    </row>
    <row r="567" spans="1:10" x14ac:dyDescent="0.3">
      <c r="A567" s="21" t="s">
        <v>186</v>
      </c>
      <c r="B567" s="21">
        <v>1</v>
      </c>
      <c r="C567" s="21"/>
      <c r="D567" s="21"/>
      <c r="E567" s="21"/>
      <c r="F567" s="21"/>
      <c r="G567" s="21"/>
      <c r="H567" s="21"/>
      <c r="I567" s="21"/>
      <c r="J567" s="21"/>
    </row>
    <row r="568" spans="1:10" x14ac:dyDescent="0.3">
      <c r="A568" s="21" t="s">
        <v>74</v>
      </c>
      <c r="B568" s="21" t="s">
        <v>275</v>
      </c>
      <c r="C568" s="21"/>
      <c r="D568" s="21"/>
      <c r="E568" s="21"/>
      <c r="F568" s="21"/>
      <c r="G568" s="21"/>
      <c r="H568" s="21"/>
      <c r="I568" s="21"/>
      <c r="J568" s="21"/>
    </row>
    <row r="569" spans="1:10" x14ac:dyDescent="0.3">
      <c r="A569" s="21" t="s">
        <v>77</v>
      </c>
      <c r="B569" s="21" t="s">
        <v>78</v>
      </c>
      <c r="C569" s="21"/>
      <c r="D569" s="21"/>
      <c r="E569" s="21"/>
      <c r="F569" s="21"/>
      <c r="G569" s="21"/>
      <c r="H569" s="21"/>
      <c r="I569" s="21"/>
      <c r="J569" s="21"/>
    </row>
    <row r="570" spans="1:10" x14ac:dyDescent="0.3">
      <c r="A570" s="21" t="s">
        <v>204</v>
      </c>
      <c r="B570" s="21" t="s">
        <v>187</v>
      </c>
      <c r="C570" s="21"/>
      <c r="D570" s="21"/>
      <c r="E570" s="21"/>
      <c r="F570" s="21"/>
      <c r="G570" s="21"/>
      <c r="H570" s="21"/>
      <c r="I570" s="21"/>
      <c r="J570" s="21"/>
    </row>
    <row r="571" spans="1:10" ht="15.6" x14ac:dyDescent="0.3">
      <c r="A571" s="11" t="s">
        <v>80</v>
      </c>
      <c r="B571" s="21"/>
      <c r="C571" s="21"/>
      <c r="D571" s="21"/>
      <c r="E571" s="21"/>
      <c r="F571" s="21"/>
      <c r="G571" s="21"/>
      <c r="H571" s="21"/>
      <c r="I571" s="21"/>
      <c r="J571" s="21"/>
    </row>
    <row r="572" spans="1:10" x14ac:dyDescent="0.3">
      <c r="A572" s="21" t="s">
        <v>81</v>
      </c>
      <c r="B572" s="21" t="s">
        <v>82</v>
      </c>
      <c r="C572" s="21" t="s">
        <v>188</v>
      </c>
      <c r="D572" s="21" t="s">
        <v>73</v>
      </c>
      <c r="E572" s="21" t="s">
        <v>77</v>
      </c>
      <c r="F572" s="21" t="s">
        <v>75</v>
      </c>
      <c r="G572" s="21" t="s">
        <v>74</v>
      </c>
      <c r="H572" s="21"/>
      <c r="I572" s="21"/>
      <c r="J572" s="21"/>
    </row>
    <row r="573" spans="1:10" x14ac:dyDescent="0.3">
      <c r="A573" s="21" t="s">
        <v>275</v>
      </c>
      <c r="B573" s="21">
        <v>1</v>
      </c>
      <c r="C573" s="21" t="s">
        <v>187</v>
      </c>
      <c r="D573" s="21" t="s">
        <v>98</v>
      </c>
      <c r="E573" s="21" t="s">
        <v>78</v>
      </c>
      <c r="F573" s="21" t="s">
        <v>85</v>
      </c>
      <c r="G573" s="21"/>
      <c r="H573" s="21"/>
      <c r="I573" s="21"/>
      <c r="J573" s="21"/>
    </row>
    <row r="574" spans="1:10" x14ac:dyDescent="0.3">
      <c r="A574" s="21" t="s">
        <v>286</v>
      </c>
      <c r="B574" s="21">
        <v>3.4000000000000002E-2</v>
      </c>
      <c r="C574" s="21" t="s">
        <v>187</v>
      </c>
      <c r="D574" s="21" t="s">
        <v>98</v>
      </c>
      <c r="E574" s="21" t="s">
        <v>78</v>
      </c>
      <c r="F574" s="21" t="s">
        <v>91</v>
      </c>
      <c r="G574" s="21"/>
      <c r="H574" s="21"/>
      <c r="I574" s="21"/>
      <c r="J574" s="21"/>
    </row>
    <row r="575" spans="1:10" x14ac:dyDescent="0.3">
      <c r="A575" s="21" t="s">
        <v>418</v>
      </c>
      <c r="B575" s="21">
        <v>1.6000000000000001E-3</v>
      </c>
      <c r="C575" s="21" t="s">
        <v>187</v>
      </c>
      <c r="D575" s="21" t="s">
        <v>98</v>
      </c>
      <c r="E575" s="21" t="s">
        <v>78</v>
      </c>
      <c r="F575" s="21" t="s">
        <v>91</v>
      </c>
      <c r="G575" s="21"/>
      <c r="H575" s="21"/>
      <c r="I575" s="21"/>
      <c r="J575" s="21"/>
    </row>
    <row r="576" spans="1:10" x14ac:dyDescent="0.3">
      <c r="A576" s="21" t="s">
        <v>419</v>
      </c>
      <c r="B576" s="21">
        <v>4.8999999999999998E-3</v>
      </c>
      <c r="C576" s="21" t="s">
        <v>187</v>
      </c>
      <c r="D576" s="21" t="s">
        <v>98</v>
      </c>
      <c r="E576" s="21" t="s">
        <v>78</v>
      </c>
      <c r="F576" s="21" t="s">
        <v>91</v>
      </c>
      <c r="G576" s="21"/>
      <c r="H576" s="21"/>
      <c r="I576" s="21"/>
      <c r="J576" s="21"/>
    </row>
    <row r="577" spans="1:10" x14ac:dyDescent="0.3">
      <c r="A577" s="21" t="s">
        <v>420</v>
      </c>
      <c r="B577" s="21">
        <v>0.4</v>
      </c>
      <c r="C577" s="21" t="s">
        <v>187</v>
      </c>
      <c r="D577" s="21" t="s">
        <v>98</v>
      </c>
      <c r="E577" s="21" t="s">
        <v>78</v>
      </c>
      <c r="F577" s="21" t="s">
        <v>91</v>
      </c>
      <c r="G577" s="21"/>
      <c r="H577" s="21"/>
      <c r="I577" s="21"/>
      <c r="J577" s="21"/>
    </row>
    <row r="578" spans="1:10" x14ac:dyDescent="0.3">
      <c r="A578" s="21" t="s">
        <v>421</v>
      </c>
      <c r="B578" s="21">
        <v>4.8000000000000001E-2</v>
      </c>
      <c r="C578" s="21" t="s">
        <v>187</v>
      </c>
      <c r="D578" s="21" t="s">
        <v>98</v>
      </c>
      <c r="E578" s="21" t="s">
        <v>78</v>
      </c>
      <c r="F578" s="21" t="s">
        <v>91</v>
      </c>
      <c r="G578" s="21"/>
      <c r="H578" s="21"/>
      <c r="I578" s="21"/>
      <c r="J578" s="21"/>
    </row>
    <row r="579" spans="1:10" x14ac:dyDescent="0.3">
      <c r="A579" s="21" t="s">
        <v>422</v>
      </c>
      <c r="B579" s="21">
        <v>2.8000000000000001E-2</v>
      </c>
      <c r="C579" s="21" t="s">
        <v>187</v>
      </c>
      <c r="D579" s="21" t="s">
        <v>98</v>
      </c>
      <c r="E579" s="21" t="s">
        <v>78</v>
      </c>
      <c r="F579" s="21" t="s">
        <v>91</v>
      </c>
      <c r="G579" s="21"/>
      <c r="H579" s="21"/>
      <c r="I579" s="21"/>
      <c r="J579" s="21"/>
    </row>
    <row r="580" spans="1:10" x14ac:dyDescent="0.3">
      <c r="A580" s="21" t="s">
        <v>423</v>
      </c>
      <c r="B580" s="21">
        <v>0.48</v>
      </c>
      <c r="C580" s="21" t="s">
        <v>187</v>
      </c>
      <c r="D580" s="21" t="s">
        <v>98</v>
      </c>
      <c r="E580" s="21" t="s">
        <v>78</v>
      </c>
      <c r="F580" s="21" t="s">
        <v>91</v>
      </c>
      <c r="G580" s="21"/>
      <c r="H580" s="21"/>
      <c r="I580" s="21"/>
      <c r="J580" s="21"/>
    </row>
    <row r="581" spans="1:10" x14ac:dyDescent="0.3">
      <c r="A581" s="21" t="s">
        <v>239</v>
      </c>
      <c r="B581" s="21">
        <v>1.9000000000000001E-8</v>
      </c>
      <c r="C581" s="21" t="s">
        <v>193</v>
      </c>
      <c r="D581" s="21" t="s">
        <v>98</v>
      </c>
      <c r="E581" s="21" t="s">
        <v>77</v>
      </c>
      <c r="F581" s="21" t="s">
        <v>91</v>
      </c>
      <c r="G581" s="21" t="s">
        <v>240</v>
      </c>
      <c r="H581" s="21"/>
      <c r="I581" s="21"/>
      <c r="J581" s="21"/>
    </row>
    <row r="582" spans="1:10" x14ac:dyDescent="0.3">
      <c r="A582" s="21" t="s">
        <v>267</v>
      </c>
      <c r="B582" s="21">
        <v>0.2</v>
      </c>
      <c r="C582" s="21" t="s">
        <v>193</v>
      </c>
      <c r="D582" s="21" t="s">
        <v>268</v>
      </c>
      <c r="E582" s="21" t="s">
        <v>243</v>
      </c>
      <c r="F582" s="21" t="s">
        <v>91</v>
      </c>
      <c r="G582" s="21" t="s">
        <v>269</v>
      </c>
      <c r="H582" s="21"/>
      <c r="I582" s="21"/>
      <c r="J582" s="21"/>
    </row>
    <row r="583" spans="1:10" x14ac:dyDescent="0.3">
      <c r="A583" s="21" t="s">
        <v>270</v>
      </c>
      <c r="B583" s="21">
        <v>0.1</v>
      </c>
      <c r="C583" s="21" t="s">
        <v>193</v>
      </c>
      <c r="D583" s="21" t="s">
        <v>242</v>
      </c>
      <c r="E583" s="21" t="s">
        <v>243</v>
      </c>
      <c r="F583" s="21" t="s">
        <v>91</v>
      </c>
      <c r="G583" s="21" t="s">
        <v>271</v>
      </c>
      <c r="H583" s="21"/>
      <c r="I583" s="21"/>
      <c r="J583" s="21"/>
    </row>
    <row r="584" spans="1:10" x14ac:dyDescent="0.3">
      <c r="A584" s="21"/>
      <c r="B584" s="21"/>
      <c r="C584" s="21"/>
      <c r="D584" s="21"/>
      <c r="E584" s="21"/>
      <c r="F584" s="21"/>
      <c r="G584" s="21"/>
      <c r="H584" s="21"/>
      <c r="I584" s="21"/>
      <c r="J584" s="21"/>
    </row>
    <row r="585" spans="1:10" ht="15.6" x14ac:dyDescent="0.3">
      <c r="A585" s="11" t="s">
        <v>72</v>
      </c>
      <c r="B585" s="11" t="s">
        <v>418</v>
      </c>
      <c r="C585" s="21"/>
      <c r="D585" s="21"/>
      <c r="E585" s="21"/>
      <c r="F585" s="21"/>
      <c r="G585" s="21"/>
      <c r="H585" s="21"/>
      <c r="I585" s="21"/>
      <c r="J585" s="21"/>
    </row>
    <row r="586" spans="1:10" x14ac:dyDescent="0.3">
      <c r="A586" s="21" t="s">
        <v>202</v>
      </c>
      <c r="B586" s="21" t="s">
        <v>424</v>
      </c>
      <c r="C586" s="21"/>
      <c r="D586" s="21"/>
      <c r="E586" s="21"/>
      <c r="F586" s="21"/>
      <c r="G586" s="21"/>
      <c r="H586" s="21"/>
      <c r="I586" s="21"/>
      <c r="J586" s="21"/>
    </row>
    <row r="587" spans="1:10" x14ac:dyDescent="0.3">
      <c r="A587" s="21" t="s">
        <v>84</v>
      </c>
      <c r="B587" s="21" t="s">
        <v>86</v>
      </c>
      <c r="C587" s="21"/>
      <c r="D587" s="21"/>
      <c r="E587" s="21"/>
      <c r="F587" s="21"/>
      <c r="G587" s="21"/>
      <c r="H587" s="21"/>
      <c r="I587" s="21"/>
      <c r="J587" s="21"/>
    </row>
    <row r="588" spans="1:10" x14ac:dyDescent="0.3">
      <c r="A588" s="21" t="s">
        <v>73</v>
      </c>
      <c r="B588" s="21" t="s">
        <v>98</v>
      </c>
      <c r="C588" s="21"/>
      <c r="D588" s="21"/>
      <c r="E588" s="21"/>
      <c r="F588" s="21"/>
      <c r="G588" s="21"/>
      <c r="H588" s="21"/>
      <c r="I588" s="21"/>
      <c r="J588" s="21"/>
    </row>
    <row r="589" spans="1:10" x14ac:dyDescent="0.3">
      <c r="A589" s="21" t="s">
        <v>186</v>
      </c>
      <c r="B589" s="21">
        <v>1</v>
      </c>
      <c r="C589" s="21"/>
      <c r="D589" s="21"/>
      <c r="E589" s="21"/>
      <c r="F589" s="21"/>
      <c r="G589" s="21"/>
      <c r="H589" s="21"/>
      <c r="I589" s="21"/>
      <c r="J589" s="21"/>
    </row>
    <row r="590" spans="1:10" x14ac:dyDescent="0.3">
      <c r="A590" s="21" t="s">
        <v>74</v>
      </c>
      <c r="B590" s="21" t="s">
        <v>418</v>
      </c>
      <c r="C590" s="21"/>
      <c r="D590" s="21"/>
      <c r="E590" s="21"/>
      <c r="F590" s="21"/>
      <c r="G590" s="21"/>
      <c r="H590" s="21"/>
      <c r="I590" s="21"/>
      <c r="J590" s="21"/>
    </row>
    <row r="591" spans="1:10" x14ac:dyDescent="0.3">
      <c r="A591" s="21" t="s">
        <v>77</v>
      </c>
      <c r="B591" s="21" t="s">
        <v>78</v>
      </c>
      <c r="C591" s="21"/>
      <c r="D591" s="21"/>
      <c r="E591" s="21"/>
      <c r="F591" s="21"/>
      <c r="G591" s="21"/>
      <c r="H591" s="21"/>
      <c r="I591" s="21"/>
      <c r="J591" s="21"/>
    </row>
    <row r="592" spans="1:10" x14ac:dyDescent="0.3">
      <c r="A592" s="21" t="s">
        <v>204</v>
      </c>
      <c r="B592" s="21" t="s">
        <v>187</v>
      </c>
      <c r="C592" s="21"/>
      <c r="D592" s="21"/>
      <c r="E592" s="21"/>
      <c r="F592" s="21"/>
      <c r="G592" s="21"/>
      <c r="H592" s="21"/>
      <c r="I592" s="21"/>
      <c r="J592" s="21"/>
    </row>
    <row r="593" spans="1:10" ht="15.6" x14ac:dyDescent="0.3">
      <c r="A593" s="11" t="s">
        <v>80</v>
      </c>
      <c r="B593" s="21"/>
      <c r="C593" s="21"/>
      <c r="D593" s="21"/>
      <c r="E593" s="21"/>
      <c r="F593" s="21"/>
      <c r="G593" s="21"/>
      <c r="H593" s="21"/>
      <c r="I593" s="21"/>
      <c r="J593" s="21"/>
    </row>
    <row r="594" spans="1:10" x14ac:dyDescent="0.3">
      <c r="A594" s="21" t="s">
        <v>81</v>
      </c>
      <c r="B594" s="21" t="s">
        <v>82</v>
      </c>
      <c r="C594" s="21" t="s">
        <v>188</v>
      </c>
      <c r="D594" s="21" t="s">
        <v>73</v>
      </c>
      <c r="E594" s="21" t="s">
        <v>77</v>
      </c>
      <c r="F594" s="21" t="s">
        <v>75</v>
      </c>
      <c r="G594" s="21" t="s">
        <v>74</v>
      </c>
      <c r="H594" s="21"/>
      <c r="I594" s="21"/>
      <c r="J594" s="21"/>
    </row>
    <row r="595" spans="1:10" x14ac:dyDescent="0.3">
      <c r="A595" s="21" t="s">
        <v>418</v>
      </c>
      <c r="B595" s="21">
        <v>1</v>
      </c>
      <c r="C595" s="21" t="s">
        <v>187</v>
      </c>
      <c r="D595" s="21" t="s">
        <v>98</v>
      </c>
      <c r="E595" s="21" t="s">
        <v>78</v>
      </c>
      <c r="F595" s="21" t="s">
        <v>85</v>
      </c>
      <c r="G595" s="21"/>
      <c r="H595" s="21"/>
      <c r="I595" s="21"/>
      <c r="J595" s="21"/>
    </row>
    <row r="596" spans="1:10" x14ac:dyDescent="0.3">
      <c r="A596" s="21" t="s">
        <v>216</v>
      </c>
      <c r="B596" s="21">
        <v>1</v>
      </c>
      <c r="C596" s="21" t="s">
        <v>193</v>
      </c>
      <c r="D596" s="21" t="s">
        <v>98</v>
      </c>
      <c r="E596" s="21" t="s">
        <v>78</v>
      </c>
      <c r="F596" s="21" t="s">
        <v>91</v>
      </c>
      <c r="G596" s="21" t="s">
        <v>217</v>
      </c>
      <c r="H596" s="21"/>
      <c r="I596" s="21"/>
      <c r="J596" s="21"/>
    </row>
    <row r="597" spans="1:10" x14ac:dyDescent="0.3">
      <c r="A597" s="21" t="s">
        <v>288</v>
      </c>
      <c r="B597" s="21">
        <v>9.0999999999999998E-2</v>
      </c>
      <c r="C597" s="21" t="s">
        <v>193</v>
      </c>
      <c r="D597" s="21" t="s">
        <v>98</v>
      </c>
      <c r="E597" s="21" t="s">
        <v>78</v>
      </c>
      <c r="F597" s="21" t="s">
        <v>91</v>
      </c>
      <c r="G597" s="21" t="s">
        <v>289</v>
      </c>
      <c r="H597" s="21"/>
      <c r="I597" s="21"/>
      <c r="J597" s="21"/>
    </row>
    <row r="598" spans="1:10" x14ac:dyDescent="0.3">
      <c r="A598" s="21" t="s">
        <v>218</v>
      </c>
      <c r="B598" s="21">
        <v>1.4000000000000001E-10</v>
      </c>
      <c r="C598" s="21" t="s">
        <v>193</v>
      </c>
      <c r="D598" s="21" t="s">
        <v>98</v>
      </c>
      <c r="E598" s="21" t="s">
        <v>77</v>
      </c>
      <c r="F598" s="21" t="s">
        <v>91</v>
      </c>
      <c r="G598" s="21" t="s">
        <v>219</v>
      </c>
      <c r="H598" s="21"/>
      <c r="I598" s="21"/>
      <c r="J598" s="21"/>
    </row>
    <row r="599" spans="1:10" x14ac:dyDescent="0.3">
      <c r="A599" s="21" t="s">
        <v>292</v>
      </c>
      <c r="B599" s="21">
        <v>9.0999999999999998E-2</v>
      </c>
      <c r="C599" s="21" t="s">
        <v>193</v>
      </c>
      <c r="D599" s="21" t="s">
        <v>98</v>
      </c>
      <c r="E599" s="21" t="s">
        <v>78</v>
      </c>
      <c r="F599" s="21" t="s">
        <v>91</v>
      </c>
      <c r="G599" s="21" t="s">
        <v>293</v>
      </c>
      <c r="H599" s="21"/>
      <c r="I599" s="21"/>
      <c r="J599" s="21"/>
    </row>
    <row r="600" spans="1:10" x14ac:dyDescent="0.3">
      <c r="A600" s="21" t="s">
        <v>296</v>
      </c>
      <c r="B600" s="21">
        <v>0.91</v>
      </c>
      <c r="C600" s="21" t="s">
        <v>193</v>
      </c>
      <c r="D600" s="21" t="s">
        <v>98</v>
      </c>
      <c r="E600" s="21" t="s">
        <v>78</v>
      </c>
      <c r="F600" s="21" t="s">
        <v>91</v>
      </c>
      <c r="G600" s="21" t="s">
        <v>297</v>
      </c>
      <c r="H600" s="21"/>
      <c r="I600" s="21"/>
      <c r="J600" s="21"/>
    </row>
    <row r="601" spans="1:10" x14ac:dyDescent="0.3">
      <c r="A601" s="21" t="s">
        <v>300</v>
      </c>
      <c r="B601" s="21">
        <v>6.7000000000000001E-11</v>
      </c>
      <c r="C601" s="21" t="s">
        <v>193</v>
      </c>
      <c r="D601" s="21" t="s">
        <v>98</v>
      </c>
      <c r="E601" s="21" t="s">
        <v>77</v>
      </c>
      <c r="F601" s="21" t="s">
        <v>91</v>
      </c>
      <c r="G601" s="21" t="s">
        <v>301</v>
      </c>
      <c r="H601" s="21"/>
      <c r="I601" s="21"/>
      <c r="J601" s="21"/>
    </row>
    <row r="602" spans="1:10" x14ac:dyDescent="0.3">
      <c r="A602" s="21"/>
      <c r="B602" s="21"/>
      <c r="C602" s="21"/>
      <c r="D602" s="21"/>
      <c r="E602" s="21"/>
      <c r="F602" s="21"/>
      <c r="G602" s="21"/>
      <c r="H602" s="21"/>
      <c r="I602" s="21"/>
      <c r="J602" s="21"/>
    </row>
    <row r="603" spans="1:10" ht="15.6" x14ac:dyDescent="0.3">
      <c r="A603" s="11" t="s">
        <v>72</v>
      </c>
      <c r="B603" s="11" t="s">
        <v>419</v>
      </c>
      <c r="C603" s="21"/>
      <c r="D603" s="21"/>
      <c r="E603" s="21"/>
      <c r="F603" s="21"/>
      <c r="G603" s="21"/>
      <c r="H603" s="21"/>
      <c r="I603" s="21"/>
      <c r="J603" s="21"/>
    </row>
    <row r="604" spans="1:10" x14ac:dyDescent="0.3">
      <c r="A604" s="21" t="s">
        <v>202</v>
      </c>
      <c r="B604" s="21" t="s">
        <v>425</v>
      </c>
      <c r="C604" s="21"/>
      <c r="D604" s="21"/>
      <c r="E604" s="21"/>
      <c r="F604" s="21"/>
      <c r="G604" s="21"/>
      <c r="H604" s="21"/>
      <c r="I604" s="21"/>
      <c r="J604" s="21"/>
    </row>
    <row r="605" spans="1:10" x14ac:dyDescent="0.3">
      <c r="A605" s="21" t="s">
        <v>84</v>
      </c>
      <c r="B605" s="21" t="s">
        <v>86</v>
      </c>
      <c r="C605" s="21"/>
      <c r="D605" s="21"/>
      <c r="E605" s="21"/>
      <c r="F605" s="21"/>
      <c r="G605" s="21"/>
      <c r="H605" s="21"/>
      <c r="I605" s="21"/>
      <c r="J605" s="21"/>
    </row>
    <row r="606" spans="1:10" x14ac:dyDescent="0.3">
      <c r="A606" s="21" t="s">
        <v>73</v>
      </c>
      <c r="B606" s="21" t="s">
        <v>98</v>
      </c>
      <c r="C606" s="21"/>
      <c r="D606" s="21"/>
      <c r="E606" s="21"/>
      <c r="F606" s="21"/>
      <c r="G606" s="21"/>
      <c r="H606" s="21"/>
      <c r="I606" s="21"/>
      <c r="J606" s="21"/>
    </row>
    <row r="607" spans="1:10" x14ac:dyDescent="0.3">
      <c r="A607" s="21" t="s">
        <v>186</v>
      </c>
      <c r="B607" s="21">
        <v>1</v>
      </c>
      <c r="C607" s="21"/>
      <c r="D607" s="21"/>
      <c r="E607" s="21"/>
      <c r="F607" s="21"/>
      <c r="G607" s="21"/>
      <c r="H607" s="21"/>
      <c r="I607" s="21"/>
      <c r="J607" s="21"/>
    </row>
    <row r="608" spans="1:10" x14ac:dyDescent="0.3">
      <c r="A608" s="21" t="s">
        <v>74</v>
      </c>
      <c r="B608" s="21" t="s">
        <v>419</v>
      </c>
      <c r="C608" s="21"/>
      <c r="D608" s="21"/>
      <c r="E608" s="21"/>
      <c r="F608" s="21"/>
      <c r="G608" s="21"/>
      <c r="H608" s="21"/>
      <c r="I608" s="21"/>
      <c r="J608" s="21"/>
    </row>
    <row r="609" spans="1:10" x14ac:dyDescent="0.3">
      <c r="A609" s="21" t="s">
        <v>77</v>
      </c>
      <c r="B609" s="21" t="s">
        <v>78</v>
      </c>
      <c r="C609" s="21"/>
      <c r="D609" s="21"/>
      <c r="E609" s="21"/>
      <c r="F609" s="21"/>
      <c r="G609" s="21"/>
      <c r="H609" s="21"/>
      <c r="I609" s="21"/>
      <c r="J609" s="21"/>
    </row>
    <row r="610" spans="1:10" x14ac:dyDescent="0.3">
      <c r="A610" s="21" t="s">
        <v>204</v>
      </c>
      <c r="B610" s="21" t="s">
        <v>187</v>
      </c>
      <c r="C610" s="21"/>
      <c r="D610" s="21"/>
      <c r="E610" s="21"/>
      <c r="F610" s="21"/>
      <c r="G610" s="21"/>
      <c r="H610" s="21"/>
      <c r="I610" s="21"/>
      <c r="J610" s="21"/>
    </row>
    <row r="611" spans="1:10" ht="15.6" x14ac:dyDescent="0.3">
      <c r="A611" s="11" t="s">
        <v>80</v>
      </c>
      <c r="B611" s="21"/>
      <c r="C611" s="21"/>
      <c r="D611" s="21"/>
      <c r="E611" s="21"/>
      <c r="F611" s="21"/>
      <c r="G611" s="21"/>
      <c r="H611" s="21"/>
      <c r="I611" s="21"/>
      <c r="J611" s="21"/>
    </row>
    <row r="612" spans="1:10" x14ac:dyDescent="0.3">
      <c r="A612" s="21" t="s">
        <v>81</v>
      </c>
      <c r="B612" s="21" t="s">
        <v>82</v>
      </c>
      <c r="C612" s="21" t="s">
        <v>188</v>
      </c>
      <c r="D612" s="21" t="s">
        <v>73</v>
      </c>
      <c r="E612" s="21" t="s">
        <v>77</v>
      </c>
      <c r="F612" s="21" t="s">
        <v>75</v>
      </c>
      <c r="G612" s="21" t="s">
        <v>74</v>
      </c>
      <c r="H612" s="21"/>
      <c r="I612" s="21"/>
      <c r="J612" s="21"/>
    </row>
    <row r="613" spans="1:10" x14ac:dyDescent="0.3">
      <c r="A613" s="21" t="s">
        <v>419</v>
      </c>
      <c r="B613" s="21">
        <v>1</v>
      </c>
      <c r="C613" s="21" t="s">
        <v>187</v>
      </c>
      <c r="D613" s="21" t="s">
        <v>98</v>
      </c>
      <c r="E613" s="21" t="s">
        <v>78</v>
      </c>
      <c r="F613" s="21" t="s">
        <v>85</v>
      </c>
      <c r="G613" s="21"/>
      <c r="H613" s="21"/>
      <c r="I613" s="21"/>
      <c r="J613" s="21"/>
    </row>
    <row r="614" spans="1:10" x14ac:dyDescent="0.3">
      <c r="A614" s="21" t="s">
        <v>288</v>
      </c>
      <c r="B614" s="21">
        <v>3.1E-2</v>
      </c>
      <c r="C614" s="21" t="s">
        <v>193</v>
      </c>
      <c r="D614" s="21" t="s">
        <v>98</v>
      </c>
      <c r="E614" s="21" t="s">
        <v>78</v>
      </c>
      <c r="F614" s="21" t="s">
        <v>91</v>
      </c>
      <c r="G614" s="21" t="s">
        <v>289</v>
      </c>
      <c r="H614" s="21"/>
      <c r="I614" s="21"/>
      <c r="J614" s="21"/>
    </row>
    <row r="615" spans="1:10" x14ac:dyDescent="0.3">
      <c r="A615" s="21" t="s">
        <v>290</v>
      </c>
      <c r="B615" s="21">
        <v>0.82</v>
      </c>
      <c r="C615" s="21" t="s">
        <v>193</v>
      </c>
      <c r="D615" s="21" t="s">
        <v>98</v>
      </c>
      <c r="E615" s="21" t="s">
        <v>78</v>
      </c>
      <c r="F615" s="21" t="s">
        <v>91</v>
      </c>
      <c r="G615" s="21" t="s">
        <v>291</v>
      </c>
      <c r="H615" s="21"/>
      <c r="I615" s="21"/>
      <c r="J615" s="21"/>
    </row>
    <row r="616" spans="1:10" x14ac:dyDescent="0.3">
      <c r="A616" s="21" t="s">
        <v>290</v>
      </c>
      <c r="B616" s="21">
        <v>0.15</v>
      </c>
      <c r="C616" s="21" t="s">
        <v>193</v>
      </c>
      <c r="D616" s="21" t="s">
        <v>98</v>
      </c>
      <c r="E616" s="21" t="s">
        <v>78</v>
      </c>
      <c r="F616" s="21" t="s">
        <v>91</v>
      </c>
      <c r="G616" s="21" t="s">
        <v>291</v>
      </c>
      <c r="H616" s="21"/>
      <c r="I616" s="21"/>
      <c r="J616" s="21"/>
    </row>
    <row r="617" spans="1:10" x14ac:dyDescent="0.3">
      <c r="A617" s="21" t="s">
        <v>292</v>
      </c>
      <c r="B617" s="21">
        <v>3.1E-2</v>
      </c>
      <c r="C617" s="21" t="s">
        <v>193</v>
      </c>
      <c r="D617" s="21" t="s">
        <v>98</v>
      </c>
      <c r="E617" s="21" t="s">
        <v>78</v>
      </c>
      <c r="F617" s="21" t="s">
        <v>91</v>
      </c>
      <c r="G617" s="21" t="s">
        <v>293</v>
      </c>
      <c r="H617" s="21"/>
      <c r="I617" s="21"/>
      <c r="J617" s="21"/>
    </row>
    <row r="618" spans="1:10" x14ac:dyDescent="0.3">
      <c r="A618" s="21" t="s">
        <v>294</v>
      </c>
      <c r="B618" s="21">
        <v>4.3999999999999998E-10</v>
      </c>
      <c r="C618" s="21" t="s">
        <v>193</v>
      </c>
      <c r="D618" s="21" t="s">
        <v>98</v>
      </c>
      <c r="E618" s="21" t="s">
        <v>77</v>
      </c>
      <c r="F618" s="21" t="s">
        <v>91</v>
      </c>
      <c r="G618" s="21" t="s">
        <v>295</v>
      </c>
      <c r="H618" s="21"/>
      <c r="I618" s="21"/>
      <c r="J618" s="21"/>
    </row>
    <row r="619" spans="1:10" x14ac:dyDescent="0.3">
      <c r="A619" s="21" t="s">
        <v>298</v>
      </c>
      <c r="B619" s="21">
        <v>0.97</v>
      </c>
      <c r="C619" s="21" t="s">
        <v>193</v>
      </c>
      <c r="D619" s="21" t="s">
        <v>98</v>
      </c>
      <c r="E619" s="21" t="s">
        <v>78</v>
      </c>
      <c r="F619" s="21" t="s">
        <v>91</v>
      </c>
      <c r="G619" s="21" t="s">
        <v>299</v>
      </c>
      <c r="H619" s="21"/>
      <c r="I619" s="21"/>
      <c r="J619" s="21"/>
    </row>
    <row r="620" spans="1:10" x14ac:dyDescent="0.3">
      <c r="A620" s="21" t="s">
        <v>300</v>
      </c>
      <c r="B620" s="21">
        <v>2.3000000000000001E-11</v>
      </c>
      <c r="C620" s="21" t="s">
        <v>193</v>
      </c>
      <c r="D620" s="21" t="s">
        <v>98</v>
      </c>
      <c r="E620" s="21" t="s">
        <v>77</v>
      </c>
      <c r="F620" s="21" t="s">
        <v>91</v>
      </c>
      <c r="G620" s="21" t="s">
        <v>301</v>
      </c>
      <c r="H620" s="21"/>
      <c r="I620" s="21"/>
      <c r="J620" s="21"/>
    </row>
    <row r="621" spans="1:10" x14ac:dyDescent="0.3">
      <c r="A621" s="21"/>
      <c r="B621" s="21"/>
      <c r="C621" s="21"/>
      <c r="D621" s="21"/>
      <c r="E621" s="21"/>
      <c r="F621" s="21"/>
      <c r="G621" s="21"/>
      <c r="H621" s="21"/>
      <c r="I621" s="21"/>
      <c r="J621" s="21"/>
    </row>
    <row r="622" spans="1:10" ht="15.6" x14ac:dyDescent="0.3">
      <c r="A622" s="11" t="s">
        <v>72</v>
      </c>
      <c r="B622" s="11" t="s">
        <v>277</v>
      </c>
      <c r="C622" s="21"/>
      <c r="D622" s="21"/>
      <c r="E622" s="21"/>
      <c r="F622" s="21"/>
      <c r="G622" s="21"/>
      <c r="H622" s="21"/>
      <c r="I622" s="21"/>
      <c r="J622" s="21"/>
    </row>
    <row r="623" spans="1:10" x14ac:dyDescent="0.3">
      <c r="A623" s="21" t="s">
        <v>202</v>
      </c>
      <c r="B623" s="21" t="s">
        <v>426</v>
      </c>
      <c r="C623" s="21"/>
      <c r="D623" s="21"/>
      <c r="E623" s="21"/>
      <c r="F623" s="21"/>
      <c r="G623" s="21"/>
      <c r="H623" s="21"/>
      <c r="I623" s="21"/>
      <c r="J623" s="21"/>
    </row>
    <row r="624" spans="1:10" x14ac:dyDescent="0.3">
      <c r="A624" s="21" t="s">
        <v>84</v>
      </c>
      <c r="B624" s="21" t="s">
        <v>86</v>
      </c>
      <c r="C624" s="21"/>
      <c r="D624" s="21"/>
      <c r="E624" s="21"/>
      <c r="F624" s="21"/>
      <c r="G624" s="21"/>
      <c r="H624" s="21"/>
      <c r="I624" s="21"/>
      <c r="J624" s="21"/>
    </row>
    <row r="625" spans="1:10" x14ac:dyDescent="0.3">
      <c r="A625" s="21" t="s">
        <v>73</v>
      </c>
      <c r="B625" s="21" t="s">
        <v>98</v>
      </c>
      <c r="C625" s="21"/>
      <c r="D625" s="21"/>
      <c r="E625" s="21"/>
      <c r="F625" s="21"/>
      <c r="G625" s="21"/>
      <c r="H625" s="21"/>
      <c r="I625" s="21"/>
      <c r="J625" s="21"/>
    </row>
    <row r="626" spans="1:10" x14ac:dyDescent="0.3">
      <c r="A626" s="21" t="s">
        <v>186</v>
      </c>
      <c r="B626" s="21">
        <v>1</v>
      </c>
      <c r="C626" s="21"/>
      <c r="D626" s="21"/>
      <c r="E626" s="21"/>
      <c r="F626" s="21"/>
      <c r="G626" s="21"/>
      <c r="H626" s="21"/>
      <c r="I626" s="21"/>
      <c r="J626" s="21"/>
    </row>
    <row r="627" spans="1:10" x14ac:dyDescent="0.3">
      <c r="A627" s="21" t="s">
        <v>74</v>
      </c>
      <c r="B627" s="21" t="s">
        <v>277</v>
      </c>
      <c r="C627" s="21"/>
      <c r="D627" s="21"/>
      <c r="E627" s="21"/>
      <c r="F627" s="21"/>
      <c r="G627" s="21"/>
      <c r="H627" s="21"/>
      <c r="I627" s="21"/>
      <c r="J627" s="21"/>
    </row>
    <row r="628" spans="1:10" x14ac:dyDescent="0.3">
      <c r="A628" s="21" t="s">
        <v>77</v>
      </c>
      <c r="B628" s="21" t="s">
        <v>78</v>
      </c>
      <c r="C628" s="21"/>
      <c r="D628" s="21"/>
      <c r="E628" s="21"/>
      <c r="F628" s="21"/>
      <c r="G628" s="21"/>
      <c r="H628" s="21"/>
      <c r="I628" s="21"/>
      <c r="J628" s="21"/>
    </row>
    <row r="629" spans="1:10" x14ac:dyDescent="0.3">
      <c r="A629" s="21" t="s">
        <v>204</v>
      </c>
      <c r="B629" s="21" t="s">
        <v>187</v>
      </c>
      <c r="C629" s="21"/>
      <c r="D629" s="21"/>
      <c r="E629" s="21"/>
      <c r="F629" s="21"/>
      <c r="G629" s="21"/>
      <c r="H629" s="21"/>
      <c r="I629" s="21"/>
      <c r="J629" s="21"/>
    </row>
    <row r="630" spans="1:10" ht="15.6" x14ac:dyDescent="0.3">
      <c r="A630" s="11" t="s">
        <v>80</v>
      </c>
      <c r="B630" s="21"/>
      <c r="C630" s="21"/>
      <c r="D630" s="21"/>
      <c r="E630" s="21"/>
      <c r="F630" s="21"/>
      <c r="G630" s="21"/>
      <c r="H630" s="21"/>
      <c r="I630" s="21"/>
      <c r="J630" s="21"/>
    </row>
    <row r="631" spans="1:10" x14ac:dyDescent="0.3">
      <c r="A631" s="21" t="s">
        <v>81</v>
      </c>
      <c r="B631" s="21" t="s">
        <v>82</v>
      </c>
      <c r="C631" s="21" t="s">
        <v>188</v>
      </c>
      <c r="D631" s="21" t="s">
        <v>73</v>
      </c>
      <c r="E631" s="21" t="s">
        <v>77</v>
      </c>
      <c r="F631" s="21" t="s">
        <v>75</v>
      </c>
      <c r="G631" s="21" t="s">
        <v>74</v>
      </c>
      <c r="H631" s="21"/>
      <c r="I631" s="21"/>
      <c r="J631" s="21"/>
    </row>
    <row r="632" spans="1:10" x14ac:dyDescent="0.3">
      <c r="A632" s="21" t="s">
        <v>277</v>
      </c>
      <c r="B632" s="21">
        <v>1</v>
      </c>
      <c r="C632" s="21" t="s">
        <v>187</v>
      </c>
      <c r="D632" s="21" t="s">
        <v>98</v>
      </c>
      <c r="E632" s="21" t="s">
        <v>78</v>
      </c>
      <c r="F632" s="21" t="s">
        <v>85</v>
      </c>
      <c r="G632" s="21"/>
      <c r="H632" s="21"/>
      <c r="I632" s="21"/>
      <c r="J632" s="21"/>
    </row>
    <row r="633" spans="1:10" x14ac:dyDescent="0.3">
      <c r="A633" s="21" t="s">
        <v>294</v>
      </c>
      <c r="B633" s="21">
        <v>4.6000000000000001E-10</v>
      </c>
      <c r="C633" s="21" t="s">
        <v>193</v>
      </c>
      <c r="D633" s="21" t="s">
        <v>98</v>
      </c>
      <c r="E633" s="21" t="s">
        <v>77</v>
      </c>
      <c r="F633" s="21" t="s">
        <v>91</v>
      </c>
      <c r="G633" s="21" t="s">
        <v>295</v>
      </c>
      <c r="H633" s="21"/>
      <c r="I633" s="21"/>
      <c r="J633" s="21"/>
    </row>
    <row r="634" spans="1:10" x14ac:dyDescent="0.3">
      <c r="A634" s="21" t="s">
        <v>326</v>
      </c>
      <c r="B634" s="21">
        <v>1</v>
      </c>
      <c r="C634" s="21" t="s">
        <v>193</v>
      </c>
      <c r="D634" s="21" t="s">
        <v>98</v>
      </c>
      <c r="E634" s="21" t="s">
        <v>78</v>
      </c>
      <c r="F634" s="21" t="s">
        <v>91</v>
      </c>
      <c r="G634" s="21" t="s">
        <v>327</v>
      </c>
      <c r="H634" s="21"/>
      <c r="I634" s="21"/>
      <c r="J634" s="21"/>
    </row>
    <row r="635" spans="1:10" x14ac:dyDescent="0.3">
      <c r="A635" s="21" t="s">
        <v>332</v>
      </c>
      <c r="B635" s="21">
        <v>1</v>
      </c>
      <c r="C635" s="21" t="s">
        <v>193</v>
      </c>
      <c r="D635" s="21" t="s">
        <v>98</v>
      </c>
      <c r="E635" s="21" t="s">
        <v>78</v>
      </c>
      <c r="F635" s="21" t="s">
        <v>91</v>
      </c>
      <c r="G635" s="21" t="s">
        <v>333</v>
      </c>
      <c r="H635" s="21"/>
      <c r="I635" s="21"/>
      <c r="J635" s="21"/>
    </row>
    <row r="636" spans="1:10" x14ac:dyDescent="0.3">
      <c r="A636" s="21"/>
      <c r="B636" s="21"/>
      <c r="C636" s="21"/>
      <c r="D636" s="21"/>
      <c r="E636" s="21"/>
      <c r="F636" s="21"/>
      <c r="G636" s="21"/>
      <c r="H636" s="21"/>
      <c r="I636" s="21"/>
      <c r="J636" s="21"/>
    </row>
    <row r="637" spans="1:10" ht="15.6" x14ac:dyDescent="0.3">
      <c r="A637" s="11" t="s">
        <v>72</v>
      </c>
      <c r="B637" s="11" t="s">
        <v>420</v>
      </c>
      <c r="C637" s="21"/>
      <c r="D637" s="21"/>
      <c r="E637" s="21"/>
      <c r="F637" s="21"/>
      <c r="G637" s="21"/>
      <c r="H637" s="21"/>
      <c r="I637" s="21"/>
      <c r="J637" s="21"/>
    </row>
    <row r="638" spans="1:10" x14ac:dyDescent="0.3">
      <c r="A638" s="21" t="s">
        <v>202</v>
      </c>
      <c r="B638" s="21" t="s">
        <v>427</v>
      </c>
      <c r="C638" s="21"/>
      <c r="D638" s="21"/>
      <c r="E638" s="21"/>
      <c r="F638" s="21"/>
      <c r="G638" s="21"/>
      <c r="H638" s="21"/>
      <c r="I638" s="21"/>
      <c r="J638" s="21"/>
    </row>
    <row r="639" spans="1:10" x14ac:dyDescent="0.3">
      <c r="A639" s="21" t="s">
        <v>84</v>
      </c>
      <c r="B639" s="21" t="s">
        <v>86</v>
      </c>
      <c r="C639" s="21"/>
      <c r="D639" s="21"/>
      <c r="E639" s="21"/>
      <c r="F639" s="21"/>
      <c r="G639" s="21"/>
      <c r="H639" s="21"/>
      <c r="I639" s="21"/>
      <c r="J639" s="21"/>
    </row>
    <row r="640" spans="1:10" x14ac:dyDescent="0.3">
      <c r="A640" s="21" t="s">
        <v>73</v>
      </c>
      <c r="B640" s="21" t="s">
        <v>98</v>
      </c>
      <c r="C640" s="21"/>
      <c r="D640" s="21"/>
      <c r="E640" s="21"/>
      <c r="F640" s="21"/>
      <c r="G640" s="21"/>
      <c r="H640" s="21"/>
      <c r="I640" s="21"/>
      <c r="J640" s="21"/>
    </row>
    <row r="641" spans="1:10" x14ac:dyDescent="0.3">
      <c r="A641" s="21" t="s">
        <v>186</v>
      </c>
      <c r="B641" s="21">
        <v>1</v>
      </c>
      <c r="C641" s="21"/>
      <c r="D641" s="21"/>
      <c r="E641" s="21"/>
      <c r="F641" s="21"/>
      <c r="G641" s="21"/>
      <c r="H641" s="21"/>
      <c r="I641" s="21"/>
      <c r="J641" s="21"/>
    </row>
    <row r="642" spans="1:10" x14ac:dyDescent="0.3">
      <c r="A642" s="21" t="s">
        <v>74</v>
      </c>
      <c r="B642" s="21" t="s">
        <v>420</v>
      </c>
      <c r="C642" s="21"/>
      <c r="D642" s="21"/>
      <c r="E642" s="21"/>
      <c r="F642" s="21"/>
      <c r="G642" s="21"/>
      <c r="H642" s="21"/>
      <c r="I642" s="21"/>
      <c r="J642" s="21"/>
    </row>
    <row r="643" spans="1:10" x14ac:dyDescent="0.3">
      <c r="A643" s="21" t="s">
        <v>77</v>
      </c>
      <c r="B643" s="21" t="s">
        <v>78</v>
      </c>
      <c r="C643" s="21"/>
      <c r="D643" s="21"/>
      <c r="E643" s="21"/>
      <c r="F643" s="21"/>
      <c r="G643" s="21"/>
      <c r="H643" s="21"/>
      <c r="I643" s="21"/>
      <c r="J643" s="21"/>
    </row>
    <row r="644" spans="1:10" x14ac:dyDescent="0.3">
      <c r="A644" s="21" t="s">
        <v>204</v>
      </c>
      <c r="B644" s="21" t="s">
        <v>187</v>
      </c>
      <c r="C644" s="21"/>
      <c r="D644" s="21"/>
      <c r="E644" s="21"/>
      <c r="F644" s="21"/>
      <c r="G644" s="21"/>
      <c r="H644" s="21"/>
      <c r="I644" s="21"/>
      <c r="J644" s="21"/>
    </row>
    <row r="645" spans="1:10" ht="15.6" x14ac:dyDescent="0.3">
      <c r="A645" s="11" t="s">
        <v>80</v>
      </c>
      <c r="B645" s="21"/>
      <c r="C645" s="21"/>
      <c r="D645" s="21"/>
      <c r="E645" s="21"/>
      <c r="F645" s="21"/>
      <c r="G645" s="21"/>
      <c r="H645" s="21"/>
      <c r="I645" s="21"/>
      <c r="J645" s="21"/>
    </row>
    <row r="646" spans="1:10" x14ac:dyDescent="0.3">
      <c r="A646" s="21" t="s">
        <v>81</v>
      </c>
      <c r="B646" s="21" t="s">
        <v>82</v>
      </c>
      <c r="C646" s="21" t="s">
        <v>188</v>
      </c>
      <c r="D646" s="21" t="s">
        <v>73</v>
      </c>
      <c r="E646" s="21" t="s">
        <v>77</v>
      </c>
      <c r="F646" s="21" t="s">
        <v>75</v>
      </c>
      <c r="G646" s="21" t="s">
        <v>74</v>
      </c>
      <c r="H646" s="21"/>
      <c r="I646" s="21"/>
      <c r="J646" s="21"/>
    </row>
    <row r="647" spans="1:10" x14ac:dyDescent="0.3">
      <c r="A647" s="21" t="s">
        <v>420</v>
      </c>
      <c r="B647" s="21">
        <v>1</v>
      </c>
      <c r="C647" s="21" t="s">
        <v>187</v>
      </c>
      <c r="D647" s="21" t="s">
        <v>98</v>
      </c>
      <c r="E647" s="21" t="s">
        <v>78</v>
      </c>
      <c r="F647" s="21" t="s">
        <v>85</v>
      </c>
      <c r="G647" s="21"/>
      <c r="H647" s="21"/>
      <c r="I647" s="21"/>
      <c r="J647" s="21"/>
    </row>
    <row r="648" spans="1:10" x14ac:dyDescent="0.3">
      <c r="A648" s="21" t="s">
        <v>216</v>
      </c>
      <c r="B648" s="21">
        <v>1</v>
      </c>
      <c r="C648" s="21" t="s">
        <v>193</v>
      </c>
      <c r="D648" s="21" t="s">
        <v>98</v>
      </c>
      <c r="E648" s="21" t="s">
        <v>78</v>
      </c>
      <c r="F648" s="21" t="s">
        <v>91</v>
      </c>
      <c r="G648" s="21" t="s">
        <v>217</v>
      </c>
      <c r="H648" s="21"/>
      <c r="I648" s="21"/>
      <c r="J648" s="21"/>
    </row>
    <row r="649" spans="1:10" x14ac:dyDescent="0.3">
      <c r="A649" s="21" t="s">
        <v>218</v>
      </c>
      <c r="B649" s="21">
        <v>1E-10</v>
      </c>
      <c r="C649" s="21" t="s">
        <v>193</v>
      </c>
      <c r="D649" s="21" t="s">
        <v>98</v>
      </c>
      <c r="E649" s="21" t="s">
        <v>77</v>
      </c>
      <c r="F649" s="21" t="s">
        <v>91</v>
      </c>
      <c r="G649" s="21" t="s">
        <v>219</v>
      </c>
      <c r="H649" s="21"/>
      <c r="I649" s="21"/>
      <c r="J649" s="21"/>
    </row>
    <row r="650" spans="1:10" x14ac:dyDescent="0.3">
      <c r="A650" s="21" t="s">
        <v>428</v>
      </c>
      <c r="B650" s="21">
        <v>0.03</v>
      </c>
      <c r="C650" s="21" t="s">
        <v>193</v>
      </c>
      <c r="D650" s="21" t="s">
        <v>98</v>
      </c>
      <c r="E650" s="21" t="s">
        <v>429</v>
      </c>
      <c r="F650" s="21" t="s">
        <v>91</v>
      </c>
      <c r="G650" s="21" t="s">
        <v>430</v>
      </c>
      <c r="H650" s="21"/>
      <c r="I650" s="21"/>
      <c r="J650" s="21"/>
    </row>
    <row r="651" spans="1:10" x14ac:dyDescent="0.3">
      <c r="A651" s="21" t="s">
        <v>292</v>
      </c>
      <c r="B651" s="21">
        <v>0.35</v>
      </c>
      <c r="C651" s="21" t="s">
        <v>193</v>
      </c>
      <c r="D651" s="21" t="s">
        <v>98</v>
      </c>
      <c r="E651" s="21" t="s">
        <v>78</v>
      </c>
      <c r="F651" s="21" t="s">
        <v>91</v>
      </c>
      <c r="G651" s="21" t="s">
        <v>293</v>
      </c>
      <c r="H651" s="21"/>
      <c r="I651" s="21"/>
      <c r="J651" s="21"/>
    </row>
    <row r="652" spans="1:10" x14ac:dyDescent="0.3">
      <c r="A652" s="21" t="s">
        <v>431</v>
      </c>
      <c r="B652" s="21">
        <v>0.35</v>
      </c>
      <c r="C652" s="21" t="s">
        <v>193</v>
      </c>
      <c r="D652" s="21" t="s">
        <v>242</v>
      </c>
      <c r="E652" s="21" t="s">
        <v>78</v>
      </c>
      <c r="F652" s="21" t="s">
        <v>91</v>
      </c>
      <c r="G652" s="21" t="s">
        <v>432</v>
      </c>
      <c r="H652" s="21"/>
      <c r="I652" s="21"/>
      <c r="J652" s="21"/>
    </row>
    <row r="653" spans="1:10" x14ac:dyDescent="0.3">
      <c r="A653" s="21" t="s">
        <v>300</v>
      </c>
      <c r="B653" s="21">
        <v>2.5999999999999998E-10</v>
      </c>
      <c r="C653" s="21" t="s">
        <v>193</v>
      </c>
      <c r="D653" s="21" t="s">
        <v>98</v>
      </c>
      <c r="E653" s="21" t="s">
        <v>77</v>
      </c>
      <c r="F653" s="21" t="s">
        <v>91</v>
      </c>
      <c r="G653" s="21" t="s">
        <v>301</v>
      </c>
      <c r="H653" s="21"/>
      <c r="I653" s="21"/>
      <c r="J653" s="21"/>
    </row>
    <row r="654" spans="1:10" x14ac:dyDescent="0.3">
      <c r="A654" s="21" t="s">
        <v>220</v>
      </c>
      <c r="B654" s="21">
        <v>0.65</v>
      </c>
      <c r="C654" s="21" t="s">
        <v>193</v>
      </c>
      <c r="D654" s="21" t="s">
        <v>98</v>
      </c>
      <c r="E654" s="21" t="s">
        <v>78</v>
      </c>
      <c r="F654" s="21" t="s">
        <v>91</v>
      </c>
      <c r="G654" s="21" t="s">
        <v>221</v>
      </c>
      <c r="H654" s="21"/>
      <c r="I654" s="21"/>
      <c r="J654" s="21"/>
    </row>
    <row r="655" spans="1:10" x14ac:dyDescent="0.3">
      <c r="A655" s="21"/>
      <c r="B655" s="21"/>
      <c r="C655" s="21"/>
      <c r="D655" s="21"/>
      <c r="E655" s="21"/>
      <c r="F655" s="21"/>
      <c r="G655" s="21"/>
      <c r="H655" s="21"/>
      <c r="I655" s="21"/>
      <c r="J655" s="21"/>
    </row>
    <row r="656" spans="1:10" ht="15.6" x14ac:dyDescent="0.3">
      <c r="A656" s="11" t="s">
        <v>72</v>
      </c>
      <c r="B656" s="11" t="s">
        <v>263</v>
      </c>
      <c r="C656" s="21"/>
      <c r="D656" s="21"/>
      <c r="E656" s="21"/>
      <c r="F656" s="21"/>
      <c r="G656" s="21"/>
      <c r="H656" s="21"/>
      <c r="I656" s="21"/>
      <c r="J656" s="21"/>
    </row>
    <row r="657" spans="1:10" x14ac:dyDescent="0.3">
      <c r="A657" s="21" t="s">
        <v>202</v>
      </c>
      <c r="B657" s="21" t="s">
        <v>433</v>
      </c>
      <c r="C657" s="21"/>
      <c r="D657" s="21"/>
      <c r="E657" s="21"/>
      <c r="F657" s="21"/>
      <c r="G657" s="21"/>
      <c r="H657" s="21"/>
      <c r="I657" s="21"/>
      <c r="J657" s="21"/>
    </row>
    <row r="658" spans="1:10" x14ac:dyDescent="0.3">
      <c r="A658" s="21" t="s">
        <v>84</v>
      </c>
      <c r="B658" s="21" t="s">
        <v>86</v>
      </c>
      <c r="C658" s="21"/>
      <c r="D658" s="21"/>
      <c r="E658" s="21"/>
      <c r="F658" s="21"/>
      <c r="G658" s="21"/>
      <c r="H658" s="21"/>
      <c r="I658" s="21"/>
      <c r="J658" s="21"/>
    </row>
    <row r="659" spans="1:10" x14ac:dyDescent="0.3">
      <c r="A659" s="21" t="s">
        <v>73</v>
      </c>
      <c r="B659" s="21" t="s">
        <v>98</v>
      </c>
      <c r="C659" s="21"/>
      <c r="D659" s="21"/>
      <c r="E659" s="21"/>
      <c r="F659" s="21"/>
      <c r="G659" s="21"/>
      <c r="H659" s="21"/>
      <c r="I659" s="21"/>
      <c r="J659" s="21"/>
    </row>
    <row r="660" spans="1:10" x14ac:dyDescent="0.3">
      <c r="A660" s="21" t="s">
        <v>186</v>
      </c>
      <c r="B660" s="21">
        <v>1</v>
      </c>
      <c r="C660" s="21"/>
      <c r="D660" s="21"/>
      <c r="E660" s="21"/>
      <c r="F660" s="21"/>
      <c r="G660" s="21"/>
      <c r="H660" s="21"/>
      <c r="I660" s="21"/>
      <c r="J660" s="21"/>
    </row>
    <row r="661" spans="1:10" x14ac:dyDescent="0.3">
      <c r="A661" s="21" t="s">
        <v>74</v>
      </c>
      <c r="B661" s="21" t="s">
        <v>263</v>
      </c>
      <c r="C661" s="21"/>
      <c r="D661" s="21"/>
      <c r="E661" s="21"/>
      <c r="F661" s="21"/>
      <c r="G661" s="21"/>
      <c r="H661" s="21"/>
      <c r="I661" s="21"/>
      <c r="J661" s="21"/>
    </row>
    <row r="662" spans="1:10" x14ac:dyDescent="0.3">
      <c r="A662" s="21" t="s">
        <v>77</v>
      </c>
      <c r="B662" s="21" t="s">
        <v>78</v>
      </c>
      <c r="C662" s="21"/>
      <c r="D662" s="21"/>
      <c r="E662" s="21"/>
      <c r="F662" s="21"/>
      <c r="G662" s="21"/>
      <c r="H662" s="21"/>
      <c r="I662" s="21"/>
      <c r="J662" s="21"/>
    </row>
    <row r="663" spans="1:10" x14ac:dyDescent="0.3">
      <c r="A663" s="21" t="s">
        <v>204</v>
      </c>
      <c r="B663" s="21" t="s">
        <v>187</v>
      </c>
      <c r="C663" s="21"/>
      <c r="D663" s="21"/>
      <c r="E663" s="21"/>
      <c r="F663" s="21"/>
      <c r="G663" s="21"/>
      <c r="H663" s="21"/>
      <c r="I663" s="21"/>
      <c r="J663" s="21"/>
    </row>
    <row r="664" spans="1:10" ht="15.6" x14ac:dyDescent="0.3">
      <c r="A664" s="11" t="s">
        <v>80</v>
      </c>
      <c r="B664" s="21"/>
      <c r="C664" s="21"/>
      <c r="D664" s="21"/>
      <c r="E664" s="21"/>
      <c r="F664" s="21"/>
      <c r="G664" s="21"/>
      <c r="H664" s="21"/>
      <c r="I664" s="21"/>
      <c r="J664" s="21"/>
    </row>
    <row r="665" spans="1:10" x14ac:dyDescent="0.3">
      <c r="A665" s="21" t="s">
        <v>81</v>
      </c>
      <c r="B665" s="21" t="s">
        <v>82</v>
      </c>
      <c r="C665" s="21" t="s">
        <v>188</v>
      </c>
      <c r="D665" s="21" t="s">
        <v>73</v>
      </c>
      <c r="E665" s="21" t="s">
        <v>77</v>
      </c>
      <c r="F665" s="21" t="s">
        <v>75</v>
      </c>
      <c r="G665" s="21" t="s">
        <v>74</v>
      </c>
      <c r="H665" s="21"/>
      <c r="I665" s="21"/>
      <c r="J665" s="21"/>
    </row>
    <row r="666" spans="1:10" x14ac:dyDescent="0.3">
      <c r="A666" s="21" t="s">
        <v>263</v>
      </c>
      <c r="B666" s="21">
        <v>1</v>
      </c>
      <c r="C666" s="21" t="s">
        <v>187</v>
      </c>
      <c r="D666" s="21" t="s">
        <v>98</v>
      </c>
      <c r="E666" s="21" t="s">
        <v>78</v>
      </c>
      <c r="F666" s="21" t="s">
        <v>85</v>
      </c>
      <c r="G666" s="21"/>
      <c r="H666" s="21"/>
      <c r="I666" s="21"/>
      <c r="J666" s="21"/>
    </row>
    <row r="667" spans="1:10" x14ac:dyDescent="0.3">
      <c r="A667" s="21" t="s">
        <v>322</v>
      </c>
      <c r="B667" s="21">
        <v>2E-8</v>
      </c>
      <c r="C667" s="21" t="s">
        <v>193</v>
      </c>
      <c r="D667" s="21" t="s">
        <v>98</v>
      </c>
      <c r="E667" s="21" t="s">
        <v>77</v>
      </c>
      <c r="F667" s="21" t="s">
        <v>91</v>
      </c>
      <c r="G667" s="21" t="s">
        <v>323</v>
      </c>
      <c r="H667" s="21"/>
      <c r="I667" s="21"/>
      <c r="J667" s="21"/>
    </row>
    <row r="668" spans="1:10" x14ac:dyDescent="0.3">
      <c r="A668" s="21" t="s">
        <v>434</v>
      </c>
      <c r="B668" s="21">
        <v>0.97</v>
      </c>
      <c r="C668" s="21" t="s">
        <v>193</v>
      </c>
      <c r="D668" s="21" t="s">
        <v>98</v>
      </c>
      <c r="E668" s="21" t="s">
        <v>78</v>
      </c>
      <c r="F668" s="21" t="s">
        <v>91</v>
      </c>
      <c r="G668" s="21" t="s">
        <v>435</v>
      </c>
      <c r="H668" s="21"/>
      <c r="I668" s="21"/>
      <c r="J668" s="21"/>
    </row>
    <row r="669" spans="1:10" x14ac:dyDescent="0.3">
      <c r="A669" s="21" t="s">
        <v>292</v>
      </c>
      <c r="B669" s="21">
        <v>2.9000000000000001E-2</v>
      </c>
      <c r="C669" s="21" t="s">
        <v>193</v>
      </c>
      <c r="D669" s="21" t="s">
        <v>98</v>
      </c>
      <c r="E669" s="21" t="s">
        <v>78</v>
      </c>
      <c r="F669" s="21" t="s">
        <v>91</v>
      </c>
      <c r="G669" s="21" t="s">
        <v>293</v>
      </c>
      <c r="H669" s="21"/>
      <c r="I669" s="21"/>
      <c r="J669" s="21"/>
    </row>
    <row r="670" spans="1:10" x14ac:dyDescent="0.3">
      <c r="A670" s="21" t="s">
        <v>328</v>
      </c>
      <c r="B670" s="21">
        <v>2.9000000000000001E-2</v>
      </c>
      <c r="C670" s="21" t="s">
        <v>193</v>
      </c>
      <c r="D670" s="21" t="s">
        <v>242</v>
      </c>
      <c r="E670" s="21" t="s">
        <v>78</v>
      </c>
      <c r="F670" s="21" t="s">
        <v>91</v>
      </c>
      <c r="G670" s="21" t="s">
        <v>329</v>
      </c>
      <c r="H670" s="21"/>
      <c r="I670" s="21"/>
      <c r="J670" s="21"/>
    </row>
    <row r="671" spans="1:10" x14ac:dyDescent="0.3">
      <c r="A671" s="21"/>
      <c r="B671" s="21"/>
      <c r="C671" s="21"/>
      <c r="D671" s="21"/>
      <c r="E671" s="21"/>
      <c r="F671" s="21"/>
      <c r="G671" s="21"/>
      <c r="H671" s="21"/>
      <c r="I671" s="21"/>
      <c r="J671" s="21"/>
    </row>
    <row r="672" spans="1:10" ht="15.6" x14ac:dyDescent="0.3">
      <c r="A672" s="11" t="s">
        <v>72</v>
      </c>
      <c r="B672" s="11" t="s">
        <v>278</v>
      </c>
      <c r="C672" s="21"/>
      <c r="D672" s="21"/>
      <c r="E672" s="21"/>
      <c r="F672" s="21"/>
      <c r="G672" s="21"/>
      <c r="H672" s="21"/>
      <c r="I672" s="21"/>
      <c r="J672" s="21"/>
    </row>
    <row r="673" spans="1:10" x14ac:dyDescent="0.3">
      <c r="A673" s="21" t="s">
        <v>202</v>
      </c>
      <c r="B673" s="21" t="s">
        <v>436</v>
      </c>
      <c r="C673" s="21"/>
      <c r="D673" s="21"/>
      <c r="E673" s="21"/>
      <c r="F673" s="21"/>
      <c r="G673" s="21"/>
      <c r="H673" s="21"/>
      <c r="I673" s="21"/>
      <c r="J673" s="21"/>
    </row>
    <row r="674" spans="1:10" x14ac:dyDescent="0.3">
      <c r="A674" s="21" t="s">
        <v>84</v>
      </c>
      <c r="B674" s="21" t="s">
        <v>86</v>
      </c>
      <c r="C674" s="21"/>
      <c r="D674" s="21"/>
      <c r="E674" s="21"/>
      <c r="F674" s="21"/>
      <c r="G674" s="21"/>
      <c r="H674" s="21"/>
      <c r="I674" s="21"/>
      <c r="J674" s="21"/>
    </row>
    <row r="675" spans="1:10" x14ac:dyDescent="0.3">
      <c r="A675" s="21" t="s">
        <v>73</v>
      </c>
      <c r="B675" s="21" t="s">
        <v>98</v>
      </c>
      <c r="C675" s="21"/>
      <c r="D675" s="21"/>
      <c r="E675" s="21"/>
      <c r="F675" s="21"/>
      <c r="G675" s="21"/>
      <c r="H675" s="21"/>
      <c r="I675" s="21"/>
      <c r="J675" s="21"/>
    </row>
    <row r="676" spans="1:10" x14ac:dyDescent="0.3">
      <c r="A676" s="21" t="s">
        <v>186</v>
      </c>
      <c r="B676" s="21">
        <v>1</v>
      </c>
      <c r="C676" s="21"/>
      <c r="D676" s="21"/>
      <c r="E676" s="21"/>
      <c r="F676" s="21"/>
      <c r="G676" s="21"/>
      <c r="H676" s="21"/>
      <c r="I676" s="21"/>
      <c r="J676" s="21"/>
    </row>
    <row r="677" spans="1:10" x14ac:dyDescent="0.3">
      <c r="A677" s="21" t="s">
        <v>74</v>
      </c>
      <c r="B677" s="21" t="s">
        <v>278</v>
      </c>
      <c r="C677" s="21"/>
      <c r="D677" s="21"/>
      <c r="E677" s="21"/>
      <c r="F677" s="21"/>
      <c r="G677" s="21"/>
      <c r="H677" s="21"/>
      <c r="I677" s="21"/>
      <c r="J677" s="21"/>
    </row>
    <row r="678" spans="1:10" x14ac:dyDescent="0.3">
      <c r="A678" s="21" t="s">
        <v>77</v>
      </c>
      <c r="B678" s="21" t="s">
        <v>78</v>
      </c>
      <c r="C678" s="21"/>
      <c r="D678" s="21"/>
      <c r="E678" s="21"/>
      <c r="F678" s="21"/>
      <c r="G678" s="21"/>
      <c r="H678" s="21"/>
      <c r="I678" s="21"/>
      <c r="J678" s="21"/>
    </row>
    <row r="679" spans="1:10" x14ac:dyDescent="0.3">
      <c r="A679" s="21" t="s">
        <v>204</v>
      </c>
      <c r="B679" s="21" t="s">
        <v>187</v>
      </c>
      <c r="C679" s="21"/>
      <c r="D679" s="21"/>
      <c r="E679" s="21"/>
      <c r="F679" s="21"/>
      <c r="G679" s="21"/>
      <c r="H679" s="21"/>
      <c r="I679" s="21"/>
      <c r="J679" s="21"/>
    </row>
    <row r="680" spans="1:10" ht="15.6" x14ac:dyDescent="0.3">
      <c r="A680" s="11" t="s">
        <v>80</v>
      </c>
      <c r="B680" s="21"/>
      <c r="C680" s="21"/>
      <c r="D680" s="21"/>
      <c r="E680" s="21"/>
      <c r="F680" s="21"/>
      <c r="G680" s="21"/>
      <c r="H680" s="21"/>
      <c r="I680" s="21"/>
      <c r="J680" s="21"/>
    </row>
    <row r="681" spans="1:10" x14ac:dyDescent="0.3">
      <c r="A681" s="21" t="s">
        <v>81</v>
      </c>
      <c r="B681" s="21" t="s">
        <v>82</v>
      </c>
      <c r="C681" s="21" t="s">
        <v>188</v>
      </c>
      <c r="D681" s="21" t="s">
        <v>73</v>
      </c>
      <c r="E681" s="21" t="s">
        <v>77</v>
      </c>
      <c r="F681" s="21" t="s">
        <v>75</v>
      </c>
      <c r="G681" s="21" t="s">
        <v>74</v>
      </c>
      <c r="H681" s="21"/>
      <c r="I681" s="21"/>
      <c r="J681" s="21"/>
    </row>
    <row r="682" spans="1:10" x14ac:dyDescent="0.3">
      <c r="A682" s="21" t="s">
        <v>278</v>
      </c>
      <c r="B682" s="21">
        <v>1</v>
      </c>
      <c r="C682" s="21" t="s">
        <v>187</v>
      </c>
      <c r="D682" s="21" t="s">
        <v>98</v>
      </c>
      <c r="E682" s="21" t="s">
        <v>78</v>
      </c>
      <c r="F682" s="21" t="s">
        <v>85</v>
      </c>
      <c r="G682" s="21"/>
      <c r="H682" s="21"/>
      <c r="I682" s="21"/>
      <c r="J682" s="21"/>
    </row>
    <row r="683" spans="1:10" x14ac:dyDescent="0.3">
      <c r="A683" s="21" t="s">
        <v>294</v>
      </c>
      <c r="B683" s="21">
        <v>4.6000000000000001E-10</v>
      </c>
      <c r="C683" s="21" t="s">
        <v>193</v>
      </c>
      <c r="D683" s="21" t="s">
        <v>98</v>
      </c>
      <c r="E683" s="21" t="s">
        <v>77</v>
      </c>
      <c r="F683" s="21" t="s">
        <v>91</v>
      </c>
      <c r="G683" s="21" t="s">
        <v>295</v>
      </c>
      <c r="H683" s="21"/>
      <c r="I683" s="21"/>
      <c r="J683" s="21"/>
    </row>
    <row r="684" spans="1:10" x14ac:dyDescent="0.3">
      <c r="A684" s="21" t="s">
        <v>326</v>
      </c>
      <c r="B684" s="21">
        <v>1</v>
      </c>
      <c r="C684" s="21" t="s">
        <v>193</v>
      </c>
      <c r="D684" s="21" t="s">
        <v>98</v>
      </c>
      <c r="E684" s="21" t="s">
        <v>78</v>
      </c>
      <c r="F684" s="21" t="s">
        <v>91</v>
      </c>
      <c r="G684" s="21" t="s">
        <v>327</v>
      </c>
      <c r="H684" s="21"/>
      <c r="I684" s="21"/>
      <c r="J684" s="21"/>
    </row>
    <row r="685" spans="1:10" x14ac:dyDescent="0.3">
      <c r="A685" s="21" t="s">
        <v>332</v>
      </c>
      <c r="B685" s="21">
        <v>1</v>
      </c>
      <c r="C685" s="21" t="s">
        <v>193</v>
      </c>
      <c r="D685" s="21" t="s">
        <v>98</v>
      </c>
      <c r="E685" s="21" t="s">
        <v>78</v>
      </c>
      <c r="F685" s="21" t="s">
        <v>91</v>
      </c>
      <c r="G685" s="21" t="s">
        <v>333</v>
      </c>
      <c r="H685" s="21"/>
      <c r="I685" s="21"/>
      <c r="J685" s="21"/>
    </row>
    <row r="686" spans="1:10" x14ac:dyDescent="0.3">
      <c r="A686" s="21"/>
      <c r="B686" s="21"/>
      <c r="C686" s="21"/>
      <c r="D686" s="21"/>
      <c r="E686" s="21"/>
      <c r="F686" s="21"/>
      <c r="G686" s="21"/>
      <c r="H686" s="21"/>
      <c r="I686" s="21"/>
      <c r="J686" s="21"/>
    </row>
    <row r="687" spans="1:10" ht="15.6" x14ac:dyDescent="0.3">
      <c r="A687" s="11" t="s">
        <v>72</v>
      </c>
      <c r="B687" s="11" t="s">
        <v>421</v>
      </c>
      <c r="C687" s="21"/>
      <c r="D687" s="21"/>
      <c r="E687" s="21"/>
      <c r="F687" s="21"/>
      <c r="G687" s="21"/>
      <c r="H687" s="21"/>
      <c r="I687" s="21"/>
      <c r="J687" s="21"/>
    </row>
    <row r="688" spans="1:10" x14ac:dyDescent="0.3">
      <c r="A688" s="21" t="s">
        <v>202</v>
      </c>
      <c r="B688" s="21" t="s">
        <v>437</v>
      </c>
      <c r="C688" s="21"/>
      <c r="D688" s="21"/>
      <c r="E688" s="21"/>
      <c r="F688" s="21"/>
      <c r="G688" s="21"/>
      <c r="H688" s="21"/>
      <c r="I688" s="21"/>
      <c r="J688" s="21"/>
    </row>
    <row r="689" spans="1:10" x14ac:dyDescent="0.3">
      <c r="A689" s="21" t="s">
        <v>84</v>
      </c>
      <c r="B689" s="21" t="s">
        <v>86</v>
      </c>
      <c r="C689" s="21"/>
      <c r="D689" s="21"/>
      <c r="E689" s="21"/>
      <c r="F689" s="21"/>
      <c r="G689" s="21"/>
      <c r="H689" s="21"/>
      <c r="I689" s="21"/>
      <c r="J689" s="21"/>
    </row>
    <row r="690" spans="1:10" x14ac:dyDescent="0.3">
      <c r="A690" s="21" t="s">
        <v>73</v>
      </c>
      <c r="B690" s="21" t="s">
        <v>98</v>
      </c>
      <c r="C690" s="21"/>
      <c r="D690" s="21"/>
      <c r="E690" s="21"/>
      <c r="F690" s="21"/>
      <c r="G690" s="21"/>
      <c r="H690" s="21"/>
      <c r="I690" s="21"/>
      <c r="J690" s="21"/>
    </row>
    <row r="691" spans="1:10" x14ac:dyDescent="0.3">
      <c r="A691" s="21" t="s">
        <v>186</v>
      </c>
      <c r="B691" s="21">
        <v>1</v>
      </c>
      <c r="C691" s="21"/>
      <c r="D691" s="21"/>
      <c r="E691" s="21"/>
      <c r="F691" s="21"/>
      <c r="G691" s="21"/>
      <c r="H691" s="21"/>
      <c r="I691" s="21"/>
      <c r="J691" s="21"/>
    </row>
    <row r="692" spans="1:10" x14ac:dyDescent="0.3">
      <c r="A692" s="21" t="s">
        <v>74</v>
      </c>
      <c r="B692" s="21" t="s">
        <v>421</v>
      </c>
      <c r="C692" s="21"/>
      <c r="D692" s="21"/>
      <c r="E692" s="21"/>
      <c r="F692" s="21"/>
      <c r="G692" s="21"/>
      <c r="H692" s="21"/>
      <c r="I692" s="21"/>
      <c r="J692" s="21"/>
    </row>
    <row r="693" spans="1:10" x14ac:dyDescent="0.3">
      <c r="A693" s="21" t="s">
        <v>77</v>
      </c>
      <c r="B693" s="21" t="s">
        <v>78</v>
      </c>
      <c r="C693" s="21"/>
      <c r="D693" s="21"/>
      <c r="E693" s="21"/>
      <c r="F693" s="21"/>
      <c r="G693" s="21"/>
      <c r="H693" s="21"/>
      <c r="I693" s="21"/>
      <c r="J693" s="21"/>
    </row>
    <row r="694" spans="1:10" x14ac:dyDescent="0.3">
      <c r="A694" s="21" t="s">
        <v>204</v>
      </c>
      <c r="B694" s="21" t="s">
        <v>187</v>
      </c>
      <c r="C694" s="21"/>
      <c r="D694" s="21"/>
      <c r="E694" s="21"/>
      <c r="F694" s="21"/>
      <c r="G694" s="21"/>
      <c r="H694" s="21"/>
      <c r="I694" s="21"/>
      <c r="J694" s="21"/>
    </row>
    <row r="695" spans="1:10" ht="15.6" x14ac:dyDescent="0.3">
      <c r="A695" s="11" t="s">
        <v>80</v>
      </c>
      <c r="B695" s="21"/>
      <c r="C695" s="21"/>
      <c r="D695" s="21"/>
      <c r="E695" s="21"/>
      <c r="F695" s="21"/>
      <c r="G695" s="21"/>
      <c r="H695" s="21"/>
      <c r="I695" s="21"/>
      <c r="J695" s="21"/>
    </row>
    <row r="696" spans="1:10" x14ac:dyDescent="0.3">
      <c r="A696" s="21" t="s">
        <v>81</v>
      </c>
      <c r="B696" s="21" t="s">
        <v>82</v>
      </c>
      <c r="C696" s="21" t="s">
        <v>188</v>
      </c>
      <c r="D696" s="21" t="s">
        <v>73</v>
      </c>
      <c r="E696" s="21" t="s">
        <v>77</v>
      </c>
      <c r="F696" s="21" t="s">
        <v>75</v>
      </c>
      <c r="G696" s="21" t="s">
        <v>74</v>
      </c>
      <c r="H696" s="21"/>
      <c r="I696" s="21"/>
      <c r="J696" s="21"/>
    </row>
    <row r="697" spans="1:10" x14ac:dyDescent="0.3">
      <c r="A697" s="21" t="s">
        <v>421</v>
      </c>
      <c r="B697" s="21">
        <v>1</v>
      </c>
      <c r="C697" s="21" t="s">
        <v>187</v>
      </c>
      <c r="D697" s="21" t="s">
        <v>98</v>
      </c>
      <c r="E697" s="21" t="s">
        <v>78</v>
      </c>
      <c r="F697" s="21" t="s">
        <v>85</v>
      </c>
      <c r="G697" s="21"/>
      <c r="H697" s="21"/>
      <c r="I697" s="21"/>
      <c r="J697" s="21"/>
    </row>
    <row r="698" spans="1:10" x14ac:dyDescent="0.3">
      <c r="A698" s="21" t="s">
        <v>292</v>
      </c>
      <c r="B698" s="21">
        <v>4.2000000000000003E-2</v>
      </c>
      <c r="C698" s="21" t="s">
        <v>193</v>
      </c>
      <c r="D698" s="21" t="s">
        <v>98</v>
      </c>
      <c r="E698" s="21" t="s">
        <v>78</v>
      </c>
      <c r="F698" s="21" t="s">
        <v>91</v>
      </c>
      <c r="G698" s="21" t="s">
        <v>293</v>
      </c>
      <c r="H698" s="21"/>
      <c r="I698" s="21"/>
      <c r="J698" s="21"/>
    </row>
    <row r="699" spans="1:10" x14ac:dyDescent="0.3">
      <c r="A699" s="21" t="s">
        <v>294</v>
      </c>
      <c r="B699" s="21">
        <v>4.3999999999999998E-10</v>
      </c>
      <c r="C699" s="21" t="s">
        <v>193</v>
      </c>
      <c r="D699" s="21" t="s">
        <v>98</v>
      </c>
      <c r="E699" s="21" t="s">
        <v>77</v>
      </c>
      <c r="F699" s="21" t="s">
        <v>91</v>
      </c>
      <c r="G699" s="21" t="s">
        <v>295</v>
      </c>
      <c r="H699" s="21"/>
      <c r="I699" s="21"/>
      <c r="J699" s="21"/>
    </row>
    <row r="700" spans="1:10" x14ac:dyDescent="0.3">
      <c r="A700" s="21" t="s">
        <v>326</v>
      </c>
      <c r="B700" s="21">
        <v>0.96</v>
      </c>
      <c r="C700" s="21" t="s">
        <v>193</v>
      </c>
      <c r="D700" s="21" t="s">
        <v>98</v>
      </c>
      <c r="E700" s="21" t="s">
        <v>78</v>
      </c>
      <c r="F700" s="21" t="s">
        <v>91</v>
      </c>
      <c r="G700" s="21" t="s">
        <v>327</v>
      </c>
      <c r="H700" s="21"/>
      <c r="I700" s="21"/>
      <c r="J700" s="21"/>
    </row>
    <row r="701" spans="1:10" x14ac:dyDescent="0.3">
      <c r="A701" s="21" t="s">
        <v>328</v>
      </c>
      <c r="B701" s="21">
        <v>4.2000000000000003E-2</v>
      </c>
      <c r="C701" s="21" t="s">
        <v>193</v>
      </c>
      <c r="D701" s="21" t="s">
        <v>242</v>
      </c>
      <c r="E701" s="21" t="s">
        <v>78</v>
      </c>
      <c r="F701" s="21" t="s">
        <v>91</v>
      </c>
      <c r="G701" s="21" t="s">
        <v>329</v>
      </c>
      <c r="H701" s="21"/>
      <c r="I701" s="21"/>
      <c r="J701" s="21"/>
    </row>
    <row r="702" spans="1:10" x14ac:dyDescent="0.3">
      <c r="A702" s="21" t="s">
        <v>300</v>
      </c>
      <c r="B702" s="21">
        <v>3.1000000000000003E-11</v>
      </c>
      <c r="C702" s="21" t="s">
        <v>193</v>
      </c>
      <c r="D702" s="21" t="s">
        <v>98</v>
      </c>
      <c r="E702" s="21" t="s">
        <v>77</v>
      </c>
      <c r="F702" s="21" t="s">
        <v>91</v>
      </c>
      <c r="G702" s="21" t="s">
        <v>301</v>
      </c>
      <c r="H702" s="21"/>
      <c r="I702" s="21"/>
      <c r="J702" s="21"/>
    </row>
    <row r="703" spans="1:10" x14ac:dyDescent="0.3">
      <c r="A703" s="21" t="s">
        <v>332</v>
      </c>
      <c r="B703" s="21">
        <v>0.96</v>
      </c>
      <c r="C703" s="21" t="s">
        <v>193</v>
      </c>
      <c r="D703" s="21" t="s">
        <v>98</v>
      </c>
      <c r="E703" s="21" t="s">
        <v>78</v>
      </c>
      <c r="F703" s="21" t="s">
        <v>91</v>
      </c>
      <c r="G703" s="21" t="s">
        <v>333</v>
      </c>
      <c r="H703" s="21"/>
      <c r="I703" s="21"/>
      <c r="J703" s="21"/>
    </row>
    <row r="704" spans="1:10" x14ac:dyDescent="0.3">
      <c r="A704" s="21"/>
      <c r="B704" s="21"/>
      <c r="C704" s="21"/>
      <c r="D704" s="21"/>
      <c r="E704" s="21"/>
      <c r="F704" s="21"/>
      <c r="G704" s="21"/>
      <c r="H704" s="21"/>
      <c r="I704" s="21"/>
      <c r="J704" s="21"/>
    </row>
    <row r="705" spans="1:10" ht="15.6" x14ac:dyDescent="0.3">
      <c r="A705" s="11" t="s">
        <v>72</v>
      </c>
      <c r="B705" s="11" t="s">
        <v>422</v>
      </c>
      <c r="C705" s="21"/>
      <c r="D705" s="21"/>
      <c r="E705" s="21"/>
      <c r="F705" s="21"/>
      <c r="G705" s="21"/>
      <c r="H705" s="21"/>
      <c r="I705" s="21"/>
      <c r="J705" s="21"/>
    </row>
    <row r="706" spans="1:10" x14ac:dyDescent="0.3">
      <c r="A706" s="21" t="s">
        <v>202</v>
      </c>
      <c r="B706" s="21" t="s">
        <v>438</v>
      </c>
      <c r="C706" s="21"/>
      <c r="D706" s="21"/>
      <c r="E706" s="21"/>
      <c r="F706" s="21"/>
      <c r="G706" s="21"/>
      <c r="H706" s="21"/>
      <c r="I706" s="21"/>
      <c r="J706" s="21"/>
    </row>
    <row r="707" spans="1:10" x14ac:dyDescent="0.3">
      <c r="A707" s="21" t="s">
        <v>84</v>
      </c>
      <c r="B707" s="21" t="s">
        <v>86</v>
      </c>
      <c r="C707" s="21"/>
      <c r="D707" s="21"/>
      <c r="E707" s="21"/>
      <c r="F707" s="21"/>
      <c r="G707" s="21"/>
      <c r="H707" s="21"/>
      <c r="I707" s="21"/>
      <c r="J707" s="21"/>
    </row>
    <row r="708" spans="1:10" x14ac:dyDescent="0.3">
      <c r="A708" s="21" t="s">
        <v>73</v>
      </c>
      <c r="B708" s="21" t="s">
        <v>98</v>
      </c>
      <c r="C708" s="21"/>
      <c r="D708" s="21"/>
      <c r="E708" s="21"/>
      <c r="F708" s="21"/>
      <c r="G708" s="21"/>
      <c r="H708" s="21"/>
      <c r="I708" s="21"/>
      <c r="J708" s="21"/>
    </row>
    <row r="709" spans="1:10" x14ac:dyDescent="0.3">
      <c r="A709" s="21" t="s">
        <v>186</v>
      </c>
      <c r="B709" s="21">
        <v>1</v>
      </c>
      <c r="C709" s="21"/>
      <c r="D709" s="21"/>
      <c r="E709" s="21"/>
      <c r="F709" s="21"/>
      <c r="G709" s="21"/>
      <c r="H709" s="21"/>
      <c r="I709" s="21"/>
      <c r="J709" s="21"/>
    </row>
    <row r="710" spans="1:10" x14ac:dyDescent="0.3">
      <c r="A710" s="21" t="s">
        <v>74</v>
      </c>
      <c r="B710" s="21" t="s">
        <v>422</v>
      </c>
      <c r="C710" s="21"/>
      <c r="D710" s="21"/>
      <c r="E710" s="21"/>
      <c r="F710" s="21"/>
      <c r="G710" s="21"/>
      <c r="H710" s="21"/>
      <c r="I710" s="21"/>
      <c r="J710" s="21"/>
    </row>
    <row r="711" spans="1:10" x14ac:dyDescent="0.3">
      <c r="A711" s="21" t="s">
        <v>77</v>
      </c>
      <c r="B711" s="21" t="s">
        <v>78</v>
      </c>
      <c r="C711" s="21"/>
      <c r="D711" s="21"/>
      <c r="E711" s="21"/>
      <c r="F711" s="21"/>
      <c r="G711" s="21"/>
      <c r="H711" s="21"/>
      <c r="I711" s="21"/>
      <c r="J711" s="21"/>
    </row>
    <row r="712" spans="1:10" x14ac:dyDescent="0.3">
      <c r="A712" s="21" t="s">
        <v>204</v>
      </c>
      <c r="B712" s="21" t="s">
        <v>187</v>
      </c>
      <c r="C712" s="21"/>
      <c r="D712" s="21"/>
      <c r="E712" s="21"/>
      <c r="F712" s="21"/>
      <c r="G712" s="21"/>
      <c r="H712" s="21"/>
      <c r="I712" s="21"/>
      <c r="J712" s="21"/>
    </row>
    <row r="713" spans="1:10" ht="15.6" x14ac:dyDescent="0.3">
      <c r="A713" s="11" t="s">
        <v>80</v>
      </c>
      <c r="B713" s="21"/>
      <c r="C713" s="21"/>
      <c r="D713" s="21"/>
      <c r="E713" s="21"/>
      <c r="F713" s="21"/>
      <c r="G713" s="21"/>
      <c r="H713" s="21"/>
      <c r="I713" s="21"/>
      <c r="J713" s="21"/>
    </row>
    <row r="714" spans="1:10" x14ac:dyDescent="0.3">
      <c r="A714" s="21" t="s">
        <v>81</v>
      </c>
      <c r="B714" s="21" t="s">
        <v>82</v>
      </c>
      <c r="C714" s="21" t="s">
        <v>188</v>
      </c>
      <c r="D714" s="21" t="s">
        <v>73</v>
      </c>
      <c r="E714" s="21" t="s">
        <v>77</v>
      </c>
      <c r="F714" s="21" t="s">
        <v>75</v>
      </c>
      <c r="G714" s="21" t="s">
        <v>74</v>
      </c>
      <c r="H714" s="21"/>
      <c r="I714" s="21"/>
      <c r="J714" s="21"/>
    </row>
    <row r="715" spans="1:10" x14ac:dyDescent="0.3">
      <c r="A715" s="21" t="s">
        <v>422</v>
      </c>
      <c r="B715" s="21">
        <v>1</v>
      </c>
      <c r="C715" s="21" t="s">
        <v>187</v>
      </c>
      <c r="D715" s="21" t="s">
        <v>98</v>
      </c>
      <c r="E715" s="21" t="s">
        <v>78</v>
      </c>
      <c r="F715" s="21" t="s">
        <v>85</v>
      </c>
      <c r="G715" s="21"/>
      <c r="H715" s="21"/>
      <c r="I715" s="21"/>
      <c r="J715" s="21"/>
    </row>
    <row r="716" spans="1:10" x14ac:dyDescent="0.3">
      <c r="A716" s="21" t="s">
        <v>288</v>
      </c>
      <c r="B716" s="21">
        <v>1</v>
      </c>
      <c r="C716" s="21" t="s">
        <v>193</v>
      </c>
      <c r="D716" s="21" t="s">
        <v>98</v>
      </c>
      <c r="E716" s="21" t="s">
        <v>78</v>
      </c>
      <c r="F716" s="21" t="s">
        <v>91</v>
      </c>
      <c r="G716" s="21" t="s">
        <v>289</v>
      </c>
      <c r="H716" s="21"/>
      <c r="I716" s="21"/>
      <c r="J716" s="21"/>
    </row>
    <row r="717" spans="1:10" x14ac:dyDescent="0.3">
      <c r="A717" s="21" t="s">
        <v>292</v>
      </c>
      <c r="B717" s="21">
        <v>1</v>
      </c>
      <c r="C717" s="21" t="s">
        <v>193</v>
      </c>
      <c r="D717" s="21" t="s">
        <v>98</v>
      </c>
      <c r="E717" s="21" t="s">
        <v>78</v>
      </c>
      <c r="F717" s="21" t="s">
        <v>91</v>
      </c>
      <c r="G717" s="21" t="s">
        <v>293</v>
      </c>
      <c r="H717" s="21"/>
      <c r="I717" s="21"/>
      <c r="J717" s="21"/>
    </row>
    <row r="718" spans="1:10" x14ac:dyDescent="0.3">
      <c r="A718" s="21" t="s">
        <v>300</v>
      </c>
      <c r="B718" s="21">
        <v>7.4000000000000003E-10</v>
      </c>
      <c r="C718" s="21" t="s">
        <v>193</v>
      </c>
      <c r="D718" s="21" t="s">
        <v>98</v>
      </c>
      <c r="E718" s="21" t="s">
        <v>77</v>
      </c>
      <c r="F718" s="21" t="s">
        <v>91</v>
      </c>
      <c r="G718" s="21" t="s">
        <v>301</v>
      </c>
      <c r="H718" s="21"/>
      <c r="I718" s="21"/>
      <c r="J718" s="21"/>
    </row>
    <row r="719" spans="1:10" x14ac:dyDescent="0.3">
      <c r="A719" s="21"/>
      <c r="B719" s="21"/>
      <c r="C719" s="21"/>
      <c r="D719" s="21"/>
      <c r="E719" s="21"/>
      <c r="F719" s="21"/>
      <c r="G719" s="21"/>
      <c r="H719" s="21"/>
      <c r="I719" s="21"/>
      <c r="J719" s="21"/>
    </row>
    <row r="720" spans="1:10" ht="15.6" x14ac:dyDescent="0.3">
      <c r="A720" s="11" t="s">
        <v>72</v>
      </c>
      <c r="B720" s="11" t="s">
        <v>260</v>
      </c>
      <c r="C720" s="21"/>
      <c r="D720" s="21"/>
      <c r="E720" s="21"/>
      <c r="F720" s="21"/>
      <c r="G720" s="21"/>
      <c r="H720" s="21"/>
      <c r="I720" s="21"/>
      <c r="J720" s="21"/>
    </row>
    <row r="721" spans="1:10" x14ac:dyDescent="0.3">
      <c r="A721" s="21" t="s">
        <v>202</v>
      </c>
      <c r="B721" s="21" t="s">
        <v>439</v>
      </c>
      <c r="C721" s="21"/>
      <c r="D721" s="21"/>
      <c r="E721" s="21"/>
      <c r="F721" s="21"/>
      <c r="G721" s="21"/>
      <c r="H721" s="21"/>
      <c r="I721" s="21"/>
      <c r="J721" s="21"/>
    </row>
    <row r="722" spans="1:10" x14ac:dyDescent="0.3">
      <c r="A722" s="21" t="s">
        <v>84</v>
      </c>
      <c r="B722" s="21" t="s">
        <v>86</v>
      </c>
      <c r="C722" s="21"/>
      <c r="D722" s="21"/>
      <c r="E722" s="21"/>
      <c r="F722" s="21"/>
      <c r="G722" s="21"/>
      <c r="H722" s="21"/>
      <c r="I722" s="21"/>
      <c r="J722" s="21"/>
    </row>
    <row r="723" spans="1:10" x14ac:dyDescent="0.3">
      <c r="A723" s="21" t="s">
        <v>73</v>
      </c>
      <c r="B723" s="21" t="s">
        <v>98</v>
      </c>
      <c r="C723" s="21"/>
      <c r="D723" s="21"/>
      <c r="E723" s="21"/>
      <c r="F723" s="21"/>
      <c r="G723" s="21"/>
      <c r="H723" s="21"/>
      <c r="I723" s="21"/>
      <c r="J723" s="21"/>
    </row>
    <row r="724" spans="1:10" x14ac:dyDescent="0.3">
      <c r="A724" s="21" t="s">
        <v>186</v>
      </c>
      <c r="B724" s="21">
        <v>1</v>
      </c>
      <c r="C724" s="21"/>
      <c r="D724" s="21"/>
      <c r="E724" s="21"/>
      <c r="F724" s="21"/>
      <c r="G724" s="21"/>
      <c r="H724" s="21"/>
      <c r="I724" s="21"/>
      <c r="J724" s="21"/>
    </row>
    <row r="725" spans="1:10" x14ac:dyDescent="0.3">
      <c r="A725" s="21" t="s">
        <v>74</v>
      </c>
      <c r="B725" s="21" t="s">
        <v>260</v>
      </c>
      <c r="C725" s="21"/>
      <c r="D725" s="21"/>
      <c r="E725" s="21"/>
      <c r="F725" s="21"/>
      <c r="G725" s="21"/>
      <c r="H725" s="21"/>
      <c r="I725" s="21"/>
      <c r="J725" s="21"/>
    </row>
    <row r="726" spans="1:10" x14ac:dyDescent="0.3">
      <c r="A726" s="21" t="s">
        <v>77</v>
      </c>
      <c r="B726" s="21" t="s">
        <v>78</v>
      </c>
      <c r="C726" s="21"/>
      <c r="D726" s="21"/>
      <c r="E726" s="21"/>
      <c r="F726" s="21"/>
      <c r="G726" s="21"/>
      <c r="H726" s="21"/>
      <c r="I726" s="21"/>
      <c r="J726" s="21"/>
    </row>
    <row r="727" spans="1:10" x14ac:dyDescent="0.3">
      <c r="A727" s="21" t="s">
        <v>204</v>
      </c>
      <c r="B727" s="21" t="s">
        <v>187</v>
      </c>
      <c r="C727" s="21"/>
      <c r="D727" s="21"/>
      <c r="E727" s="21"/>
      <c r="F727" s="21"/>
      <c r="G727" s="21"/>
      <c r="H727" s="21"/>
      <c r="I727" s="21"/>
      <c r="J727" s="21"/>
    </row>
    <row r="728" spans="1:10" ht="15.6" x14ac:dyDescent="0.3">
      <c r="A728" s="11" t="s">
        <v>80</v>
      </c>
      <c r="B728" s="21"/>
      <c r="C728" s="21"/>
      <c r="D728" s="21"/>
      <c r="E728" s="21"/>
      <c r="F728" s="21"/>
      <c r="G728" s="21"/>
      <c r="H728" s="21"/>
      <c r="I728" s="21"/>
      <c r="J728" s="21"/>
    </row>
    <row r="729" spans="1:10" x14ac:dyDescent="0.3">
      <c r="A729" s="21" t="s">
        <v>81</v>
      </c>
      <c r="B729" s="21" t="s">
        <v>82</v>
      </c>
      <c r="C729" s="21" t="s">
        <v>188</v>
      </c>
      <c r="D729" s="21" t="s">
        <v>73</v>
      </c>
      <c r="E729" s="21" t="s">
        <v>77</v>
      </c>
      <c r="F729" s="21" t="s">
        <v>75</v>
      </c>
      <c r="G729" s="21" t="s">
        <v>74</v>
      </c>
      <c r="H729" s="21"/>
      <c r="I729" s="21"/>
      <c r="J729" s="21"/>
    </row>
    <row r="730" spans="1:10" x14ac:dyDescent="0.3">
      <c r="A730" s="21" t="s">
        <v>260</v>
      </c>
      <c r="B730" s="21">
        <v>1</v>
      </c>
      <c r="C730" s="21" t="s">
        <v>187</v>
      </c>
      <c r="D730" s="21" t="s">
        <v>98</v>
      </c>
      <c r="E730" s="21" t="s">
        <v>78</v>
      </c>
      <c r="F730" s="21" t="s">
        <v>85</v>
      </c>
      <c r="G730" s="21"/>
      <c r="H730" s="21"/>
      <c r="I730" s="21"/>
      <c r="J730" s="21"/>
    </row>
    <row r="731" spans="1:10" x14ac:dyDescent="0.3">
      <c r="A731" s="21" t="s">
        <v>216</v>
      </c>
      <c r="B731" s="21">
        <v>1</v>
      </c>
      <c r="C731" s="21" t="s">
        <v>193</v>
      </c>
      <c r="D731" s="21" t="s">
        <v>98</v>
      </c>
      <c r="E731" s="21" t="s">
        <v>78</v>
      </c>
      <c r="F731" s="21" t="s">
        <v>91</v>
      </c>
      <c r="G731" s="21" t="s">
        <v>217</v>
      </c>
      <c r="H731" s="21"/>
      <c r="I731" s="21"/>
      <c r="J731" s="21"/>
    </row>
    <row r="732" spans="1:10" x14ac:dyDescent="0.3">
      <c r="A732" s="21" t="s">
        <v>440</v>
      </c>
      <c r="B732" s="21">
        <v>0.45</v>
      </c>
      <c r="C732" s="21" t="s">
        <v>193</v>
      </c>
      <c r="D732" s="21" t="s">
        <v>98</v>
      </c>
      <c r="E732" s="21" t="s">
        <v>78</v>
      </c>
      <c r="F732" s="21" t="s">
        <v>91</v>
      </c>
      <c r="G732" s="21" t="s">
        <v>441</v>
      </c>
      <c r="H732" s="21"/>
      <c r="I732" s="21"/>
      <c r="J732" s="21"/>
    </row>
    <row r="733" spans="1:10" x14ac:dyDescent="0.3">
      <c r="A733" s="21" t="s">
        <v>290</v>
      </c>
      <c r="B733" s="21">
        <v>0.23</v>
      </c>
      <c r="C733" s="21" t="s">
        <v>193</v>
      </c>
      <c r="D733" s="21" t="s">
        <v>98</v>
      </c>
      <c r="E733" s="21" t="s">
        <v>78</v>
      </c>
      <c r="F733" s="21" t="s">
        <v>91</v>
      </c>
      <c r="G733" s="21" t="s">
        <v>291</v>
      </c>
      <c r="H733" s="21"/>
      <c r="I733" s="21"/>
      <c r="J733" s="21"/>
    </row>
    <row r="734" spans="1:10" x14ac:dyDescent="0.3">
      <c r="A734" s="21" t="s">
        <v>290</v>
      </c>
      <c r="B734" s="21">
        <v>4.1000000000000002E-2</v>
      </c>
      <c r="C734" s="21" t="s">
        <v>193</v>
      </c>
      <c r="D734" s="21" t="s">
        <v>98</v>
      </c>
      <c r="E734" s="21" t="s">
        <v>78</v>
      </c>
      <c r="F734" s="21" t="s">
        <v>91</v>
      </c>
      <c r="G734" s="21" t="s">
        <v>291</v>
      </c>
      <c r="H734" s="21"/>
      <c r="I734" s="21"/>
      <c r="J734" s="21"/>
    </row>
    <row r="735" spans="1:10" x14ac:dyDescent="0.3">
      <c r="A735" s="21" t="s">
        <v>322</v>
      </c>
      <c r="B735" s="21">
        <v>2E-8</v>
      </c>
      <c r="C735" s="21" t="s">
        <v>193</v>
      </c>
      <c r="D735" s="21" t="s">
        <v>98</v>
      </c>
      <c r="E735" s="21" t="s">
        <v>77</v>
      </c>
      <c r="F735" s="21" t="s">
        <v>91</v>
      </c>
      <c r="G735" s="21" t="s">
        <v>323</v>
      </c>
      <c r="H735" s="21"/>
      <c r="I735" s="21"/>
      <c r="J735" s="21"/>
    </row>
    <row r="736" spans="1:10" x14ac:dyDescent="0.3">
      <c r="A736" s="21" t="s">
        <v>292</v>
      </c>
      <c r="B736" s="21">
        <v>0.14000000000000001</v>
      </c>
      <c r="C736" s="21" t="s">
        <v>193</v>
      </c>
      <c r="D736" s="21" t="s">
        <v>98</v>
      </c>
      <c r="E736" s="21" t="s">
        <v>78</v>
      </c>
      <c r="F736" s="21" t="s">
        <v>91</v>
      </c>
      <c r="G736" s="21" t="s">
        <v>293</v>
      </c>
      <c r="H736" s="21"/>
      <c r="I736" s="21"/>
      <c r="J736" s="21"/>
    </row>
    <row r="737" spans="1:10" x14ac:dyDescent="0.3">
      <c r="A737" s="21" t="s">
        <v>296</v>
      </c>
      <c r="B737" s="21">
        <v>0.12</v>
      </c>
      <c r="C737" s="21" t="s">
        <v>193</v>
      </c>
      <c r="D737" s="21" t="s">
        <v>98</v>
      </c>
      <c r="E737" s="21" t="s">
        <v>78</v>
      </c>
      <c r="F737" s="21" t="s">
        <v>91</v>
      </c>
      <c r="G737" s="21" t="s">
        <v>297</v>
      </c>
      <c r="H737" s="21"/>
      <c r="I737" s="21"/>
      <c r="J737" s="21"/>
    </row>
    <row r="738" spans="1:10" x14ac:dyDescent="0.3">
      <c r="A738" s="21" t="s">
        <v>298</v>
      </c>
      <c r="B738" s="21">
        <v>0.27</v>
      </c>
      <c r="C738" s="21" t="s">
        <v>193</v>
      </c>
      <c r="D738" s="21" t="s">
        <v>98</v>
      </c>
      <c r="E738" s="21" t="s">
        <v>78</v>
      </c>
      <c r="F738" s="21" t="s">
        <v>91</v>
      </c>
      <c r="G738" s="21" t="s">
        <v>299</v>
      </c>
      <c r="H738" s="21"/>
      <c r="I738" s="21"/>
      <c r="J738" s="21"/>
    </row>
    <row r="739" spans="1:10" x14ac:dyDescent="0.3">
      <c r="A739" s="21" t="s">
        <v>442</v>
      </c>
      <c r="B739" s="21">
        <v>1.6E-2</v>
      </c>
      <c r="C739" s="21" t="s">
        <v>193</v>
      </c>
      <c r="D739" s="21" t="s">
        <v>98</v>
      </c>
      <c r="E739" s="21" t="s">
        <v>78</v>
      </c>
      <c r="F739" s="21" t="s">
        <v>91</v>
      </c>
      <c r="G739" s="21" t="s">
        <v>443</v>
      </c>
      <c r="H739" s="21"/>
      <c r="I739" s="21"/>
      <c r="J739" s="21"/>
    </row>
    <row r="740" spans="1:10" x14ac:dyDescent="0.3">
      <c r="A740" s="21" t="s">
        <v>326</v>
      </c>
      <c r="B740" s="21">
        <v>1.4E-3</v>
      </c>
      <c r="C740" s="21" t="s">
        <v>193</v>
      </c>
      <c r="D740" s="21" t="s">
        <v>98</v>
      </c>
      <c r="E740" s="21" t="s">
        <v>78</v>
      </c>
      <c r="F740" s="21" t="s">
        <v>91</v>
      </c>
      <c r="G740" s="21" t="s">
        <v>327</v>
      </c>
      <c r="H740" s="21"/>
      <c r="I740" s="21"/>
      <c r="J740" s="21"/>
    </row>
    <row r="741" spans="1:10" x14ac:dyDescent="0.3">
      <c r="A741" s="21" t="s">
        <v>328</v>
      </c>
      <c r="B741" s="21">
        <v>4.3999999999999997E-2</v>
      </c>
      <c r="C741" s="21" t="s">
        <v>193</v>
      </c>
      <c r="D741" s="21" t="s">
        <v>242</v>
      </c>
      <c r="E741" s="21" t="s">
        <v>78</v>
      </c>
      <c r="F741" s="21" t="s">
        <v>91</v>
      </c>
      <c r="G741" s="21" t="s">
        <v>329</v>
      </c>
      <c r="H741" s="21"/>
      <c r="I741" s="21"/>
      <c r="J741" s="21"/>
    </row>
    <row r="742" spans="1:10" x14ac:dyDescent="0.3">
      <c r="A742" s="21" t="s">
        <v>330</v>
      </c>
      <c r="B742" s="21">
        <v>5.7000000000000002E-2</v>
      </c>
      <c r="C742" s="21" t="s">
        <v>193</v>
      </c>
      <c r="D742" s="21" t="s">
        <v>98</v>
      </c>
      <c r="E742" s="21" t="s">
        <v>78</v>
      </c>
      <c r="F742" s="21" t="s">
        <v>91</v>
      </c>
      <c r="G742" s="21" t="s">
        <v>331</v>
      </c>
      <c r="H742" s="21"/>
      <c r="I742" s="21"/>
      <c r="J742" s="21"/>
    </row>
    <row r="743" spans="1:10" x14ac:dyDescent="0.3">
      <c r="A743" s="21" t="s">
        <v>444</v>
      </c>
      <c r="B743" s="21">
        <v>3.2000000000000001E-2</v>
      </c>
      <c r="C743" s="21" t="s">
        <v>193</v>
      </c>
      <c r="D743" s="21" t="s">
        <v>98</v>
      </c>
      <c r="E743" s="21" t="s">
        <v>78</v>
      </c>
      <c r="F743" s="21" t="s">
        <v>91</v>
      </c>
      <c r="G743" s="21" t="s">
        <v>445</v>
      </c>
      <c r="H743" s="21"/>
      <c r="I743" s="21"/>
      <c r="J743" s="21"/>
    </row>
    <row r="744" spans="1:10" x14ac:dyDescent="0.3">
      <c r="A744" s="21" t="s">
        <v>332</v>
      </c>
      <c r="B744" s="21">
        <v>1.4E-3</v>
      </c>
      <c r="C744" s="21" t="s">
        <v>193</v>
      </c>
      <c r="D744" s="21" t="s">
        <v>98</v>
      </c>
      <c r="E744" s="21" t="s">
        <v>78</v>
      </c>
      <c r="F744" s="21" t="s">
        <v>91</v>
      </c>
      <c r="G744" s="21" t="s">
        <v>333</v>
      </c>
      <c r="H744" s="21"/>
      <c r="I744" s="21"/>
      <c r="J744" s="21"/>
    </row>
    <row r="745" spans="1:10" x14ac:dyDescent="0.3">
      <c r="A745" s="21" t="s">
        <v>280</v>
      </c>
      <c r="B745" s="21">
        <v>3.5999999999999999E-3</v>
      </c>
      <c r="C745" s="21" t="s">
        <v>193</v>
      </c>
      <c r="D745" s="21" t="s">
        <v>98</v>
      </c>
      <c r="E745" s="21" t="s">
        <v>78</v>
      </c>
      <c r="F745" s="21" t="s">
        <v>91</v>
      </c>
      <c r="G745" s="21" t="s">
        <v>281</v>
      </c>
      <c r="H745" s="21"/>
      <c r="I745" s="21"/>
      <c r="J745" s="21"/>
    </row>
    <row r="746" spans="1:10" x14ac:dyDescent="0.3">
      <c r="A746" s="21" t="s">
        <v>446</v>
      </c>
      <c r="B746" s="21">
        <v>1.6E-2</v>
      </c>
      <c r="C746" s="21" t="s">
        <v>193</v>
      </c>
      <c r="D746" s="21" t="s">
        <v>98</v>
      </c>
      <c r="E746" s="21" t="s">
        <v>78</v>
      </c>
      <c r="F746" s="21" t="s">
        <v>91</v>
      </c>
      <c r="G746" s="21" t="s">
        <v>447</v>
      </c>
      <c r="H746" s="21"/>
      <c r="I746" s="21"/>
      <c r="J746" s="21"/>
    </row>
    <row r="747" spans="1:10" x14ac:dyDescent="0.3">
      <c r="A747" s="21"/>
      <c r="B747" s="21"/>
      <c r="C747" s="21"/>
      <c r="D747" s="21"/>
      <c r="E747" s="21"/>
      <c r="F747" s="21"/>
      <c r="G747" s="21"/>
      <c r="H747" s="21"/>
      <c r="I747" s="21"/>
      <c r="J747" s="21"/>
    </row>
    <row r="748" spans="1:10" x14ac:dyDescent="0.3">
      <c r="A748" s="21"/>
      <c r="B748" s="21"/>
      <c r="C748" s="21"/>
      <c r="D748" s="21"/>
      <c r="E748" s="21"/>
      <c r="F748" s="21"/>
      <c r="G748" s="21"/>
      <c r="H748" s="21"/>
      <c r="I748" s="21"/>
      <c r="J748" s="21"/>
    </row>
    <row r="749" spans="1:10" ht="15.6" x14ac:dyDescent="0.3">
      <c r="A749" s="11" t="s">
        <v>72</v>
      </c>
      <c r="B749" s="11" t="s">
        <v>423</v>
      </c>
      <c r="C749" s="21"/>
      <c r="D749" s="21"/>
      <c r="E749" s="21"/>
      <c r="F749" s="21"/>
      <c r="G749" s="21"/>
      <c r="H749" s="21"/>
      <c r="I749" s="21"/>
      <c r="J749" s="21"/>
    </row>
    <row r="750" spans="1:10" x14ac:dyDescent="0.3">
      <c r="A750" s="21" t="s">
        <v>202</v>
      </c>
      <c r="B750" s="21" t="s">
        <v>448</v>
      </c>
      <c r="C750" s="21"/>
      <c r="D750" s="21"/>
      <c r="E750" s="21"/>
      <c r="F750" s="21"/>
      <c r="G750" s="21"/>
      <c r="H750" s="21"/>
      <c r="I750" s="21"/>
      <c r="J750" s="21"/>
    </row>
    <row r="751" spans="1:10" x14ac:dyDescent="0.3">
      <c r="A751" s="21" t="s">
        <v>84</v>
      </c>
      <c r="B751" s="21" t="s">
        <v>86</v>
      </c>
      <c r="C751" s="21"/>
      <c r="D751" s="21"/>
      <c r="E751" s="21"/>
      <c r="F751" s="21"/>
      <c r="G751" s="21"/>
      <c r="H751" s="21"/>
      <c r="I751" s="21"/>
      <c r="J751" s="21"/>
    </row>
    <row r="752" spans="1:10" x14ac:dyDescent="0.3">
      <c r="A752" s="21" t="s">
        <v>73</v>
      </c>
      <c r="B752" s="21" t="s">
        <v>98</v>
      </c>
      <c r="C752" s="21"/>
      <c r="D752" s="21"/>
      <c r="E752" s="21"/>
      <c r="F752" s="21"/>
      <c r="G752" s="21"/>
      <c r="H752" s="21"/>
      <c r="I752" s="21"/>
      <c r="J752" s="21"/>
    </row>
    <row r="753" spans="1:10" x14ac:dyDescent="0.3">
      <c r="A753" s="21" t="s">
        <v>186</v>
      </c>
      <c r="B753" s="21">
        <v>1</v>
      </c>
      <c r="C753" s="21"/>
      <c r="D753" s="21"/>
      <c r="E753" s="21"/>
      <c r="F753" s="21"/>
      <c r="G753" s="21"/>
      <c r="H753" s="21"/>
      <c r="I753" s="21"/>
      <c r="J753" s="21"/>
    </row>
    <row r="754" spans="1:10" x14ac:dyDescent="0.3">
      <c r="A754" s="21" t="s">
        <v>74</v>
      </c>
      <c r="B754" s="21" t="s">
        <v>423</v>
      </c>
      <c r="C754" s="21"/>
      <c r="D754" s="21"/>
      <c r="E754" s="21"/>
      <c r="F754" s="21"/>
      <c r="G754" s="21"/>
      <c r="H754" s="21"/>
      <c r="I754" s="21"/>
      <c r="J754" s="21"/>
    </row>
    <row r="755" spans="1:10" x14ac:dyDescent="0.3">
      <c r="A755" s="21" t="s">
        <v>77</v>
      </c>
      <c r="B755" s="21" t="s">
        <v>78</v>
      </c>
      <c r="C755" s="21"/>
      <c r="D755" s="21"/>
      <c r="E755" s="21"/>
      <c r="F755" s="21"/>
      <c r="G755" s="21"/>
      <c r="H755" s="21"/>
      <c r="I755" s="21"/>
      <c r="J755" s="21"/>
    </row>
    <row r="756" spans="1:10" x14ac:dyDescent="0.3">
      <c r="A756" s="21" t="s">
        <v>204</v>
      </c>
      <c r="B756" s="21" t="s">
        <v>187</v>
      </c>
      <c r="C756" s="21"/>
      <c r="D756" s="21"/>
      <c r="E756" s="21"/>
      <c r="F756" s="21"/>
      <c r="G756" s="21"/>
      <c r="H756" s="21"/>
      <c r="I756" s="21"/>
      <c r="J756" s="21"/>
    </row>
    <row r="757" spans="1:10" ht="15.6" x14ac:dyDescent="0.3">
      <c r="A757" s="11" t="s">
        <v>80</v>
      </c>
      <c r="B757" s="21"/>
      <c r="C757" s="21"/>
      <c r="D757" s="21"/>
      <c r="E757" s="21"/>
      <c r="F757" s="21"/>
      <c r="G757" s="21"/>
      <c r="H757" s="21"/>
      <c r="I757" s="21"/>
      <c r="J757" s="21"/>
    </row>
    <row r="758" spans="1:10" x14ac:dyDescent="0.3">
      <c r="A758" s="21" t="s">
        <v>81</v>
      </c>
      <c r="B758" s="21" t="s">
        <v>82</v>
      </c>
      <c r="C758" s="21" t="s">
        <v>188</v>
      </c>
      <c r="D758" s="21" t="s">
        <v>73</v>
      </c>
      <c r="E758" s="21" t="s">
        <v>77</v>
      </c>
      <c r="F758" s="21" t="s">
        <v>75</v>
      </c>
      <c r="G758" s="21" t="s">
        <v>74</v>
      </c>
      <c r="H758" s="21"/>
      <c r="I758" s="21"/>
      <c r="J758" s="21"/>
    </row>
    <row r="759" spans="1:10" x14ac:dyDescent="0.3">
      <c r="A759" s="21" t="s">
        <v>423</v>
      </c>
      <c r="B759" s="21">
        <v>1</v>
      </c>
      <c r="C759" s="21" t="s">
        <v>187</v>
      </c>
      <c r="D759" s="21" t="s">
        <v>98</v>
      </c>
      <c r="E759" s="21" t="s">
        <v>78</v>
      </c>
      <c r="F759" s="21" t="s">
        <v>85</v>
      </c>
      <c r="G759" s="21"/>
      <c r="H759" s="21"/>
      <c r="I759" s="21"/>
      <c r="J759" s="21"/>
    </row>
    <row r="760" spans="1:10" x14ac:dyDescent="0.3">
      <c r="A760" s="21" t="s">
        <v>218</v>
      </c>
      <c r="B760" s="21">
        <v>1.0999999999999999E-10</v>
      </c>
      <c r="C760" s="21" t="s">
        <v>193</v>
      </c>
      <c r="D760" s="21" t="s">
        <v>98</v>
      </c>
      <c r="E760" s="21" t="s">
        <v>77</v>
      </c>
      <c r="F760" s="21" t="s">
        <v>91</v>
      </c>
      <c r="G760" s="21" t="s">
        <v>219</v>
      </c>
      <c r="H760" s="21"/>
      <c r="I760" s="21"/>
      <c r="J760" s="21"/>
    </row>
    <row r="761" spans="1:10" x14ac:dyDescent="0.3">
      <c r="A761" s="21" t="s">
        <v>449</v>
      </c>
      <c r="B761" s="21">
        <v>0.7</v>
      </c>
      <c r="C761" s="21" t="s">
        <v>193</v>
      </c>
      <c r="D761" s="21" t="s">
        <v>94</v>
      </c>
      <c r="E761" s="21" t="s">
        <v>78</v>
      </c>
      <c r="F761" s="21" t="s">
        <v>91</v>
      </c>
      <c r="G761" s="21" t="s">
        <v>450</v>
      </c>
      <c r="H761" s="21"/>
      <c r="I761" s="21"/>
      <c r="J761" s="21"/>
    </row>
    <row r="762" spans="1:10" x14ac:dyDescent="0.3">
      <c r="A762" s="21" t="s">
        <v>428</v>
      </c>
      <c r="B762" s="21">
        <v>0.03</v>
      </c>
      <c r="C762" s="21" t="s">
        <v>193</v>
      </c>
      <c r="D762" s="21" t="s">
        <v>98</v>
      </c>
      <c r="E762" s="21" t="s">
        <v>429</v>
      </c>
      <c r="F762" s="21" t="s">
        <v>91</v>
      </c>
      <c r="G762" s="21" t="s">
        <v>430</v>
      </c>
      <c r="H762" s="21"/>
      <c r="I762" s="21"/>
      <c r="J762" s="21"/>
    </row>
    <row r="763" spans="1:10" x14ac:dyDescent="0.3">
      <c r="A763" s="21" t="s">
        <v>292</v>
      </c>
      <c r="B763" s="21">
        <v>0.3</v>
      </c>
      <c r="C763" s="21" t="s">
        <v>193</v>
      </c>
      <c r="D763" s="21" t="s">
        <v>98</v>
      </c>
      <c r="E763" s="21" t="s">
        <v>78</v>
      </c>
      <c r="F763" s="21" t="s">
        <v>91</v>
      </c>
      <c r="G763" s="21" t="s">
        <v>293</v>
      </c>
      <c r="H763" s="21"/>
      <c r="I763" s="21"/>
      <c r="J763" s="21"/>
    </row>
    <row r="764" spans="1:10" x14ac:dyDescent="0.3">
      <c r="A764" s="21" t="s">
        <v>431</v>
      </c>
      <c r="B764" s="21">
        <v>0.3</v>
      </c>
      <c r="C764" s="21" t="s">
        <v>193</v>
      </c>
      <c r="D764" s="21" t="s">
        <v>242</v>
      </c>
      <c r="E764" s="21" t="s">
        <v>78</v>
      </c>
      <c r="F764" s="21" t="s">
        <v>91</v>
      </c>
      <c r="G764" s="21" t="s">
        <v>432</v>
      </c>
      <c r="H764" s="21"/>
      <c r="I764" s="21"/>
      <c r="J764" s="21"/>
    </row>
    <row r="765" spans="1:10" x14ac:dyDescent="0.3">
      <c r="A765" s="21" t="s">
        <v>300</v>
      </c>
      <c r="B765" s="21">
        <v>2.1999999999999999E-10</v>
      </c>
      <c r="C765" s="21" t="s">
        <v>193</v>
      </c>
      <c r="D765" s="21" t="s">
        <v>98</v>
      </c>
      <c r="E765" s="21" t="s">
        <v>77</v>
      </c>
      <c r="F765" s="21" t="s">
        <v>91</v>
      </c>
      <c r="G765" s="21" t="s">
        <v>301</v>
      </c>
      <c r="H765" s="21"/>
      <c r="I765" s="21"/>
      <c r="J765" s="21"/>
    </row>
    <row r="766" spans="1:10" x14ac:dyDescent="0.3">
      <c r="A766" s="21" t="s">
        <v>220</v>
      </c>
      <c r="B766" s="21">
        <v>0.7</v>
      </c>
      <c r="C766" s="21" t="s">
        <v>193</v>
      </c>
      <c r="D766" s="21" t="s">
        <v>98</v>
      </c>
      <c r="E766" s="21" t="s">
        <v>78</v>
      </c>
      <c r="F766" s="21" t="s">
        <v>91</v>
      </c>
      <c r="G766" s="21" t="s">
        <v>221</v>
      </c>
      <c r="H766" s="21"/>
      <c r="I766" s="21"/>
      <c r="J766" s="21"/>
    </row>
    <row r="767" spans="1:10" x14ac:dyDescent="0.3">
      <c r="A767" s="21"/>
      <c r="B767" s="21"/>
      <c r="C767" s="21"/>
      <c r="D767" s="21"/>
      <c r="E767" s="21"/>
      <c r="F767" s="21"/>
      <c r="G767" s="21"/>
      <c r="H767" s="21"/>
      <c r="I767" s="21"/>
      <c r="J767" s="21"/>
    </row>
    <row r="768" spans="1:10" ht="15.6" x14ac:dyDescent="0.3">
      <c r="A768" s="11" t="s">
        <v>72</v>
      </c>
      <c r="B768" s="11" t="s">
        <v>252</v>
      </c>
      <c r="C768" s="21"/>
      <c r="D768" s="21"/>
      <c r="E768" s="21"/>
      <c r="F768" s="21"/>
      <c r="G768" s="21"/>
      <c r="H768" s="21"/>
      <c r="I768" s="21"/>
      <c r="J768" s="21"/>
    </row>
    <row r="769" spans="1:10" x14ac:dyDescent="0.3">
      <c r="A769" s="21" t="s">
        <v>202</v>
      </c>
      <c r="B769" s="21" t="s">
        <v>451</v>
      </c>
      <c r="C769" s="21"/>
      <c r="D769" s="21"/>
      <c r="E769" s="21"/>
      <c r="F769" s="21"/>
      <c r="G769" s="21"/>
      <c r="H769" s="21"/>
      <c r="I769" s="21"/>
      <c r="J769" s="21"/>
    </row>
    <row r="770" spans="1:10" x14ac:dyDescent="0.3">
      <c r="A770" s="21" t="s">
        <v>84</v>
      </c>
      <c r="B770" s="21" t="s">
        <v>86</v>
      </c>
      <c r="C770" s="21"/>
      <c r="D770" s="21"/>
      <c r="E770" s="21"/>
      <c r="F770" s="21"/>
      <c r="G770" s="21"/>
      <c r="H770" s="21"/>
      <c r="I770" s="21"/>
      <c r="J770" s="21"/>
    </row>
    <row r="771" spans="1:10" x14ac:dyDescent="0.3">
      <c r="A771" s="21" t="s">
        <v>73</v>
      </c>
      <c r="B771" s="21" t="s">
        <v>98</v>
      </c>
      <c r="C771" s="21"/>
      <c r="D771" s="21"/>
      <c r="E771" s="21"/>
      <c r="F771" s="21"/>
      <c r="G771" s="21"/>
      <c r="H771" s="21"/>
      <c r="I771" s="21"/>
      <c r="J771" s="21"/>
    </row>
    <row r="772" spans="1:10" x14ac:dyDescent="0.3">
      <c r="A772" s="21" t="s">
        <v>186</v>
      </c>
      <c r="B772" s="21">
        <v>1</v>
      </c>
      <c r="C772" s="21"/>
      <c r="D772" s="21"/>
      <c r="E772" s="21"/>
      <c r="F772" s="21"/>
      <c r="G772" s="21"/>
      <c r="H772" s="21"/>
      <c r="I772" s="21"/>
      <c r="J772" s="21"/>
    </row>
    <row r="773" spans="1:10" x14ac:dyDescent="0.3">
      <c r="A773" s="21" t="s">
        <v>74</v>
      </c>
      <c r="B773" s="21" t="s">
        <v>252</v>
      </c>
      <c r="C773" s="21"/>
      <c r="D773" s="21"/>
      <c r="E773" s="21"/>
      <c r="F773" s="21"/>
      <c r="G773" s="21"/>
      <c r="H773" s="21"/>
      <c r="I773" s="21"/>
      <c r="J773" s="21"/>
    </row>
    <row r="774" spans="1:10" x14ac:dyDescent="0.3">
      <c r="A774" s="21" t="s">
        <v>77</v>
      </c>
      <c r="B774" s="21" t="s">
        <v>78</v>
      </c>
      <c r="C774" s="21"/>
      <c r="D774" s="21"/>
      <c r="E774" s="21"/>
      <c r="F774" s="21"/>
      <c r="G774" s="21"/>
      <c r="H774" s="21"/>
      <c r="I774" s="21"/>
      <c r="J774" s="21"/>
    </row>
    <row r="775" spans="1:10" x14ac:dyDescent="0.3">
      <c r="A775" s="21" t="s">
        <v>204</v>
      </c>
      <c r="B775" s="21" t="s">
        <v>187</v>
      </c>
      <c r="C775" s="21"/>
      <c r="D775" s="21"/>
      <c r="E775" s="21"/>
      <c r="F775" s="21"/>
      <c r="G775" s="21"/>
      <c r="H775" s="21"/>
      <c r="I775" s="21"/>
      <c r="J775" s="21"/>
    </row>
    <row r="776" spans="1:10" ht="15.6" x14ac:dyDescent="0.3">
      <c r="A776" s="11" t="s">
        <v>80</v>
      </c>
      <c r="B776" s="21"/>
      <c r="C776" s="21"/>
      <c r="D776" s="21"/>
      <c r="E776" s="21"/>
      <c r="F776" s="21"/>
      <c r="G776" s="21"/>
      <c r="H776" s="21"/>
      <c r="I776" s="21"/>
      <c r="J776" s="21"/>
    </row>
    <row r="777" spans="1:10" x14ac:dyDescent="0.3">
      <c r="A777" s="21" t="s">
        <v>81</v>
      </c>
      <c r="B777" s="21" t="s">
        <v>82</v>
      </c>
      <c r="C777" s="21" t="s">
        <v>188</v>
      </c>
      <c r="D777" s="21" t="s">
        <v>73</v>
      </c>
      <c r="E777" s="21" t="s">
        <v>77</v>
      </c>
      <c r="F777" s="21" t="s">
        <v>75</v>
      </c>
      <c r="G777" s="21" t="s">
        <v>74</v>
      </c>
      <c r="H777" s="21"/>
      <c r="I777" s="21"/>
      <c r="J777" s="21"/>
    </row>
    <row r="778" spans="1:10" x14ac:dyDescent="0.3">
      <c r="A778" s="21" t="s">
        <v>252</v>
      </c>
      <c r="B778" s="21">
        <v>1</v>
      </c>
      <c r="C778" s="21" t="s">
        <v>187</v>
      </c>
      <c r="D778" s="21" t="s">
        <v>98</v>
      </c>
      <c r="E778" s="21" t="s">
        <v>78</v>
      </c>
      <c r="F778" s="21" t="s">
        <v>85</v>
      </c>
      <c r="G778" s="21"/>
      <c r="H778" s="21"/>
      <c r="I778" s="21"/>
      <c r="J778" s="21"/>
    </row>
    <row r="779" spans="1:10" x14ac:dyDescent="0.3">
      <c r="A779" s="21" t="s">
        <v>292</v>
      </c>
      <c r="B779" s="21">
        <v>1</v>
      </c>
      <c r="C779" s="21" t="s">
        <v>193</v>
      </c>
      <c r="D779" s="21" t="s">
        <v>98</v>
      </c>
      <c r="E779" s="21" t="s">
        <v>78</v>
      </c>
      <c r="F779" s="21" t="s">
        <v>91</v>
      </c>
      <c r="G779" s="21" t="s">
        <v>293</v>
      </c>
      <c r="H779" s="21"/>
      <c r="I779" s="21"/>
      <c r="J779" s="21"/>
    </row>
    <row r="780" spans="1:10" x14ac:dyDescent="0.3">
      <c r="A780" s="21" t="s">
        <v>300</v>
      </c>
      <c r="B780" s="21">
        <v>7.4000000000000003E-10</v>
      </c>
      <c r="C780" s="21" t="s">
        <v>193</v>
      </c>
      <c r="D780" s="21" t="s">
        <v>98</v>
      </c>
      <c r="E780" s="21" t="s">
        <v>77</v>
      </c>
      <c r="F780" s="21" t="s">
        <v>91</v>
      </c>
      <c r="G780" s="21" t="s">
        <v>301</v>
      </c>
      <c r="H780" s="21"/>
      <c r="I780" s="21"/>
      <c r="J780" s="21"/>
    </row>
    <row r="781" spans="1:10" x14ac:dyDescent="0.3">
      <c r="A781" s="21" t="s">
        <v>393</v>
      </c>
      <c r="B781" s="21">
        <v>1</v>
      </c>
      <c r="C781" s="21" t="s">
        <v>193</v>
      </c>
      <c r="D781" s="21" t="s">
        <v>98</v>
      </c>
      <c r="E781" s="21" t="s">
        <v>78</v>
      </c>
      <c r="F781" s="21" t="s">
        <v>91</v>
      </c>
      <c r="G781" s="21" t="s">
        <v>394</v>
      </c>
      <c r="H781" s="21"/>
      <c r="I781" s="21"/>
      <c r="J781" s="21"/>
    </row>
    <row r="782" spans="1:10" x14ac:dyDescent="0.3">
      <c r="A782" s="21"/>
      <c r="B782" s="21"/>
      <c r="C782" s="21"/>
      <c r="D782" s="21"/>
      <c r="E782" s="21"/>
      <c r="F782" s="21"/>
      <c r="G782" s="21"/>
      <c r="H782" s="21"/>
      <c r="I782" s="21"/>
      <c r="J782" s="21"/>
    </row>
    <row r="783" spans="1:10" ht="15.6" x14ac:dyDescent="0.3">
      <c r="A783" s="11" t="s">
        <v>72</v>
      </c>
      <c r="B783" s="11" t="s">
        <v>279</v>
      </c>
      <c r="C783" s="21"/>
      <c r="D783" s="21"/>
      <c r="E783" s="21"/>
      <c r="F783" s="21"/>
      <c r="G783" s="21"/>
      <c r="H783" s="21"/>
      <c r="I783" s="21"/>
      <c r="J783" s="21"/>
    </row>
    <row r="784" spans="1:10" x14ac:dyDescent="0.3">
      <c r="A784" s="21" t="s">
        <v>202</v>
      </c>
      <c r="B784" s="21" t="s">
        <v>452</v>
      </c>
      <c r="C784" s="21"/>
      <c r="D784" s="21"/>
      <c r="E784" s="21"/>
      <c r="F784" s="21"/>
      <c r="G784" s="21"/>
      <c r="H784" s="21"/>
      <c r="I784" s="21"/>
      <c r="J784" s="21"/>
    </row>
    <row r="785" spans="1:10" x14ac:dyDescent="0.3">
      <c r="A785" s="21" t="s">
        <v>84</v>
      </c>
      <c r="B785" s="21" t="s">
        <v>86</v>
      </c>
      <c r="C785" s="21"/>
      <c r="D785" s="21"/>
      <c r="E785" s="21"/>
      <c r="F785" s="21"/>
      <c r="G785" s="21"/>
      <c r="H785" s="21"/>
      <c r="I785" s="21"/>
      <c r="J785" s="21"/>
    </row>
    <row r="786" spans="1:10" x14ac:dyDescent="0.3">
      <c r="A786" s="21" t="s">
        <v>73</v>
      </c>
      <c r="B786" s="21" t="s">
        <v>98</v>
      </c>
      <c r="C786" s="21"/>
      <c r="D786" s="21"/>
      <c r="E786" s="21"/>
      <c r="F786" s="21"/>
      <c r="G786" s="21"/>
      <c r="H786" s="21"/>
      <c r="I786" s="21"/>
      <c r="J786" s="21"/>
    </row>
    <row r="787" spans="1:10" x14ac:dyDescent="0.3">
      <c r="A787" s="21" t="s">
        <v>186</v>
      </c>
      <c r="B787" s="21">
        <v>1</v>
      </c>
      <c r="C787" s="21"/>
      <c r="D787" s="21"/>
      <c r="E787" s="21"/>
      <c r="F787" s="21"/>
      <c r="G787" s="21"/>
      <c r="H787" s="21"/>
      <c r="I787" s="21"/>
      <c r="J787" s="21"/>
    </row>
    <row r="788" spans="1:10" x14ac:dyDescent="0.3">
      <c r="A788" s="21" t="s">
        <v>74</v>
      </c>
      <c r="B788" s="21" t="s">
        <v>279</v>
      </c>
      <c r="C788" s="21"/>
      <c r="D788" s="21"/>
      <c r="E788" s="21"/>
      <c r="F788" s="21"/>
      <c r="G788" s="21"/>
      <c r="H788" s="21"/>
      <c r="I788" s="21"/>
      <c r="J788" s="21"/>
    </row>
    <row r="789" spans="1:10" x14ac:dyDescent="0.3">
      <c r="A789" s="21" t="s">
        <v>77</v>
      </c>
      <c r="B789" s="21" t="s">
        <v>78</v>
      </c>
      <c r="C789" s="21"/>
      <c r="D789" s="21"/>
      <c r="E789" s="21"/>
      <c r="F789" s="21"/>
      <c r="G789" s="21"/>
      <c r="H789" s="21"/>
      <c r="I789" s="21"/>
      <c r="J789" s="21"/>
    </row>
    <row r="790" spans="1:10" x14ac:dyDescent="0.3">
      <c r="A790" s="21" t="s">
        <v>204</v>
      </c>
      <c r="B790" s="21" t="s">
        <v>187</v>
      </c>
      <c r="C790" s="21"/>
      <c r="D790" s="21"/>
      <c r="E790" s="21"/>
      <c r="F790" s="21"/>
      <c r="G790" s="21"/>
      <c r="H790" s="21"/>
      <c r="I790" s="21"/>
      <c r="J790" s="21"/>
    </row>
    <row r="791" spans="1:10" ht="15.6" x14ac:dyDescent="0.3">
      <c r="A791" s="11" t="s">
        <v>80</v>
      </c>
      <c r="B791" s="21"/>
      <c r="C791" s="21"/>
      <c r="D791" s="21"/>
      <c r="E791" s="21"/>
      <c r="F791" s="21"/>
      <c r="G791" s="21"/>
      <c r="H791" s="21"/>
      <c r="I791" s="21"/>
      <c r="J791" s="21"/>
    </row>
    <row r="792" spans="1:10" x14ac:dyDescent="0.3">
      <c r="A792" s="21" t="s">
        <v>81</v>
      </c>
      <c r="B792" s="21" t="s">
        <v>82</v>
      </c>
      <c r="C792" s="21" t="s">
        <v>188</v>
      </c>
      <c r="D792" s="21" t="s">
        <v>73</v>
      </c>
      <c r="E792" s="21" t="s">
        <v>77</v>
      </c>
      <c r="F792" s="21" t="s">
        <v>75</v>
      </c>
      <c r="G792" s="21" t="s">
        <v>74</v>
      </c>
      <c r="H792" s="21"/>
      <c r="I792" s="21"/>
      <c r="J792" s="21"/>
    </row>
    <row r="793" spans="1:10" x14ac:dyDescent="0.3">
      <c r="A793" s="21" t="s">
        <v>279</v>
      </c>
      <c r="B793" s="21">
        <v>1</v>
      </c>
      <c r="C793" s="21" t="s">
        <v>187</v>
      </c>
      <c r="D793" s="21" t="s">
        <v>98</v>
      </c>
      <c r="E793" s="21" t="s">
        <v>78</v>
      </c>
      <c r="F793" s="21" t="s">
        <v>85</v>
      </c>
      <c r="G793" s="21"/>
      <c r="H793" s="21"/>
      <c r="I793" s="21"/>
      <c r="J793" s="21"/>
    </row>
    <row r="794" spans="1:10" x14ac:dyDescent="0.3">
      <c r="A794" s="21" t="s">
        <v>292</v>
      </c>
      <c r="B794" s="21">
        <v>0.51</v>
      </c>
      <c r="C794" s="21" t="s">
        <v>193</v>
      </c>
      <c r="D794" s="21" t="s">
        <v>98</v>
      </c>
      <c r="E794" s="21" t="s">
        <v>78</v>
      </c>
      <c r="F794" s="21" t="s">
        <v>91</v>
      </c>
      <c r="G794" s="21" t="s">
        <v>293</v>
      </c>
      <c r="H794" s="21"/>
      <c r="I794" s="21"/>
      <c r="J794" s="21"/>
    </row>
    <row r="795" spans="1:10" x14ac:dyDescent="0.3">
      <c r="A795" s="21" t="s">
        <v>294</v>
      </c>
      <c r="B795" s="21">
        <v>2.1999999999999999E-10</v>
      </c>
      <c r="C795" s="21" t="s">
        <v>193</v>
      </c>
      <c r="D795" s="21" t="s">
        <v>98</v>
      </c>
      <c r="E795" s="21" t="s">
        <v>77</v>
      </c>
      <c r="F795" s="21" t="s">
        <v>91</v>
      </c>
      <c r="G795" s="21" t="s">
        <v>295</v>
      </c>
      <c r="H795" s="21"/>
      <c r="I795" s="21"/>
      <c r="J795" s="21"/>
    </row>
    <row r="796" spans="1:10" x14ac:dyDescent="0.3">
      <c r="A796" s="21" t="s">
        <v>326</v>
      </c>
      <c r="B796" s="21">
        <v>0.49</v>
      </c>
      <c r="C796" s="21" t="s">
        <v>193</v>
      </c>
      <c r="D796" s="21" t="s">
        <v>98</v>
      </c>
      <c r="E796" s="21" t="s">
        <v>78</v>
      </c>
      <c r="F796" s="21" t="s">
        <v>91</v>
      </c>
      <c r="G796" s="21" t="s">
        <v>327</v>
      </c>
      <c r="H796" s="21"/>
      <c r="I796" s="21"/>
      <c r="J796" s="21"/>
    </row>
    <row r="797" spans="1:10" x14ac:dyDescent="0.3">
      <c r="A797" s="21" t="s">
        <v>328</v>
      </c>
      <c r="B797" s="21">
        <v>0.13</v>
      </c>
      <c r="C797" s="21" t="s">
        <v>193</v>
      </c>
      <c r="D797" s="21" t="s">
        <v>242</v>
      </c>
      <c r="E797" s="21" t="s">
        <v>78</v>
      </c>
      <c r="F797" s="21" t="s">
        <v>91</v>
      </c>
      <c r="G797" s="21" t="s">
        <v>329</v>
      </c>
      <c r="H797" s="21"/>
      <c r="I797" s="21"/>
      <c r="J797" s="21"/>
    </row>
    <row r="798" spans="1:10" x14ac:dyDescent="0.3">
      <c r="A798" s="21" t="s">
        <v>300</v>
      </c>
      <c r="B798" s="21">
        <v>3.7999999999999998E-10</v>
      </c>
      <c r="C798" s="21" t="s">
        <v>193</v>
      </c>
      <c r="D798" s="21" t="s">
        <v>98</v>
      </c>
      <c r="E798" s="21" t="s">
        <v>77</v>
      </c>
      <c r="F798" s="21" t="s">
        <v>91</v>
      </c>
      <c r="G798" s="21" t="s">
        <v>301</v>
      </c>
      <c r="H798" s="21"/>
      <c r="I798" s="21"/>
      <c r="J798" s="21"/>
    </row>
    <row r="799" spans="1:10" x14ac:dyDescent="0.3">
      <c r="A799" s="21" t="s">
        <v>393</v>
      </c>
      <c r="B799" s="21">
        <v>0.38</v>
      </c>
      <c r="C799" s="21" t="s">
        <v>193</v>
      </c>
      <c r="D799" s="21" t="s">
        <v>98</v>
      </c>
      <c r="E799" s="21" t="s">
        <v>78</v>
      </c>
      <c r="F799" s="21" t="s">
        <v>91</v>
      </c>
      <c r="G799" s="21" t="s">
        <v>394</v>
      </c>
      <c r="H799" s="21"/>
      <c r="I799" s="21"/>
      <c r="J799" s="21"/>
    </row>
    <row r="800" spans="1:10" x14ac:dyDescent="0.3">
      <c r="A800" s="21" t="s">
        <v>332</v>
      </c>
      <c r="B800" s="21">
        <v>0.49</v>
      </c>
      <c r="C800" s="21" t="s">
        <v>193</v>
      </c>
      <c r="D800" s="21" t="s">
        <v>98</v>
      </c>
      <c r="E800" s="21" t="s">
        <v>78</v>
      </c>
      <c r="F800" s="21" t="s">
        <v>91</v>
      </c>
      <c r="G800" s="21" t="s">
        <v>333</v>
      </c>
      <c r="H800" s="21"/>
      <c r="I800" s="21"/>
      <c r="J800" s="21"/>
    </row>
    <row r="801" spans="1:10" x14ac:dyDescent="0.3">
      <c r="A801" s="21"/>
      <c r="B801" s="21"/>
      <c r="C801" s="21"/>
      <c r="D801" s="21"/>
      <c r="E801" s="21"/>
      <c r="F801" s="21"/>
      <c r="G801" s="21"/>
      <c r="H801" s="21"/>
      <c r="I801" s="21"/>
      <c r="J801" s="21"/>
    </row>
    <row r="802" spans="1:10" ht="15.6" x14ac:dyDescent="0.3">
      <c r="A802" s="11" t="s">
        <v>72</v>
      </c>
      <c r="B802" s="11" t="s">
        <v>402</v>
      </c>
      <c r="C802" s="21"/>
      <c r="D802" s="21"/>
      <c r="E802" s="21"/>
      <c r="F802" s="21"/>
      <c r="G802" s="21"/>
      <c r="H802" s="21"/>
      <c r="I802" s="21"/>
      <c r="J802" s="21"/>
    </row>
    <row r="803" spans="1:10" x14ac:dyDescent="0.3">
      <c r="A803" s="21" t="s">
        <v>202</v>
      </c>
      <c r="B803" s="21" t="s">
        <v>453</v>
      </c>
      <c r="C803" s="21"/>
      <c r="D803" s="21"/>
      <c r="E803" s="21"/>
      <c r="F803" s="21"/>
      <c r="G803" s="21"/>
      <c r="H803" s="21"/>
      <c r="I803" s="21"/>
      <c r="J803" s="21"/>
    </row>
    <row r="804" spans="1:10" x14ac:dyDescent="0.3">
      <c r="A804" s="21" t="s">
        <v>84</v>
      </c>
      <c r="B804" s="21" t="s">
        <v>86</v>
      </c>
      <c r="C804" s="21"/>
      <c r="D804" s="21"/>
      <c r="E804" s="21"/>
      <c r="F804" s="21"/>
      <c r="G804" s="21"/>
      <c r="H804" s="21"/>
      <c r="I804" s="21"/>
      <c r="J804" s="21"/>
    </row>
    <row r="805" spans="1:10" x14ac:dyDescent="0.3">
      <c r="A805" s="21" t="s">
        <v>73</v>
      </c>
      <c r="B805" s="21" t="s">
        <v>98</v>
      </c>
      <c r="C805" s="21"/>
      <c r="D805" s="21"/>
      <c r="E805" s="21"/>
      <c r="F805" s="21"/>
      <c r="G805" s="21"/>
      <c r="H805" s="21"/>
      <c r="I805" s="21"/>
      <c r="J805" s="21"/>
    </row>
    <row r="806" spans="1:10" x14ac:dyDescent="0.3">
      <c r="A806" s="21" t="s">
        <v>186</v>
      </c>
      <c r="B806" s="21">
        <v>1</v>
      </c>
      <c r="C806" s="21"/>
      <c r="D806" s="21"/>
      <c r="E806" s="21"/>
      <c r="F806" s="21"/>
      <c r="G806" s="21"/>
      <c r="H806" s="21"/>
      <c r="I806" s="21"/>
      <c r="J806" s="21"/>
    </row>
    <row r="807" spans="1:10" x14ac:dyDescent="0.3">
      <c r="A807" s="21" t="s">
        <v>74</v>
      </c>
      <c r="B807" s="21" t="s">
        <v>402</v>
      </c>
      <c r="C807" s="21"/>
      <c r="D807" s="21"/>
      <c r="E807" s="21"/>
      <c r="F807" s="21"/>
      <c r="G807" s="21"/>
      <c r="H807" s="21"/>
      <c r="I807" s="21"/>
      <c r="J807" s="21"/>
    </row>
    <row r="808" spans="1:10" x14ac:dyDescent="0.3">
      <c r="A808" s="21" t="s">
        <v>77</v>
      </c>
      <c r="B808" s="21" t="s">
        <v>78</v>
      </c>
      <c r="C808" s="21"/>
      <c r="D808" s="21"/>
      <c r="E808" s="21"/>
      <c r="F808" s="21"/>
      <c r="G808" s="21"/>
      <c r="H808" s="21"/>
      <c r="I808" s="21"/>
      <c r="J808" s="21"/>
    </row>
    <row r="809" spans="1:10" x14ac:dyDescent="0.3">
      <c r="A809" s="21" t="s">
        <v>204</v>
      </c>
      <c r="B809" s="21" t="s">
        <v>187</v>
      </c>
      <c r="C809" s="21"/>
      <c r="D809" s="21"/>
      <c r="E809" s="21"/>
      <c r="F809" s="21"/>
      <c r="G809" s="21"/>
      <c r="H809" s="21"/>
      <c r="I809" s="21"/>
      <c r="J809" s="21"/>
    </row>
    <row r="810" spans="1:10" ht="15.6" x14ac:dyDescent="0.3">
      <c r="A810" s="11" t="s">
        <v>80</v>
      </c>
      <c r="B810" s="21"/>
      <c r="C810" s="21"/>
      <c r="D810" s="21"/>
      <c r="E810" s="21"/>
      <c r="F810" s="21"/>
      <c r="G810" s="21"/>
      <c r="H810" s="21"/>
      <c r="I810" s="21"/>
      <c r="J810" s="21"/>
    </row>
    <row r="811" spans="1:10" x14ac:dyDescent="0.3">
      <c r="A811" s="21" t="s">
        <v>81</v>
      </c>
      <c r="B811" s="21" t="s">
        <v>82</v>
      </c>
      <c r="C811" s="21" t="s">
        <v>188</v>
      </c>
      <c r="D811" s="21" t="s">
        <v>73</v>
      </c>
      <c r="E811" s="21" t="s">
        <v>77</v>
      </c>
      <c r="F811" s="21" t="s">
        <v>75</v>
      </c>
      <c r="G811" s="21" t="s">
        <v>74</v>
      </c>
      <c r="H811" s="21"/>
      <c r="I811" s="21"/>
      <c r="J811" s="21"/>
    </row>
    <row r="812" spans="1:10" x14ac:dyDescent="0.3">
      <c r="A812" s="21" t="s">
        <v>402</v>
      </c>
      <c r="B812" s="21">
        <v>1</v>
      </c>
      <c r="C812" s="21" t="s">
        <v>187</v>
      </c>
      <c r="D812" s="21" t="s">
        <v>98</v>
      </c>
      <c r="E812" s="21" t="s">
        <v>78</v>
      </c>
      <c r="F812" s="21" t="s">
        <v>85</v>
      </c>
      <c r="G812" s="21"/>
      <c r="H812" s="21"/>
      <c r="I812" s="21"/>
      <c r="J812" s="21"/>
    </row>
    <row r="813" spans="1:10" x14ac:dyDescent="0.3">
      <c r="A813" s="21" t="s">
        <v>288</v>
      </c>
      <c r="B813" s="21">
        <v>0.6</v>
      </c>
      <c r="C813" s="21" t="s">
        <v>193</v>
      </c>
      <c r="D813" s="21" t="s">
        <v>98</v>
      </c>
      <c r="E813" s="21" t="s">
        <v>78</v>
      </c>
      <c r="F813" s="21" t="s">
        <v>91</v>
      </c>
      <c r="G813" s="21" t="s">
        <v>289</v>
      </c>
      <c r="H813" s="21"/>
      <c r="I813" s="21"/>
      <c r="J813" s="21"/>
    </row>
    <row r="814" spans="1:10" x14ac:dyDescent="0.3">
      <c r="A814" s="21" t="s">
        <v>454</v>
      </c>
      <c r="B814" s="21">
        <v>0.1</v>
      </c>
      <c r="C814" s="21" t="s">
        <v>193</v>
      </c>
      <c r="D814" s="21" t="s">
        <v>98</v>
      </c>
      <c r="E814" s="21" t="s">
        <v>78</v>
      </c>
      <c r="F814" s="21" t="s">
        <v>91</v>
      </c>
      <c r="G814" s="21" t="s">
        <v>455</v>
      </c>
      <c r="H814" s="21"/>
      <c r="I814" s="21"/>
      <c r="J814" s="21"/>
    </row>
    <row r="815" spans="1:10" x14ac:dyDescent="0.3">
      <c r="A815" s="21" t="s">
        <v>292</v>
      </c>
      <c r="B815" s="21">
        <v>1</v>
      </c>
      <c r="C815" s="21" t="s">
        <v>193</v>
      </c>
      <c r="D815" s="21" t="s">
        <v>98</v>
      </c>
      <c r="E815" s="21" t="s">
        <v>78</v>
      </c>
      <c r="F815" s="21" t="s">
        <v>91</v>
      </c>
      <c r="G815" s="21" t="s">
        <v>293</v>
      </c>
      <c r="H815" s="21"/>
      <c r="I815" s="21"/>
      <c r="J815" s="21"/>
    </row>
    <row r="816" spans="1:10" x14ac:dyDescent="0.3">
      <c r="A816" s="21" t="s">
        <v>300</v>
      </c>
      <c r="B816" s="21">
        <v>7.4000000000000003E-10</v>
      </c>
      <c r="C816" s="21" t="s">
        <v>193</v>
      </c>
      <c r="D816" s="21" t="s">
        <v>98</v>
      </c>
      <c r="E816" s="21" t="s">
        <v>77</v>
      </c>
      <c r="F816" s="21" t="s">
        <v>91</v>
      </c>
      <c r="G816" s="21" t="s">
        <v>301</v>
      </c>
      <c r="H816" s="21"/>
      <c r="I816" s="21"/>
      <c r="J816" s="21"/>
    </row>
    <row r="817" spans="1:10" x14ac:dyDescent="0.3">
      <c r="A817" s="21" t="s">
        <v>456</v>
      </c>
      <c r="B817" s="21">
        <v>0.3</v>
      </c>
      <c r="C817" s="21" t="s">
        <v>193</v>
      </c>
      <c r="D817" s="21" t="s">
        <v>98</v>
      </c>
      <c r="E817" s="21" t="s">
        <v>78</v>
      </c>
      <c r="F817" s="21" t="s">
        <v>91</v>
      </c>
      <c r="G817" s="21" t="s">
        <v>457</v>
      </c>
      <c r="H817" s="21"/>
      <c r="I817" s="21"/>
      <c r="J817" s="21"/>
    </row>
    <row r="818" spans="1:10" x14ac:dyDescent="0.3">
      <c r="A818" s="21"/>
      <c r="B818" s="21"/>
      <c r="C818" s="21"/>
      <c r="D818" s="21"/>
      <c r="E818" s="21"/>
      <c r="F818" s="21"/>
      <c r="G818" s="21"/>
      <c r="H818" s="21"/>
      <c r="I818" s="21"/>
      <c r="J818" s="21"/>
    </row>
    <row r="819" spans="1:10" ht="15.6" x14ac:dyDescent="0.3">
      <c r="A819" s="11" t="s">
        <v>72</v>
      </c>
      <c r="B819" s="11" t="s">
        <v>283</v>
      </c>
      <c r="C819" s="21"/>
      <c r="D819" s="21"/>
      <c r="E819" s="21"/>
      <c r="F819" s="21"/>
      <c r="G819" s="21"/>
      <c r="H819" s="21"/>
      <c r="I819" s="21"/>
      <c r="J819" s="21"/>
    </row>
    <row r="820" spans="1:10" x14ac:dyDescent="0.3">
      <c r="A820" s="21" t="s">
        <v>202</v>
      </c>
      <c r="B820" s="21" t="s">
        <v>458</v>
      </c>
      <c r="C820" s="21"/>
      <c r="D820" s="21"/>
      <c r="E820" s="21"/>
      <c r="F820" s="21"/>
      <c r="G820" s="21"/>
      <c r="H820" s="21"/>
      <c r="I820" s="21"/>
      <c r="J820" s="21"/>
    </row>
    <row r="821" spans="1:10" x14ac:dyDescent="0.3">
      <c r="A821" s="21" t="s">
        <v>84</v>
      </c>
      <c r="B821" s="21" t="s">
        <v>86</v>
      </c>
      <c r="C821" s="21"/>
      <c r="D821" s="21"/>
      <c r="E821" s="21"/>
      <c r="F821" s="21"/>
      <c r="G821" s="21"/>
      <c r="H821" s="21"/>
      <c r="I821" s="21"/>
      <c r="J821" s="21"/>
    </row>
    <row r="822" spans="1:10" x14ac:dyDescent="0.3">
      <c r="A822" s="21" t="s">
        <v>73</v>
      </c>
      <c r="B822" s="21" t="s">
        <v>98</v>
      </c>
      <c r="C822" s="21"/>
      <c r="D822" s="21"/>
      <c r="E822" s="21"/>
      <c r="F822" s="21"/>
      <c r="G822" s="21"/>
      <c r="H822" s="21"/>
      <c r="I822" s="21"/>
      <c r="J822" s="21"/>
    </row>
    <row r="823" spans="1:10" x14ac:dyDescent="0.3">
      <c r="A823" s="21" t="s">
        <v>186</v>
      </c>
      <c r="B823" s="21">
        <v>1</v>
      </c>
      <c r="C823" s="21"/>
      <c r="D823" s="21"/>
      <c r="E823" s="21"/>
      <c r="F823" s="21"/>
      <c r="G823" s="21"/>
      <c r="H823" s="21"/>
      <c r="I823" s="21"/>
      <c r="J823" s="21"/>
    </row>
    <row r="824" spans="1:10" x14ac:dyDescent="0.3">
      <c r="A824" s="21" t="s">
        <v>74</v>
      </c>
      <c r="B824" s="21" t="s">
        <v>283</v>
      </c>
      <c r="C824" s="21"/>
      <c r="D824" s="21"/>
      <c r="E824" s="21"/>
      <c r="F824" s="21"/>
      <c r="G824" s="21"/>
      <c r="H824" s="21"/>
      <c r="I824" s="21"/>
      <c r="J824" s="21"/>
    </row>
    <row r="825" spans="1:10" x14ac:dyDescent="0.3">
      <c r="A825" s="21" t="s">
        <v>77</v>
      </c>
      <c r="B825" s="21" t="s">
        <v>78</v>
      </c>
      <c r="C825" s="21"/>
      <c r="D825" s="21"/>
      <c r="E825" s="21"/>
      <c r="F825" s="21"/>
      <c r="G825" s="21"/>
      <c r="H825" s="21"/>
      <c r="I825" s="21"/>
      <c r="J825" s="21"/>
    </row>
    <row r="826" spans="1:10" x14ac:dyDescent="0.3">
      <c r="A826" s="21" t="s">
        <v>204</v>
      </c>
      <c r="B826" s="21" t="s">
        <v>187</v>
      </c>
      <c r="C826" s="21"/>
      <c r="D826" s="21"/>
      <c r="E826" s="21"/>
      <c r="F826" s="21"/>
      <c r="G826" s="21"/>
      <c r="H826" s="21"/>
      <c r="I826" s="21"/>
      <c r="J826" s="21"/>
    </row>
    <row r="827" spans="1:10" ht="15.6" x14ac:dyDescent="0.3">
      <c r="A827" s="11" t="s">
        <v>80</v>
      </c>
      <c r="B827" s="21"/>
      <c r="C827" s="21"/>
      <c r="D827" s="21"/>
      <c r="E827" s="21"/>
      <c r="F827" s="21"/>
      <c r="G827" s="21"/>
      <c r="H827" s="21"/>
      <c r="I827" s="21"/>
      <c r="J827" s="21"/>
    </row>
    <row r="828" spans="1:10" x14ac:dyDescent="0.3">
      <c r="A828" s="21" t="s">
        <v>81</v>
      </c>
      <c r="B828" s="21" t="s">
        <v>82</v>
      </c>
      <c r="C828" s="21" t="s">
        <v>188</v>
      </c>
      <c r="D828" s="21" t="s">
        <v>73</v>
      </c>
      <c r="E828" s="21" t="s">
        <v>77</v>
      </c>
      <c r="F828" s="21" t="s">
        <v>75</v>
      </c>
      <c r="G828" s="21" t="s">
        <v>74</v>
      </c>
      <c r="H828" s="21"/>
      <c r="I828" s="21"/>
      <c r="J828" s="21"/>
    </row>
    <row r="829" spans="1:10" x14ac:dyDescent="0.3">
      <c r="A829" s="21" t="s">
        <v>283</v>
      </c>
      <c r="B829" s="21">
        <v>1</v>
      </c>
      <c r="C829" s="21" t="s">
        <v>187</v>
      </c>
      <c r="D829" s="21" t="s">
        <v>98</v>
      </c>
      <c r="E829" s="21" t="s">
        <v>78</v>
      </c>
      <c r="F829" s="21" t="s">
        <v>85</v>
      </c>
      <c r="G829" s="21"/>
      <c r="H829" s="21"/>
      <c r="I829" s="21"/>
      <c r="J829" s="21"/>
    </row>
    <row r="830" spans="1:10" x14ac:dyDescent="0.3">
      <c r="A830" s="21" t="s">
        <v>292</v>
      </c>
      <c r="B830" s="21">
        <v>1</v>
      </c>
      <c r="C830" s="21" t="s">
        <v>193</v>
      </c>
      <c r="D830" s="21" t="s">
        <v>98</v>
      </c>
      <c r="E830" s="21" t="s">
        <v>78</v>
      </c>
      <c r="F830" s="21" t="s">
        <v>91</v>
      </c>
      <c r="G830" s="21" t="s">
        <v>293</v>
      </c>
      <c r="H830" s="21"/>
      <c r="I830" s="21"/>
      <c r="J830" s="21"/>
    </row>
    <row r="831" spans="1:10" x14ac:dyDescent="0.3">
      <c r="A831" s="21" t="s">
        <v>300</v>
      </c>
      <c r="B831" s="21">
        <v>7.4000000000000003E-10</v>
      </c>
      <c r="C831" s="21" t="s">
        <v>193</v>
      </c>
      <c r="D831" s="21" t="s">
        <v>98</v>
      </c>
      <c r="E831" s="21" t="s">
        <v>77</v>
      </c>
      <c r="F831" s="21" t="s">
        <v>91</v>
      </c>
      <c r="G831" s="21" t="s">
        <v>301</v>
      </c>
      <c r="H831" s="21"/>
      <c r="I831" s="21"/>
      <c r="J831" s="21"/>
    </row>
    <row r="832" spans="1:10" x14ac:dyDescent="0.3">
      <c r="A832" s="21" t="s">
        <v>393</v>
      </c>
      <c r="B832" s="21">
        <v>1</v>
      </c>
      <c r="C832" s="21" t="s">
        <v>193</v>
      </c>
      <c r="D832" s="21" t="s">
        <v>98</v>
      </c>
      <c r="E832" s="21" t="s">
        <v>78</v>
      </c>
      <c r="F832" s="21" t="s">
        <v>91</v>
      </c>
      <c r="G832" s="21" t="s">
        <v>394</v>
      </c>
      <c r="H832" s="21"/>
      <c r="I832" s="21"/>
      <c r="J832" s="21"/>
    </row>
    <row r="833" spans="1:10" x14ac:dyDescent="0.3">
      <c r="A833" s="21"/>
      <c r="B833" s="21"/>
      <c r="C833" s="21"/>
      <c r="D833" s="21"/>
      <c r="E833" s="21"/>
      <c r="F833" s="21"/>
      <c r="G833" s="21"/>
      <c r="H833" s="21"/>
      <c r="I833" s="21"/>
      <c r="J833" s="21"/>
    </row>
    <row r="834" spans="1:10" ht="15.6" x14ac:dyDescent="0.3">
      <c r="A834" s="11" t="s">
        <v>72</v>
      </c>
      <c r="B834" s="11" t="s">
        <v>284</v>
      </c>
      <c r="C834" s="21"/>
      <c r="D834" s="21"/>
      <c r="E834" s="21"/>
      <c r="F834" s="21"/>
      <c r="G834" s="21"/>
      <c r="H834" s="21"/>
      <c r="I834" s="21"/>
      <c r="J834" s="21"/>
    </row>
    <row r="835" spans="1:10" x14ac:dyDescent="0.3">
      <c r="A835" s="21" t="s">
        <v>202</v>
      </c>
      <c r="B835" s="21" t="s">
        <v>459</v>
      </c>
      <c r="C835" s="21"/>
      <c r="D835" s="21"/>
      <c r="E835" s="21"/>
      <c r="F835" s="21"/>
      <c r="G835" s="21"/>
      <c r="H835" s="21"/>
      <c r="I835" s="21"/>
      <c r="J835" s="21"/>
    </row>
    <row r="836" spans="1:10" x14ac:dyDescent="0.3">
      <c r="A836" s="21" t="s">
        <v>84</v>
      </c>
      <c r="B836" s="21" t="s">
        <v>86</v>
      </c>
      <c r="C836" s="21"/>
      <c r="D836" s="21"/>
      <c r="E836" s="21"/>
      <c r="F836" s="21"/>
      <c r="G836" s="21"/>
      <c r="H836" s="21"/>
      <c r="I836" s="21"/>
      <c r="J836" s="21"/>
    </row>
    <row r="837" spans="1:10" x14ac:dyDescent="0.3">
      <c r="A837" s="21" t="s">
        <v>73</v>
      </c>
      <c r="B837" s="21" t="s">
        <v>98</v>
      </c>
      <c r="C837" s="21"/>
      <c r="D837" s="21"/>
      <c r="E837" s="21"/>
      <c r="F837" s="21"/>
      <c r="G837" s="21"/>
      <c r="H837" s="21"/>
      <c r="I837" s="21"/>
      <c r="J837" s="21"/>
    </row>
    <row r="838" spans="1:10" x14ac:dyDescent="0.3">
      <c r="A838" s="21" t="s">
        <v>186</v>
      </c>
      <c r="B838" s="21">
        <v>1</v>
      </c>
      <c r="C838" s="21"/>
      <c r="D838" s="21"/>
      <c r="E838" s="21"/>
      <c r="F838" s="21"/>
      <c r="G838" s="21"/>
      <c r="H838" s="21"/>
      <c r="I838" s="21"/>
      <c r="J838" s="21"/>
    </row>
    <row r="839" spans="1:10" x14ac:dyDescent="0.3">
      <c r="A839" s="21" t="s">
        <v>74</v>
      </c>
      <c r="B839" s="21" t="s">
        <v>284</v>
      </c>
      <c r="C839" s="21"/>
      <c r="D839" s="21"/>
      <c r="E839" s="21"/>
      <c r="F839" s="21"/>
      <c r="G839" s="21"/>
      <c r="H839" s="21"/>
      <c r="I839" s="21"/>
      <c r="J839" s="21"/>
    </row>
    <row r="840" spans="1:10" x14ac:dyDescent="0.3">
      <c r="A840" s="21" t="s">
        <v>77</v>
      </c>
      <c r="B840" s="21" t="s">
        <v>78</v>
      </c>
      <c r="C840" s="21"/>
      <c r="D840" s="21"/>
      <c r="E840" s="21"/>
      <c r="F840" s="21"/>
      <c r="G840" s="21"/>
      <c r="H840" s="21"/>
      <c r="I840" s="21"/>
      <c r="J840" s="21"/>
    </row>
    <row r="841" spans="1:10" x14ac:dyDescent="0.3">
      <c r="A841" s="21" t="s">
        <v>204</v>
      </c>
      <c r="B841" s="21" t="s">
        <v>187</v>
      </c>
      <c r="C841" s="21"/>
      <c r="D841" s="21"/>
      <c r="E841" s="21"/>
      <c r="F841" s="21"/>
      <c r="G841" s="21"/>
      <c r="H841" s="21"/>
      <c r="I841" s="21"/>
      <c r="J841" s="21"/>
    </row>
    <row r="842" spans="1:10" ht="15.6" x14ac:dyDescent="0.3">
      <c r="A842" s="11" t="s">
        <v>80</v>
      </c>
      <c r="B842" s="21"/>
      <c r="C842" s="21"/>
      <c r="D842" s="21"/>
      <c r="E842" s="21"/>
      <c r="F842" s="21"/>
      <c r="G842" s="21"/>
      <c r="H842" s="21"/>
      <c r="I842" s="21"/>
      <c r="J842" s="21"/>
    </row>
    <row r="843" spans="1:10" x14ac:dyDescent="0.3">
      <c r="A843" s="21" t="s">
        <v>81</v>
      </c>
      <c r="B843" s="21" t="s">
        <v>82</v>
      </c>
      <c r="C843" s="21" t="s">
        <v>188</v>
      </c>
      <c r="D843" s="21" t="s">
        <v>73</v>
      </c>
      <c r="E843" s="21" t="s">
        <v>77</v>
      </c>
      <c r="F843" s="21" t="s">
        <v>75</v>
      </c>
      <c r="G843" s="21" t="s">
        <v>74</v>
      </c>
      <c r="H843" s="21"/>
      <c r="I843" s="21"/>
      <c r="J843" s="21"/>
    </row>
    <row r="844" spans="1:10" x14ac:dyDescent="0.3">
      <c r="A844" s="21" t="s">
        <v>284</v>
      </c>
      <c r="B844" s="21">
        <v>1</v>
      </c>
      <c r="C844" s="21" t="s">
        <v>187</v>
      </c>
      <c r="D844" s="21" t="s">
        <v>98</v>
      </c>
      <c r="E844" s="21" t="s">
        <v>78</v>
      </c>
      <c r="F844" s="21" t="s">
        <v>85</v>
      </c>
      <c r="G844" s="21"/>
      <c r="H844" s="21"/>
      <c r="I844" s="21"/>
      <c r="J844" s="21"/>
    </row>
    <row r="845" spans="1:10" x14ac:dyDescent="0.3">
      <c r="A845" s="21" t="s">
        <v>460</v>
      </c>
      <c r="B845" s="21">
        <v>1</v>
      </c>
      <c r="C845" s="21" t="s">
        <v>193</v>
      </c>
      <c r="D845" s="21" t="s">
        <v>242</v>
      </c>
      <c r="E845" s="21" t="s">
        <v>78</v>
      </c>
      <c r="F845" s="21" t="s">
        <v>91</v>
      </c>
      <c r="G845" s="21" t="s">
        <v>461</v>
      </c>
      <c r="H845" s="21"/>
      <c r="I845" s="21"/>
      <c r="J845" s="21"/>
    </row>
    <row r="846" spans="1:10" x14ac:dyDescent="0.3">
      <c r="A846" s="21" t="s">
        <v>292</v>
      </c>
      <c r="B846" s="21">
        <v>1</v>
      </c>
      <c r="C846" s="21" t="s">
        <v>193</v>
      </c>
      <c r="D846" s="21" t="s">
        <v>98</v>
      </c>
      <c r="E846" s="21" t="s">
        <v>78</v>
      </c>
      <c r="F846" s="21" t="s">
        <v>91</v>
      </c>
      <c r="G846" s="21" t="s">
        <v>293</v>
      </c>
      <c r="H846" s="21"/>
      <c r="I846" s="21"/>
      <c r="J846" s="21"/>
    </row>
    <row r="847" spans="1:10" x14ac:dyDescent="0.3">
      <c r="A847" s="21" t="s">
        <v>300</v>
      </c>
      <c r="B847" s="21">
        <v>7.4000000000000003E-10</v>
      </c>
      <c r="C847" s="21" t="s">
        <v>193</v>
      </c>
      <c r="D847" s="21" t="s">
        <v>98</v>
      </c>
      <c r="E847" s="21" t="s">
        <v>77</v>
      </c>
      <c r="F847" s="21" t="s">
        <v>91</v>
      </c>
      <c r="G847" s="21" t="s">
        <v>301</v>
      </c>
      <c r="H847" s="21"/>
      <c r="I847" s="21"/>
      <c r="J847" s="21"/>
    </row>
    <row r="848" spans="1:10" x14ac:dyDescent="0.3">
      <c r="A848" s="21"/>
      <c r="B848" s="21"/>
      <c r="C848" s="21"/>
      <c r="D848" s="21"/>
      <c r="E848" s="21"/>
      <c r="F848" s="21"/>
      <c r="G848" s="21"/>
      <c r="H848" s="21"/>
      <c r="I848" s="21"/>
      <c r="J848" s="21"/>
    </row>
    <row r="849" spans="1:10" ht="15.6" x14ac:dyDescent="0.3">
      <c r="A849" s="11" t="s">
        <v>72</v>
      </c>
      <c r="B849" s="11" t="s">
        <v>285</v>
      </c>
      <c r="C849" s="21"/>
      <c r="D849" s="21"/>
      <c r="E849" s="21"/>
      <c r="F849" s="21"/>
      <c r="G849" s="21"/>
      <c r="H849" s="21"/>
      <c r="I849" s="21"/>
      <c r="J849" s="21"/>
    </row>
    <row r="850" spans="1:10" x14ac:dyDescent="0.3">
      <c r="A850" s="21" t="s">
        <v>84</v>
      </c>
      <c r="B850" s="21" t="s">
        <v>86</v>
      </c>
      <c r="C850" s="21"/>
      <c r="D850" s="21"/>
      <c r="E850" s="21"/>
      <c r="F850" s="21"/>
      <c r="G850" s="21"/>
      <c r="H850" s="21"/>
      <c r="I850" s="21"/>
      <c r="J850" s="21"/>
    </row>
    <row r="851" spans="1:10" x14ac:dyDescent="0.3">
      <c r="A851" s="21" t="s">
        <v>73</v>
      </c>
      <c r="B851" s="21" t="s">
        <v>98</v>
      </c>
      <c r="C851" s="21"/>
      <c r="D851" s="21"/>
      <c r="E851" s="21"/>
      <c r="F851" s="21"/>
      <c r="G851" s="21"/>
      <c r="H851" s="21"/>
      <c r="I851" s="21"/>
      <c r="J851" s="21"/>
    </row>
    <row r="852" spans="1:10" x14ac:dyDescent="0.3">
      <c r="A852" s="21" t="s">
        <v>186</v>
      </c>
      <c r="B852" s="21">
        <v>1</v>
      </c>
      <c r="C852" s="21"/>
      <c r="D852" s="21"/>
      <c r="E852" s="21"/>
      <c r="F852" s="21"/>
      <c r="G852" s="21"/>
      <c r="H852" s="21"/>
      <c r="I852" s="21"/>
      <c r="J852" s="21"/>
    </row>
    <row r="853" spans="1:10" x14ac:dyDescent="0.3">
      <c r="A853" s="21" t="s">
        <v>74</v>
      </c>
      <c r="B853" s="21" t="s">
        <v>285</v>
      </c>
      <c r="C853" s="21"/>
      <c r="D853" s="21"/>
      <c r="E853" s="21"/>
      <c r="F853" s="21"/>
      <c r="G853" s="21"/>
      <c r="H853" s="21"/>
      <c r="I853" s="21"/>
      <c r="J853" s="21"/>
    </row>
    <row r="854" spans="1:10" x14ac:dyDescent="0.3">
      <c r="A854" s="21" t="s">
        <v>77</v>
      </c>
      <c r="B854" s="21" t="s">
        <v>78</v>
      </c>
      <c r="C854" s="21"/>
      <c r="D854" s="21"/>
      <c r="E854" s="21"/>
      <c r="F854" s="21"/>
      <c r="G854" s="21"/>
      <c r="H854" s="21"/>
      <c r="I854" s="21"/>
      <c r="J854" s="21"/>
    </row>
    <row r="855" spans="1:10" x14ac:dyDescent="0.3">
      <c r="A855" s="21" t="s">
        <v>204</v>
      </c>
      <c r="B855" s="21" t="s">
        <v>187</v>
      </c>
      <c r="C855" s="21"/>
      <c r="D855" s="21"/>
      <c r="E855" s="21"/>
      <c r="F855" s="21"/>
      <c r="G855" s="21"/>
      <c r="H855" s="21"/>
      <c r="I855" s="21"/>
      <c r="J855" s="21"/>
    </row>
    <row r="856" spans="1:10" ht="15.6" x14ac:dyDescent="0.3">
      <c r="A856" s="11" t="s">
        <v>80</v>
      </c>
      <c r="B856" s="21"/>
      <c r="C856" s="21"/>
      <c r="D856" s="21"/>
      <c r="E856" s="21"/>
      <c r="F856" s="21"/>
      <c r="G856" s="21"/>
      <c r="H856" s="21"/>
      <c r="I856" s="21"/>
      <c r="J856" s="21"/>
    </row>
    <row r="857" spans="1:10" x14ac:dyDescent="0.3">
      <c r="A857" s="21" t="s">
        <v>81</v>
      </c>
      <c r="B857" s="21" t="s">
        <v>82</v>
      </c>
      <c r="C857" s="21" t="s">
        <v>188</v>
      </c>
      <c r="D857" s="21" t="s">
        <v>73</v>
      </c>
      <c r="E857" s="21" t="s">
        <v>77</v>
      </c>
      <c r="F857" s="21" t="s">
        <v>75</v>
      </c>
      <c r="G857" s="21" t="s">
        <v>74</v>
      </c>
      <c r="H857" s="21"/>
      <c r="I857" s="21"/>
      <c r="J857" s="21"/>
    </row>
    <row r="858" spans="1:10" x14ac:dyDescent="0.3">
      <c r="A858" s="21" t="s">
        <v>285</v>
      </c>
      <c r="B858" s="21">
        <v>1</v>
      </c>
      <c r="C858" s="21" t="s">
        <v>187</v>
      </c>
      <c r="D858" s="21" t="s">
        <v>98</v>
      </c>
      <c r="E858" s="21" t="s">
        <v>78</v>
      </c>
      <c r="F858" s="21" t="s">
        <v>85</v>
      </c>
      <c r="G858" s="21"/>
      <c r="H858" s="21"/>
      <c r="I858" s="21"/>
      <c r="J858" s="21"/>
    </row>
    <row r="859" spans="1:10" x14ac:dyDescent="0.3">
      <c r="A859" s="21" t="s">
        <v>294</v>
      </c>
      <c r="B859" s="21">
        <v>4.6000000000000001E-10</v>
      </c>
      <c r="C859" s="21" t="s">
        <v>193</v>
      </c>
      <c r="D859" s="21" t="s">
        <v>98</v>
      </c>
      <c r="E859" s="21" t="s">
        <v>77</v>
      </c>
      <c r="F859" s="21" t="s">
        <v>91</v>
      </c>
      <c r="G859" s="21" t="s">
        <v>295</v>
      </c>
      <c r="H859" s="21"/>
      <c r="I859" s="21"/>
      <c r="J859" s="21"/>
    </row>
    <row r="860" spans="1:10" x14ac:dyDescent="0.3">
      <c r="A860" s="21" t="s">
        <v>326</v>
      </c>
      <c r="B860" s="21">
        <v>1</v>
      </c>
      <c r="C860" s="21" t="s">
        <v>193</v>
      </c>
      <c r="D860" s="21" t="s">
        <v>98</v>
      </c>
      <c r="E860" s="21" t="s">
        <v>78</v>
      </c>
      <c r="F860" s="21" t="s">
        <v>91</v>
      </c>
      <c r="G860" s="21" t="s">
        <v>327</v>
      </c>
      <c r="H860" s="21"/>
      <c r="I860" s="21"/>
      <c r="J860" s="21"/>
    </row>
    <row r="861" spans="1:10" x14ac:dyDescent="0.3">
      <c r="A861" s="21" t="s">
        <v>332</v>
      </c>
      <c r="B861" s="21">
        <v>1</v>
      </c>
      <c r="C861" s="21" t="s">
        <v>193</v>
      </c>
      <c r="D861" s="21" t="s">
        <v>98</v>
      </c>
      <c r="E861" s="21" t="s">
        <v>78</v>
      </c>
      <c r="F861" s="21" t="s">
        <v>91</v>
      </c>
      <c r="G861" s="21" t="s">
        <v>333</v>
      </c>
      <c r="H861" s="21"/>
      <c r="I861" s="21"/>
      <c r="J861" s="21"/>
    </row>
    <row r="863" spans="1:10" s="21" customFormat="1" ht="15.6" x14ac:dyDescent="0.3">
      <c r="A863" s="11" t="s">
        <v>72</v>
      </c>
      <c r="B863" s="11" t="s">
        <v>502</v>
      </c>
    </row>
    <row r="864" spans="1:10" s="21" customFormat="1" x14ac:dyDescent="0.3">
      <c r="A864" s="21" t="s">
        <v>84</v>
      </c>
      <c r="B864" s="21" t="s">
        <v>86</v>
      </c>
    </row>
    <row r="865" spans="1:8" s="21" customFormat="1" x14ac:dyDescent="0.3">
      <c r="A865" s="21" t="s">
        <v>73</v>
      </c>
      <c r="B865" s="21" t="s">
        <v>94</v>
      </c>
    </row>
    <row r="866" spans="1:8" s="21" customFormat="1" x14ac:dyDescent="0.3">
      <c r="A866" s="21" t="s">
        <v>186</v>
      </c>
      <c r="B866" s="21">
        <v>1</v>
      </c>
    </row>
    <row r="867" spans="1:8" s="21" customFormat="1" x14ac:dyDescent="0.3">
      <c r="A867" s="21" t="s">
        <v>74</v>
      </c>
      <c r="B867" s="21" t="s">
        <v>501</v>
      </c>
    </row>
    <row r="868" spans="1:8" s="21" customFormat="1" x14ac:dyDescent="0.3">
      <c r="A868" s="21" t="s">
        <v>77</v>
      </c>
      <c r="B868" s="21" t="s">
        <v>77</v>
      </c>
    </row>
    <row r="869" spans="1:8" s="21" customFormat="1" x14ac:dyDescent="0.3">
      <c r="A869" s="21" t="s">
        <v>84</v>
      </c>
      <c r="B869" s="21" t="s">
        <v>500</v>
      </c>
    </row>
    <row r="870" spans="1:8" s="21" customFormat="1" ht="15.6" x14ac:dyDescent="0.3">
      <c r="A870" s="11" t="s">
        <v>80</v>
      </c>
    </row>
    <row r="871" spans="1:8" s="21" customFormat="1" x14ac:dyDescent="0.3">
      <c r="A871" s="21" t="s">
        <v>81</v>
      </c>
      <c r="B871" s="21" t="s">
        <v>82</v>
      </c>
      <c r="C871" s="21" t="s">
        <v>188</v>
      </c>
      <c r="D871" s="21" t="s">
        <v>73</v>
      </c>
      <c r="E871" s="21" t="s">
        <v>83</v>
      </c>
      <c r="F871" s="21" t="s">
        <v>77</v>
      </c>
      <c r="G871" s="21" t="s">
        <v>75</v>
      </c>
      <c r="H871" s="21" t="s">
        <v>74</v>
      </c>
    </row>
    <row r="872" spans="1:8" s="21" customFormat="1" x14ac:dyDescent="0.3">
      <c r="A872" s="12" t="s">
        <v>502</v>
      </c>
      <c r="B872" s="21">
        <v>1</v>
      </c>
      <c r="C872" s="21" t="s">
        <v>187</v>
      </c>
      <c r="D872" s="21" t="s">
        <v>94</v>
      </c>
      <c r="F872" s="21" t="s">
        <v>77</v>
      </c>
      <c r="G872" s="21" t="s">
        <v>85</v>
      </c>
      <c r="H872" s="21" t="s">
        <v>501</v>
      </c>
    </row>
    <row r="873" spans="1:8" s="21" customFormat="1" x14ac:dyDescent="0.3">
      <c r="A873" s="21" t="s">
        <v>294</v>
      </c>
      <c r="B873" s="21">
        <v>4.6000000000000001E-10</v>
      </c>
      <c r="C873" s="21" t="s">
        <v>193</v>
      </c>
      <c r="D873" s="21" t="s">
        <v>98</v>
      </c>
      <c r="F873" s="21" t="s">
        <v>77</v>
      </c>
      <c r="G873" s="21" t="s">
        <v>91</v>
      </c>
      <c r="H873" s="21" t="s">
        <v>295</v>
      </c>
    </row>
    <row r="874" spans="1:8" s="21" customFormat="1" x14ac:dyDescent="0.3">
      <c r="A874" s="21" t="s">
        <v>326</v>
      </c>
      <c r="B874" s="21">
        <v>1</v>
      </c>
      <c r="C874" s="21" t="s">
        <v>193</v>
      </c>
      <c r="D874" s="21" t="s">
        <v>98</v>
      </c>
      <c r="F874" s="21" t="s">
        <v>78</v>
      </c>
      <c r="G874" s="21" t="s">
        <v>91</v>
      </c>
      <c r="H874" s="21" t="s">
        <v>327</v>
      </c>
    </row>
    <row r="875" spans="1:8" s="21" customFormat="1" x14ac:dyDescent="0.3">
      <c r="A875" s="21" t="s">
        <v>332</v>
      </c>
      <c r="B875" s="21">
        <v>1</v>
      </c>
      <c r="C875" s="21" t="s">
        <v>193</v>
      </c>
      <c r="D875" s="21" t="s">
        <v>98</v>
      </c>
      <c r="F875" s="21" t="s">
        <v>78</v>
      </c>
      <c r="G875" s="21" t="s">
        <v>91</v>
      </c>
      <c r="H875" s="21" t="s">
        <v>333</v>
      </c>
    </row>
    <row r="876" spans="1:8" x14ac:dyDescent="0.3">
      <c r="A876" t="s">
        <v>470</v>
      </c>
      <c r="B876">
        <v>1.9575</v>
      </c>
      <c r="C876" s="21" t="s">
        <v>193</v>
      </c>
      <c r="D876" t="s">
        <v>98</v>
      </c>
      <c r="F876" t="s">
        <v>78</v>
      </c>
      <c r="G876" s="21" t="s">
        <v>91</v>
      </c>
      <c r="H876" t="s">
        <v>122</v>
      </c>
    </row>
    <row r="877" spans="1:8" x14ac:dyDescent="0.3">
      <c r="A877" t="s">
        <v>293</v>
      </c>
      <c r="B877">
        <v>1.9575</v>
      </c>
      <c r="C877" s="21" t="s">
        <v>193</v>
      </c>
      <c r="D877" t="s">
        <v>94</v>
      </c>
      <c r="F877" t="s">
        <v>78</v>
      </c>
      <c r="G877" s="21" t="s">
        <v>91</v>
      </c>
      <c r="H877" t="s">
        <v>293</v>
      </c>
    </row>
    <row r="878" spans="1:8" x14ac:dyDescent="0.3">
      <c r="A878" t="s">
        <v>472</v>
      </c>
      <c r="B878" s="7">
        <v>1.3227E-9</v>
      </c>
      <c r="C878" s="21" t="s">
        <v>193</v>
      </c>
      <c r="D878" t="s">
        <v>94</v>
      </c>
      <c r="F878" t="s">
        <v>77</v>
      </c>
      <c r="G878" s="21" t="s">
        <v>91</v>
      </c>
      <c r="H878" t="s">
        <v>471</v>
      </c>
    </row>
    <row r="879" spans="1:8" x14ac:dyDescent="0.3">
      <c r="A879" t="s">
        <v>474</v>
      </c>
      <c r="B879">
        <v>-4.5</v>
      </c>
      <c r="C879" s="21" t="s">
        <v>193</v>
      </c>
      <c r="D879" t="s">
        <v>94</v>
      </c>
      <c r="F879" t="s">
        <v>78</v>
      </c>
      <c r="G879" s="21" t="s">
        <v>91</v>
      </c>
      <c r="H879" t="s">
        <v>473</v>
      </c>
    </row>
    <row r="880" spans="1:8" x14ac:dyDescent="0.3">
      <c r="A880" t="s">
        <v>475</v>
      </c>
      <c r="B880">
        <v>13.580249999999999</v>
      </c>
      <c r="C880" s="21" t="s">
        <v>193</v>
      </c>
      <c r="D880" t="s">
        <v>94</v>
      </c>
      <c r="F880" t="s">
        <v>206</v>
      </c>
      <c r="G880" s="21" t="s">
        <v>91</v>
      </c>
      <c r="H880" t="s">
        <v>254</v>
      </c>
    </row>
    <row r="881" spans="1:8" x14ac:dyDescent="0.3">
      <c r="A881" t="s">
        <v>476</v>
      </c>
      <c r="B881">
        <v>5.1220999999999997</v>
      </c>
      <c r="C881" s="21" t="s">
        <v>193</v>
      </c>
      <c r="D881" t="s">
        <v>98</v>
      </c>
      <c r="F881" t="s">
        <v>78</v>
      </c>
      <c r="G881" s="21" t="s">
        <v>91</v>
      </c>
      <c r="H881" t="s">
        <v>217</v>
      </c>
    </row>
    <row r="882" spans="1:8" x14ac:dyDescent="0.3">
      <c r="A882" t="s">
        <v>477</v>
      </c>
      <c r="B882">
        <v>0.33750000000000002</v>
      </c>
      <c r="C882" s="21" t="s">
        <v>193</v>
      </c>
      <c r="D882" t="s">
        <v>94</v>
      </c>
      <c r="F882" t="s">
        <v>78</v>
      </c>
      <c r="G882" s="21" t="s">
        <v>91</v>
      </c>
      <c r="H882" t="s">
        <v>477</v>
      </c>
    </row>
    <row r="883" spans="1:8" x14ac:dyDescent="0.3">
      <c r="A883" t="s">
        <v>247</v>
      </c>
      <c r="B883">
        <v>6.8902000000000001</v>
      </c>
      <c r="C883" s="21" t="s">
        <v>193</v>
      </c>
      <c r="D883" t="s">
        <v>94</v>
      </c>
      <c r="F883" t="s">
        <v>101</v>
      </c>
      <c r="G883" s="21" t="s">
        <v>91</v>
      </c>
      <c r="H883" t="s">
        <v>129</v>
      </c>
    </row>
    <row r="884" spans="1:8" x14ac:dyDescent="0.3">
      <c r="A884" t="s">
        <v>192</v>
      </c>
      <c r="B884">
        <v>4.9024999999999999</v>
      </c>
      <c r="C884" s="21" t="s">
        <v>193</v>
      </c>
      <c r="D884" t="s">
        <v>98</v>
      </c>
      <c r="F884" t="s">
        <v>78</v>
      </c>
      <c r="G884" s="21" t="s">
        <v>91</v>
      </c>
      <c r="H884" t="s">
        <v>194</v>
      </c>
    </row>
    <row r="885" spans="1:8" x14ac:dyDescent="0.3">
      <c r="A885" t="s">
        <v>478</v>
      </c>
      <c r="B885">
        <v>3.7663000000000002</v>
      </c>
      <c r="C885" s="21" t="s">
        <v>193</v>
      </c>
      <c r="D885" t="s">
        <v>94</v>
      </c>
      <c r="F885" t="s">
        <v>78</v>
      </c>
      <c r="G885" s="21" t="s">
        <v>91</v>
      </c>
      <c r="H885" t="s">
        <v>478</v>
      </c>
    </row>
    <row r="886" spans="1:8" x14ac:dyDescent="0.3">
      <c r="A886" t="s">
        <v>482</v>
      </c>
      <c r="B886">
        <v>0.19269800000000001</v>
      </c>
      <c r="C886" s="21" t="s">
        <v>193</v>
      </c>
      <c r="D886" t="s">
        <v>94</v>
      </c>
      <c r="F886" t="s">
        <v>206</v>
      </c>
      <c r="G886" s="21" t="s">
        <v>91</v>
      </c>
      <c r="H886" t="s">
        <v>481</v>
      </c>
    </row>
    <row r="887" spans="1:8" x14ac:dyDescent="0.3">
      <c r="A887" t="s">
        <v>484</v>
      </c>
      <c r="B887">
        <v>0.74399999999999999</v>
      </c>
      <c r="C887" s="21" t="s">
        <v>193</v>
      </c>
      <c r="D887" t="s">
        <v>94</v>
      </c>
      <c r="F887" t="s">
        <v>78</v>
      </c>
      <c r="G887" s="21" t="s">
        <v>91</v>
      </c>
      <c r="H887" t="s">
        <v>483</v>
      </c>
    </row>
    <row r="888" spans="1:8" x14ac:dyDescent="0.3">
      <c r="A888" t="s">
        <v>486</v>
      </c>
      <c r="B888">
        <v>2.4104000000000001</v>
      </c>
      <c r="C888" s="21" t="s">
        <v>193</v>
      </c>
      <c r="D888" t="s">
        <v>98</v>
      </c>
      <c r="F888" t="s">
        <v>78</v>
      </c>
      <c r="G888" s="21" t="s">
        <v>91</v>
      </c>
      <c r="H888" t="s">
        <v>485</v>
      </c>
    </row>
    <row r="889" spans="1:8" x14ac:dyDescent="0.3">
      <c r="A889" t="s">
        <v>488</v>
      </c>
      <c r="B889">
        <v>0.03</v>
      </c>
      <c r="C889" s="21" t="s">
        <v>193</v>
      </c>
      <c r="D889" t="s">
        <v>94</v>
      </c>
      <c r="F889" t="s">
        <v>78</v>
      </c>
      <c r="G889" s="21" t="s">
        <v>91</v>
      </c>
      <c r="H889" t="s">
        <v>487</v>
      </c>
    </row>
    <row r="890" spans="1:8" x14ac:dyDescent="0.3">
      <c r="A890" t="s">
        <v>280</v>
      </c>
      <c r="B890">
        <v>0.5625</v>
      </c>
      <c r="C890" s="21" t="s">
        <v>193</v>
      </c>
      <c r="D890" t="s">
        <v>98</v>
      </c>
      <c r="F890" t="s">
        <v>78</v>
      </c>
      <c r="G890" s="21" t="s">
        <v>91</v>
      </c>
      <c r="H890" t="s">
        <v>281</v>
      </c>
    </row>
    <row r="891" spans="1:8" x14ac:dyDescent="0.3">
      <c r="A891" t="s">
        <v>490</v>
      </c>
      <c r="B891">
        <v>1.59</v>
      </c>
      <c r="C891" s="21" t="s">
        <v>193</v>
      </c>
      <c r="D891" t="s">
        <v>98</v>
      </c>
      <c r="F891" t="s">
        <v>78</v>
      </c>
      <c r="G891" s="21" t="s">
        <v>91</v>
      </c>
      <c r="H891" t="s">
        <v>489</v>
      </c>
    </row>
    <row r="892" spans="1:8" x14ac:dyDescent="0.3">
      <c r="A892" t="s">
        <v>492</v>
      </c>
      <c r="B892">
        <v>0.35</v>
      </c>
      <c r="C892" s="21" t="s">
        <v>193</v>
      </c>
      <c r="D892" t="s">
        <v>94</v>
      </c>
      <c r="F892" t="s">
        <v>429</v>
      </c>
      <c r="G892" s="21" t="s">
        <v>91</v>
      </c>
      <c r="H892" t="s">
        <v>491</v>
      </c>
    </row>
    <row r="893" spans="1:8" x14ac:dyDescent="0.3">
      <c r="A893" t="s">
        <v>494</v>
      </c>
      <c r="B893">
        <v>0.159</v>
      </c>
      <c r="C893" s="21" t="s">
        <v>193</v>
      </c>
      <c r="D893" t="s">
        <v>94</v>
      </c>
      <c r="F893" t="s">
        <v>78</v>
      </c>
      <c r="G893" s="21" t="s">
        <v>91</v>
      </c>
      <c r="H893" t="s">
        <v>493</v>
      </c>
    </row>
    <row r="894" spans="1:8" x14ac:dyDescent="0.3">
      <c r="A894" t="s">
        <v>496</v>
      </c>
      <c r="B894">
        <v>0.75</v>
      </c>
      <c r="C894" s="21" t="s">
        <v>193</v>
      </c>
      <c r="D894" t="s">
        <v>94</v>
      </c>
      <c r="F894" t="s">
        <v>495</v>
      </c>
      <c r="G894" s="21" t="s">
        <v>91</v>
      </c>
      <c r="H894" t="s">
        <v>496</v>
      </c>
    </row>
    <row r="895" spans="1:8" x14ac:dyDescent="0.3">
      <c r="A895" t="s">
        <v>498</v>
      </c>
      <c r="B895">
        <v>-6.7137031720422395E-4</v>
      </c>
      <c r="C895" s="21" t="s">
        <v>193</v>
      </c>
      <c r="D895" t="s">
        <v>268</v>
      </c>
      <c r="F895" t="s">
        <v>365</v>
      </c>
      <c r="G895" s="21" t="s">
        <v>91</v>
      </c>
      <c r="H895" t="s">
        <v>497</v>
      </c>
    </row>
    <row r="896" spans="1:8" x14ac:dyDescent="0.3">
      <c r="A896" t="s">
        <v>498</v>
      </c>
      <c r="B896" s="7">
        <v>-7.2629682795775403E-5</v>
      </c>
      <c r="C896" s="21" t="s">
        <v>193</v>
      </c>
      <c r="D896" t="s">
        <v>37</v>
      </c>
      <c r="F896" t="s">
        <v>365</v>
      </c>
      <c r="G896" s="21" t="s">
        <v>91</v>
      </c>
      <c r="H896" t="s">
        <v>497</v>
      </c>
    </row>
    <row r="897" spans="1:8" x14ac:dyDescent="0.3">
      <c r="A897" t="s">
        <v>499</v>
      </c>
      <c r="B897">
        <v>1.116E-4</v>
      </c>
      <c r="C897" t="s">
        <v>362</v>
      </c>
      <c r="E897" t="s">
        <v>171</v>
      </c>
      <c r="F897" s="21" t="s">
        <v>365</v>
      </c>
      <c r="G897" t="s">
        <v>173</v>
      </c>
    </row>
    <row r="900" spans="1:8" s="21" customFormat="1" ht="15.6" x14ac:dyDescent="0.3">
      <c r="A900" s="11" t="s">
        <v>72</v>
      </c>
      <c r="B900" s="11" t="s">
        <v>503</v>
      </c>
    </row>
    <row r="901" spans="1:8" s="21" customFormat="1" x14ac:dyDescent="0.3">
      <c r="A901" s="21" t="s">
        <v>84</v>
      </c>
      <c r="B901" s="21" t="s">
        <v>86</v>
      </c>
    </row>
    <row r="902" spans="1:8" s="21" customFormat="1" x14ac:dyDescent="0.3">
      <c r="A902" s="21" t="s">
        <v>73</v>
      </c>
      <c r="B902" s="21" t="s">
        <v>37</v>
      </c>
    </row>
    <row r="903" spans="1:8" s="21" customFormat="1" x14ac:dyDescent="0.3">
      <c r="A903" s="21" t="s">
        <v>186</v>
      </c>
      <c r="B903" s="21">
        <v>1</v>
      </c>
    </row>
    <row r="904" spans="1:8" s="21" customFormat="1" x14ac:dyDescent="0.3">
      <c r="A904" s="21" t="s">
        <v>74</v>
      </c>
      <c r="B904" s="21" t="s">
        <v>503</v>
      </c>
    </row>
    <row r="905" spans="1:8" s="21" customFormat="1" x14ac:dyDescent="0.3">
      <c r="A905" s="21" t="s">
        <v>77</v>
      </c>
      <c r="B905" s="21" t="s">
        <v>77</v>
      </c>
    </row>
    <row r="906" spans="1:8" s="21" customFormat="1" x14ac:dyDescent="0.3">
      <c r="A906" s="21" t="s">
        <v>84</v>
      </c>
      <c r="B906" s="21" t="s">
        <v>512</v>
      </c>
    </row>
    <row r="907" spans="1:8" s="21" customFormat="1" ht="15.6" x14ac:dyDescent="0.3">
      <c r="A907" s="11" t="s">
        <v>80</v>
      </c>
    </row>
    <row r="908" spans="1:8" s="21" customFormat="1" x14ac:dyDescent="0.3">
      <c r="A908" s="21" t="s">
        <v>81</v>
      </c>
      <c r="B908" s="21" t="s">
        <v>82</v>
      </c>
      <c r="C908" s="21" t="s">
        <v>188</v>
      </c>
      <c r="D908" s="21" t="s">
        <v>73</v>
      </c>
      <c r="E908" s="21" t="s">
        <v>83</v>
      </c>
      <c r="F908" s="21" t="s">
        <v>77</v>
      </c>
      <c r="G908" s="21" t="s">
        <v>75</v>
      </c>
      <c r="H908" s="21" t="s">
        <v>74</v>
      </c>
    </row>
    <row r="909" spans="1:8" s="21" customFormat="1" x14ac:dyDescent="0.3">
      <c r="A909" s="12" t="s">
        <v>503</v>
      </c>
      <c r="B909" s="21">
        <v>1</v>
      </c>
      <c r="C909" s="21" t="s">
        <v>187</v>
      </c>
      <c r="D909" s="21" t="s">
        <v>37</v>
      </c>
      <c r="F909" s="21" t="s">
        <v>77</v>
      </c>
      <c r="G909" s="21" t="s">
        <v>85</v>
      </c>
      <c r="H909" s="21" t="s">
        <v>503</v>
      </c>
    </row>
    <row r="910" spans="1:8" x14ac:dyDescent="0.3">
      <c r="A910" t="s">
        <v>505</v>
      </c>
      <c r="B910">
        <v>0.37662000000000001</v>
      </c>
      <c r="C910" t="s">
        <v>511</v>
      </c>
      <c r="D910" t="s">
        <v>98</v>
      </c>
      <c r="F910" t="s">
        <v>78</v>
      </c>
      <c r="G910" t="s">
        <v>91</v>
      </c>
      <c r="H910" t="s">
        <v>504</v>
      </c>
    </row>
    <row r="911" spans="1:8" x14ac:dyDescent="0.3">
      <c r="A911" t="s">
        <v>494</v>
      </c>
      <c r="B911">
        <v>0.22825000000000001</v>
      </c>
      <c r="C911" s="21" t="s">
        <v>511</v>
      </c>
      <c r="D911" t="s">
        <v>94</v>
      </c>
      <c r="F911" t="s">
        <v>78</v>
      </c>
      <c r="G911" s="21" t="s">
        <v>91</v>
      </c>
      <c r="H911" t="s">
        <v>493</v>
      </c>
    </row>
    <row r="912" spans="1:8" x14ac:dyDescent="0.3">
      <c r="A912" t="s">
        <v>507</v>
      </c>
      <c r="B912">
        <v>-1.0087999999999999</v>
      </c>
      <c r="C912" s="21" t="s">
        <v>511</v>
      </c>
      <c r="D912" t="s">
        <v>37</v>
      </c>
      <c r="F912" t="s">
        <v>78</v>
      </c>
      <c r="G912" s="21" t="s">
        <v>91</v>
      </c>
      <c r="H912" t="s">
        <v>506</v>
      </c>
    </row>
    <row r="913" spans="1:8" x14ac:dyDescent="0.3">
      <c r="A913" t="s">
        <v>293</v>
      </c>
      <c r="B913">
        <v>0.97875000000000001</v>
      </c>
      <c r="C913" s="21" t="s">
        <v>511</v>
      </c>
      <c r="D913" t="s">
        <v>94</v>
      </c>
      <c r="F913" t="s">
        <v>78</v>
      </c>
      <c r="G913" s="21" t="s">
        <v>91</v>
      </c>
      <c r="H913" t="s">
        <v>293</v>
      </c>
    </row>
    <row r="914" spans="1:8" x14ac:dyDescent="0.3">
      <c r="A914" t="s">
        <v>280</v>
      </c>
      <c r="B914">
        <v>1.6875</v>
      </c>
      <c r="C914" s="21" t="s">
        <v>511</v>
      </c>
      <c r="D914" t="s">
        <v>98</v>
      </c>
      <c r="F914" t="s">
        <v>78</v>
      </c>
      <c r="G914" s="21" t="s">
        <v>91</v>
      </c>
      <c r="H914" t="s">
        <v>281</v>
      </c>
    </row>
    <row r="915" spans="1:8" x14ac:dyDescent="0.3">
      <c r="A915" t="s">
        <v>488</v>
      </c>
      <c r="B915">
        <v>0.03</v>
      </c>
      <c r="C915" s="21" t="s">
        <v>511</v>
      </c>
      <c r="D915" t="s">
        <v>94</v>
      </c>
      <c r="F915" t="s">
        <v>78</v>
      </c>
      <c r="G915" s="21" t="s">
        <v>91</v>
      </c>
      <c r="H915" t="s">
        <v>487</v>
      </c>
    </row>
    <row r="916" spans="1:8" x14ac:dyDescent="0.3">
      <c r="A916" t="s">
        <v>470</v>
      </c>
      <c r="B916">
        <v>0.97875000000000001</v>
      </c>
      <c r="C916" s="21" t="s">
        <v>511</v>
      </c>
      <c r="D916" t="s">
        <v>98</v>
      </c>
      <c r="F916" t="s">
        <v>78</v>
      </c>
      <c r="G916" s="21" t="s">
        <v>91</v>
      </c>
      <c r="H916" t="s">
        <v>122</v>
      </c>
    </row>
    <row r="917" spans="1:8" x14ac:dyDescent="0.3">
      <c r="A917" t="s">
        <v>509</v>
      </c>
      <c r="B917">
        <v>-0.84375</v>
      </c>
      <c r="C917" s="21" t="s">
        <v>511</v>
      </c>
      <c r="D917" t="s">
        <v>37</v>
      </c>
      <c r="F917" t="s">
        <v>78</v>
      </c>
      <c r="G917" s="21" t="s">
        <v>91</v>
      </c>
      <c r="H917" t="s">
        <v>508</v>
      </c>
    </row>
    <row r="918" spans="1:8" x14ac:dyDescent="0.3">
      <c r="A918" t="s">
        <v>510</v>
      </c>
      <c r="B918">
        <v>7.4399999999999994E-2</v>
      </c>
      <c r="C918" s="21" t="s">
        <v>511</v>
      </c>
      <c r="D918" t="s">
        <v>37</v>
      </c>
      <c r="F918" t="s">
        <v>78</v>
      </c>
      <c r="G918" s="21" t="s">
        <v>91</v>
      </c>
      <c r="H918" t="s">
        <v>483</v>
      </c>
    </row>
    <row r="919" spans="1:8" x14ac:dyDescent="0.3">
      <c r="A919" t="s">
        <v>192</v>
      </c>
      <c r="B919">
        <v>0.22825000000000001</v>
      </c>
      <c r="C919" s="21" t="s">
        <v>511</v>
      </c>
      <c r="D919" t="s">
        <v>98</v>
      </c>
      <c r="F919" t="s">
        <v>78</v>
      </c>
      <c r="G919" s="21" t="s">
        <v>91</v>
      </c>
      <c r="H919" t="s">
        <v>194</v>
      </c>
    </row>
    <row r="920" spans="1:8" x14ac:dyDescent="0.3">
      <c r="A920" t="s">
        <v>478</v>
      </c>
      <c r="B920">
        <v>0.37662000000000001</v>
      </c>
      <c r="C920" s="21" t="s">
        <v>511</v>
      </c>
      <c r="D920" t="s">
        <v>94</v>
      </c>
      <c r="F920" t="s">
        <v>78</v>
      </c>
      <c r="G920" s="21" t="s">
        <v>91</v>
      </c>
      <c r="H920" t="s">
        <v>478</v>
      </c>
    </row>
    <row r="921" spans="1:8" x14ac:dyDescent="0.3">
      <c r="A921" t="s">
        <v>499</v>
      </c>
      <c r="B921" s="7">
        <v>6.3239999999999998E-5</v>
      </c>
      <c r="C921" t="s">
        <v>362</v>
      </c>
      <c r="E921" t="s">
        <v>348</v>
      </c>
      <c r="F921" t="s">
        <v>365</v>
      </c>
      <c r="G921" t="s">
        <v>173</v>
      </c>
    </row>
    <row r="922" spans="1:8" x14ac:dyDescent="0.3">
      <c r="A922" t="s">
        <v>499</v>
      </c>
      <c r="B922" s="7">
        <v>1.116E-5</v>
      </c>
      <c r="C922" t="s">
        <v>362</v>
      </c>
      <c r="E922" t="s">
        <v>171</v>
      </c>
      <c r="F922" t="s">
        <v>365</v>
      </c>
      <c r="G922" s="21" t="s">
        <v>173</v>
      </c>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55"/>
  <sheetViews>
    <sheetView topLeftCell="A220" zoomScale="70" zoomScaleNormal="70" workbookViewId="0">
      <selection activeCell="A244" sqref="A244"/>
    </sheetView>
  </sheetViews>
  <sheetFormatPr defaultRowHeight="14.4" x14ac:dyDescent="0.3"/>
  <cols>
    <col min="1" max="1" width="67.21875" bestFit="1" customWidth="1"/>
    <col min="2" max="2" width="49.44140625" bestFit="1" customWidth="1"/>
    <col min="3" max="3" width="29.5546875" style="21" customWidth="1"/>
    <col min="4" max="4" width="28.33203125" bestFit="1" customWidth="1"/>
    <col min="5" max="5" width="27.109375" bestFit="1" customWidth="1"/>
    <col min="6" max="6" width="21.109375" bestFit="1" customWidth="1"/>
    <col min="7" max="7" width="21.109375" customWidth="1"/>
    <col min="8" max="8" width="12.44140625" bestFit="1" customWidth="1"/>
    <col min="9" max="9" width="16.5546875" bestFit="1" customWidth="1"/>
    <col min="10" max="10" width="24.5546875" bestFit="1" customWidth="1"/>
    <col min="11" max="11" width="26.77734375" bestFit="1" customWidth="1"/>
    <col min="12" max="12" width="19.6640625" customWidth="1"/>
    <col min="13" max="13" width="39.44140625" bestFit="1" customWidth="1"/>
    <col min="14" max="14" width="33.88671875" bestFit="1" customWidth="1"/>
    <col min="15" max="15" width="30.21875" bestFit="1" customWidth="1"/>
    <col min="16" max="16" width="22" bestFit="1" customWidth="1"/>
    <col min="17" max="17" width="22.6640625" bestFit="1" customWidth="1"/>
    <col min="18" max="18" width="25.6640625" bestFit="1" customWidth="1"/>
    <col min="29" max="60" width="8.88671875" style="21"/>
  </cols>
  <sheetData>
    <row r="1" spans="1:63" s="21" customFormat="1" x14ac:dyDescent="0.3">
      <c r="A1" s="21" t="s">
        <v>69</v>
      </c>
    </row>
    <row r="2" spans="1:63" x14ac:dyDescent="0.3">
      <c r="A2" t="s">
        <v>92</v>
      </c>
    </row>
    <row r="3" spans="1:63" x14ac:dyDescent="0.3">
      <c r="B3" t="s">
        <v>15</v>
      </c>
      <c r="C3" s="21" t="s">
        <v>14</v>
      </c>
      <c r="D3" t="s">
        <v>16</v>
      </c>
      <c r="E3" t="s">
        <v>557</v>
      </c>
      <c r="F3" t="s">
        <v>19</v>
      </c>
      <c r="G3" t="s">
        <v>20</v>
      </c>
      <c r="H3" t="s">
        <v>22</v>
      </c>
      <c r="I3" t="s">
        <v>24</v>
      </c>
      <c r="J3" t="s">
        <v>53</v>
      </c>
      <c r="K3" t="s">
        <v>27</v>
      </c>
      <c r="L3" t="s">
        <v>28</v>
      </c>
      <c r="M3" s="12" t="s">
        <v>123</v>
      </c>
      <c r="N3" t="s">
        <v>108</v>
      </c>
      <c r="O3" t="s">
        <v>117</v>
      </c>
      <c r="P3" t="s">
        <v>150</v>
      </c>
      <c r="Q3" t="s">
        <v>151</v>
      </c>
      <c r="R3" t="s">
        <v>152</v>
      </c>
      <c r="S3" t="s">
        <v>67</v>
      </c>
      <c r="T3" t="s">
        <v>68</v>
      </c>
      <c r="U3" t="s">
        <v>56</v>
      </c>
      <c r="V3" t="s">
        <v>57</v>
      </c>
      <c r="W3" t="s">
        <v>58</v>
      </c>
      <c r="X3" t="s">
        <v>59</v>
      </c>
      <c r="Y3" t="s">
        <v>60</v>
      </c>
      <c r="Z3" t="s">
        <v>62</v>
      </c>
      <c r="AA3" t="s">
        <v>61</v>
      </c>
      <c r="AB3" t="s">
        <v>63</v>
      </c>
      <c r="AC3" s="21" t="s">
        <v>659</v>
      </c>
      <c r="AD3" s="21" t="s">
        <v>603</v>
      </c>
      <c r="AE3" s="21" t="s">
        <v>604</v>
      </c>
      <c r="AF3" s="21" t="s">
        <v>605</v>
      </c>
      <c r="AG3" s="21" t="s">
        <v>606</v>
      </c>
      <c r="AH3" s="21" t="s">
        <v>607</v>
      </c>
      <c r="AI3" s="21" t="s">
        <v>608</v>
      </c>
      <c r="AJ3" s="21" t="s">
        <v>609</v>
      </c>
      <c r="AK3" s="21" t="s">
        <v>610</v>
      </c>
      <c r="AL3" s="21" t="s">
        <v>611</v>
      </c>
      <c r="AM3" s="21" t="s">
        <v>612</v>
      </c>
      <c r="AN3" s="21" t="s">
        <v>56</v>
      </c>
      <c r="AO3" s="21" t="s">
        <v>613</v>
      </c>
      <c r="AP3" s="21" t="s">
        <v>614</v>
      </c>
      <c r="AQ3" s="21" t="s">
        <v>615</v>
      </c>
      <c r="AR3" s="21" t="s">
        <v>616</v>
      </c>
      <c r="AS3" s="21" t="s">
        <v>617</v>
      </c>
      <c r="AT3" s="21" t="s">
        <v>618</v>
      </c>
      <c r="AU3" s="21" t="s">
        <v>619</v>
      </c>
      <c r="AV3" s="21" t="s">
        <v>622</v>
      </c>
      <c r="AW3" s="21" t="s">
        <v>620</v>
      </c>
      <c r="AX3" s="21" t="s">
        <v>621</v>
      </c>
      <c r="AY3" s="21" t="s">
        <v>623</v>
      </c>
      <c r="AZ3" s="21" t="s">
        <v>624</v>
      </c>
      <c r="BA3" s="21" t="s">
        <v>625</v>
      </c>
      <c r="BB3" s="21" t="s">
        <v>626</v>
      </c>
      <c r="BC3" s="21" t="s">
        <v>581</v>
      </c>
      <c r="BD3" s="21" t="s">
        <v>583</v>
      </c>
      <c r="BE3" s="21" t="s">
        <v>582</v>
      </c>
      <c r="BF3" s="21" t="s">
        <v>629</v>
      </c>
      <c r="BG3" s="21" t="s">
        <v>627</v>
      </c>
      <c r="BH3" s="21" t="s">
        <v>628</v>
      </c>
      <c r="BI3" t="s">
        <v>29</v>
      </c>
      <c r="BJ3" t="s">
        <v>30</v>
      </c>
      <c r="BK3" t="s">
        <v>31</v>
      </c>
    </row>
    <row r="4" spans="1:63" x14ac:dyDescent="0.3">
      <c r="A4" t="s">
        <v>688</v>
      </c>
      <c r="B4" t="s">
        <v>93</v>
      </c>
      <c r="C4" s="21" t="s">
        <v>144</v>
      </c>
      <c r="D4" t="s">
        <v>93</v>
      </c>
      <c r="E4" s="21" t="s">
        <v>480</v>
      </c>
      <c r="F4" t="s">
        <v>97</v>
      </c>
      <c r="G4" t="s">
        <v>100</v>
      </c>
      <c r="J4" t="s">
        <v>657</v>
      </c>
      <c r="K4" t="s">
        <v>102</v>
      </c>
      <c r="L4" t="s">
        <v>103</v>
      </c>
      <c r="M4" t="s">
        <v>124</v>
      </c>
      <c r="N4" t="s">
        <v>112</v>
      </c>
      <c r="O4" t="s">
        <v>118</v>
      </c>
      <c r="P4" t="s">
        <v>573</v>
      </c>
      <c r="Q4" t="s">
        <v>155</v>
      </c>
      <c r="R4" t="s">
        <v>153</v>
      </c>
      <c r="S4" t="s">
        <v>160</v>
      </c>
      <c r="T4" t="s">
        <v>462</v>
      </c>
      <c r="U4" t="s">
        <v>56</v>
      </c>
      <c r="V4" t="s">
        <v>161</v>
      </c>
      <c r="W4" t="s">
        <v>162</v>
      </c>
      <c r="X4" t="s">
        <v>463</v>
      </c>
      <c r="Y4" t="s">
        <v>163</v>
      </c>
      <c r="AA4" t="s">
        <v>164</v>
      </c>
      <c r="AB4" t="s">
        <v>464</v>
      </c>
      <c r="AC4" t="s">
        <v>363</v>
      </c>
      <c r="AD4" s="21" t="s">
        <v>603</v>
      </c>
      <c r="AE4" s="21" t="s">
        <v>604</v>
      </c>
      <c r="AF4" s="21" t="s">
        <v>605</v>
      </c>
      <c r="AG4" s="21" t="s">
        <v>606</v>
      </c>
      <c r="AH4" s="21" t="s">
        <v>607</v>
      </c>
      <c r="AI4" s="21" t="s">
        <v>608</v>
      </c>
      <c r="AJ4" s="21" t="s">
        <v>609</v>
      </c>
      <c r="AK4" s="21" t="s">
        <v>610</v>
      </c>
      <c r="AL4" s="21" t="s">
        <v>611</v>
      </c>
      <c r="AM4" s="21" t="s">
        <v>612</v>
      </c>
      <c r="AN4" s="21" t="s">
        <v>56</v>
      </c>
      <c r="AO4" s="21" t="s">
        <v>613</v>
      </c>
      <c r="AP4" s="21" t="s">
        <v>614</v>
      </c>
      <c r="AQ4" s="21" t="s">
        <v>615</v>
      </c>
      <c r="AR4" s="21" t="s">
        <v>616</v>
      </c>
      <c r="AS4" s="21" t="s">
        <v>617</v>
      </c>
      <c r="AT4" s="21" t="s">
        <v>618</v>
      </c>
      <c r="AU4" s="21" t="s">
        <v>619</v>
      </c>
      <c r="AV4" s="21" t="s">
        <v>622</v>
      </c>
      <c r="AW4" s="21" t="s">
        <v>620</v>
      </c>
      <c r="AX4" s="21" t="s">
        <v>621</v>
      </c>
      <c r="AY4" s="21" t="s">
        <v>630</v>
      </c>
      <c r="AZ4" s="21" t="s">
        <v>624</v>
      </c>
      <c r="BA4" s="21" t="s">
        <v>625</v>
      </c>
      <c r="BB4" s="21" t="s">
        <v>626</v>
      </c>
      <c r="BC4" s="21" t="s">
        <v>581</v>
      </c>
      <c r="BD4" s="21" t="s">
        <v>583</v>
      </c>
      <c r="BE4" s="21" t="s">
        <v>582</v>
      </c>
      <c r="BF4" s="21" t="s">
        <v>629</v>
      </c>
      <c r="BG4" s="21" t="s">
        <v>627</v>
      </c>
      <c r="BH4" s="21" t="s">
        <v>628</v>
      </c>
      <c r="BI4" t="s">
        <v>165</v>
      </c>
      <c r="BJ4" t="s">
        <v>166</v>
      </c>
      <c r="BK4" s="13" t="s">
        <v>174</v>
      </c>
    </row>
    <row r="5" spans="1:63" x14ac:dyDescent="0.3">
      <c r="A5" t="s">
        <v>33</v>
      </c>
      <c r="B5" t="s">
        <v>93</v>
      </c>
      <c r="C5" s="21" t="s">
        <v>144</v>
      </c>
      <c r="D5" t="s">
        <v>93</v>
      </c>
      <c r="F5" t="s">
        <v>97</v>
      </c>
      <c r="G5" t="s">
        <v>100</v>
      </c>
      <c r="J5" s="21" t="s">
        <v>196</v>
      </c>
      <c r="K5" t="s">
        <v>102</v>
      </c>
      <c r="L5" t="s">
        <v>103</v>
      </c>
      <c r="M5" t="s">
        <v>124</v>
      </c>
      <c r="N5" t="s">
        <v>112</v>
      </c>
      <c r="O5" t="s">
        <v>118</v>
      </c>
      <c r="P5" s="21" t="s">
        <v>573</v>
      </c>
      <c r="R5" t="s">
        <v>153</v>
      </c>
      <c r="S5" t="s">
        <v>160</v>
      </c>
      <c r="T5" s="21" t="s">
        <v>462</v>
      </c>
      <c r="U5" t="s">
        <v>56</v>
      </c>
      <c r="V5" t="s">
        <v>161</v>
      </c>
      <c r="W5" t="s">
        <v>162</v>
      </c>
      <c r="X5" s="21" t="s">
        <v>463</v>
      </c>
      <c r="Y5" t="s">
        <v>163</v>
      </c>
      <c r="AA5" t="s">
        <v>164</v>
      </c>
      <c r="AB5" s="21" t="s">
        <v>464</v>
      </c>
      <c r="AC5" s="21" t="s">
        <v>363</v>
      </c>
      <c r="AD5" s="21" t="s">
        <v>603</v>
      </c>
      <c r="AE5" s="21" t="s">
        <v>604</v>
      </c>
      <c r="AF5" s="21" t="s">
        <v>605</v>
      </c>
      <c r="AG5" s="21" t="s">
        <v>606</v>
      </c>
      <c r="AH5" s="21" t="s">
        <v>607</v>
      </c>
      <c r="AI5" s="21" t="s">
        <v>608</v>
      </c>
      <c r="AJ5" s="21" t="s">
        <v>609</v>
      </c>
      <c r="AK5" s="21" t="s">
        <v>610</v>
      </c>
      <c r="AL5" s="21" t="s">
        <v>611</v>
      </c>
      <c r="AM5" s="21" t="s">
        <v>612</v>
      </c>
      <c r="AN5" s="21" t="s">
        <v>56</v>
      </c>
      <c r="AO5" s="21" t="s">
        <v>613</v>
      </c>
      <c r="AP5" s="21" t="s">
        <v>614</v>
      </c>
      <c r="AQ5" s="21" t="s">
        <v>615</v>
      </c>
      <c r="AR5" s="21" t="s">
        <v>616</v>
      </c>
      <c r="AS5" s="21" t="s">
        <v>617</v>
      </c>
      <c r="AT5" s="21" t="s">
        <v>618</v>
      </c>
      <c r="AU5" s="21" t="s">
        <v>619</v>
      </c>
      <c r="AV5" s="21" t="s">
        <v>622</v>
      </c>
      <c r="AW5" s="21" t="s">
        <v>620</v>
      </c>
      <c r="AX5" s="21" t="s">
        <v>621</v>
      </c>
      <c r="AY5" s="21" t="s">
        <v>630</v>
      </c>
      <c r="AZ5" s="21" t="s">
        <v>624</v>
      </c>
      <c r="BA5" s="21" t="s">
        <v>625</v>
      </c>
      <c r="BB5" s="21" t="s">
        <v>626</v>
      </c>
      <c r="BC5" s="21" t="s">
        <v>581</v>
      </c>
      <c r="BD5" s="21" t="s">
        <v>583</v>
      </c>
      <c r="BE5" s="21" t="s">
        <v>582</v>
      </c>
      <c r="BF5" s="21" t="s">
        <v>629</v>
      </c>
      <c r="BG5" s="21" t="s">
        <v>627</v>
      </c>
      <c r="BH5" s="21" t="s">
        <v>628</v>
      </c>
      <c r="BI5" t="s">
        <v>165</v>
      </c>
      <c r="BJ5" t="s">
        <v>166</v>
      </c>
      <c r="BK5" s="13" t="s">
        <v>174</v>
      </c>
    </row>
    <row r="6" spans="1:63" x14ac:dyDescent="0.3">
      <c r="A6" t="s">
        <v>517</v>
      </c>
      <c r="B6" t="s">
        <v>502</v>
      </c>
      <c r="C6" s="21" t="s">
        <v>144</v>
      </c>
      <c r="D6" s="21" t="s">
        <v>502</v>
      </c>
      <c r="E6" s="21" t="s">
        <v>480</v>
      </c>
      <c r="F6" t="s">
        <v>97</v>
      </c>
      <c r="G6" t="s">
        <v>100</v>
      </c>
      <c r="J6" s="21" t="s">
        <v>196</v>
      </c>
      <c r="K6" t="s">
        <v>102</v>
      </c>
      <c r="L6" t="s">
        <v>103</v>
      </c>
      <c r="M6" t="s">
        <v>503</v>
      </c>
      <c r="N6" t="s">
        <v>112</v>
      </c>
      <c r="O6" t="s">
        <v>118</v>
      </c>
      <c r="P6" t="s">
        <v>155</v>
      </c>
      <c r="Q6" t="s">
        <v>155</v>
      </c>
      <c r="R6" t="s">
        <v>153</v>
      </c>
      <c r="S6" t="s">
        <v>160</v>
      </c>
      <c r="T6" s="21" t="s">
        <v>462</v>
      </c>
      <c r="U6" t="s">
        <v>56</v>
      </c>
      <c r="V6" t="s">
        <v>161</v>
      </c>
      <c r="W6" t="s">
        <v>162</v>
      </c>
      <c r="X6" s="21" t="s">
        <v>463</v>
      </c>
      <c r="Y6" t="s">
        <v>163</v>
      </c>
      <c r="AA6" t="s">
        <v>164</v>
      </c>
      <c r="AB6" s="21" t="s">
        <v>464</v>
      </c>
      <c r="AC6" s="21" t="s">
        <v>363</v>
      </c>
      <c r="AD6" s="21" t="s">
        <v>603</v>
      </c>
      <c r="AE6" s="21" t="s">
        <v>604</v>
      </c>
      <c r="AF6" s="21" t="s">
        <v>605</v>
      </c>
      <c r="AG6" s="21" t="s">
        <v>606</v>
      </c>
      <c r="AH6" s="21" t="s">
        <v>607</v>
      </c>
      <c r="AI6" s="21" t="s">
        <v>608</v>
      </c>
      <c r="AJ6" s="21" t="s">
        <v>609</v>
      </c>
      <c r="AK6" s="21" t="s">
        <v>610</v>
      </c>
      <c r="AL6" s="21" t="s">
        <v>611</v>
      </c>
      <c r="AM6" s="21" t="s">
        <v>612</v>
      </c>
      <c r="AN6" s="21" t="s">
        <v>56</v>
      </c>
      <c r="AO6" s="21" t="s">
        <v>613</v>
      </c>
      <c r="AP6" s="21" t="s">
        <v>614</v>
      </c>
      <c r="AQ6" s="21" t="s">
        <v>615</v>
      </c>
      <c r="AR6" s="21" t="s">
        <v>616</v>
      </c>
      <c r="AS6" s="21" t="s">
        <v>617</v>
      </c>
      <c r="AT6" s="21" t="s">
        <v>618</v>
      </c>
      <c r="AU6" s="21" t="s">
        <v>619</v>
      </c>
      <c r="AV6" s="21" t="s">
        <v>622</v>
      </c>
      <c r="AW6" s="21" t="s">
        <v>620</v>
      </c>
      <c r="AX6" s="21" t="s">
        <v>621</v>
      </c>
      <c r="AY6" s="21" t="s">
        <v>630</v>
      </c>
      <c r="AZ6" s="21" t="s">
        <v>624</v>
      </c>
      <c r="BA6" s="21" t="s">
        <v>625</v>
      </c>
      <c r="BB6" s="21" t="s">
        <v>626</v>
      </c>
      <c r="BC6" s="21" t="s">
        <v>581</v>
      </c>
      <c r="BD6" s="21" t="s">
        <v>583</v>
      </c>
      <c r="BE6" s="21" t="s">
        <v>582</v>
      </c>
      <c r="BF6" s="21" t="s">
        <v>629</v>
      </c>
      <c r="BG6" s="21" t="s">
        <v>627</v>
      </c>
      <c r="BH6" s="21" t="s">
        <v>628</v>
      </c>
      <c r="BI6" t="s">
        <v>165</v>
      </c>
      <c r="BJ6" t="s">
        <v>166</v>
      </c>
      <c r="BK6" s="13" t="s">
        <v>174</v>
      </c>
    </row>
    <row r="7" spans="1:63" x14ac:dyDescent="0.3">
      <c r="A7" t="s">
        <v>518</v>
      </c>
      <c r="B7" t="s">
        <v>502</v>
      </c>
      <c r="C7" s="21" t="s">
        <v>144</v>
      </c>
      <c r="D7" s="21" t="s">
        <v>502</v>
      </c>
      <c r="E7" s="21" t="s">
        <v>480</v>
      </c>
      <c r="F7" t="s">
        <v>97</v>
      </c>
      <c r="G7" t="s">
        <v>100</v>
      </c>
      <c r="J7" s="21" t="s">
        <v>196</v>
      </c>
      <c r="K7" t="s">
        <v>102</v>
      </c>
      <c r="L7" t="s">
        <v>103</v>
      </c>
      <c r="M7" s="21" t="s">
        <v>503</v>
      </c>
      <c r="N7" t="s">
        <v>112</v>
      </c>
      <c r="O7" t="s">
        <v>118</v>
      </c>
      <c r="P7" t="s">
        <v>155</v>
      </c>
      <c r="Q7" t="s">
        <v>155</v>
      </c>
      <c r="R7" t="s">
        <v>153</v>
      </c>
      <c r="S7" t="s">
        <v>160</v>
      </c>
      <c r="T7" s="21" t="s">
        <v>462</v>
      </c>
      <c r="U7" t="s">
        <v>56</v>
      </c>
      <c r="V7" t="s">
        <v>161</v>
      </c>
      <c r="W7" t="s">
        <v>162</v>
      </c>
      <c r="X7" s="21" t="s">
        <v>463</v>
      </c>
      <c r="Y7" t="s">
        <v>163</v>
      </c>
      <c r="AA7" t="s">
        <v>164</v>
      </c>
      <c r="AB7" s="21" t="s">
        <v>464</v>
      </c>
      <c r="AC7" s="21" t="s">
        <v>363</v>
      </c>
      <c r="AD7" s="21" t="s">
        <v>603</v>
      </c>
      <c r="AE7" s="21" t="s">
        <v>604</v>
      </c>
      <c r="AF7" s="21" t="s">
        <v>605</v>
      </c>
      <c r="AG7" s="21" t="s">
        <v>606</v>
      </c>
      <c r="AH7" s="21" t="s">
        <v>607</v>
      </c>
      <c r="AI7" s="21" t="s">
        <v>608</v>
      </c>
      <c r="AJ7" s="21" t="s">
        <v>609</v>
      </c>
      <c r="AK7" s="21" t="s">
        <v>610</v>
      </c>
      <c r="AL7" s="21" t="s">
        <v>611</v>
      </c>
      <c r="AM7" s="21" t="s">
        <v>612</v>
      </c>
      <c r="AN7" s="21" t="s">
        <v>56</v>
      </c>
      <c r="AO7" s="21" t="s">
        <v>613</v>
      </c>
      <c r="AP7" s="21" t="s">
        <v>614</v>
      </c>
      <c r="AQ7" s="21" t="s">
        <v>615</v>
      </c>
      <c r="AR7" s="21" t="s">
        <v>616</v>
      </c>
      <c r="AS7" s="21" t="s">
        <v>617</v>
      </c>
      <c r="AT7" s="21" t="s">
        <v>618</v>
      </c>
      <c r="AU7" s="21" t="s">
        <v>619</v>
      </c>
      <c r="AV7" s="21" t="s">
        <v>622</v>
      </c>
      <c r="AW7" s="21" t="s">
        <v>620</v>
      </c>
      <c r="AX7" s="21" t="s">
        <v>621</v>
      </c>
      <c r="AY7" s="21" t="s">
        <v>630</v>
      </c>
      <c r="AZ7" s="21" t="s">
        <v>624</v>
      </c>
      <c r="BA7" s="21" t="s">
        <v>625</v>
      </c>
      <c r="BB7" s="21" t="s">
        <v>626</v>
      </c>
      <c r="BC7" s="21" t="s">
        <v>581</v>
      </c>
      <c r="BD7" s="21" t="s">
        <v>583</v>
      </c>
      <c r="BE7" s="21" t="s">
        <v>582</v>
      </c>
      <c r="BF7" s="21" t="s">
        <v>629</v>
      </c>
      <c r="BG7" s="21" t="s">
        <v>627</v>
      </c>
      <c r="BH7" s="21" t="s">
        <v>628</v>
      </c>
      <c r="BI7" t="s">
        <v>165</v>
      </c>
      <c r="BJ7" t="s">
        <v>166</v>
      </c>
      <c r="BK7" s="13" t="s">
        <v>174</v>
      </c>
    </row>
    <row r="8" spans="1:63" x14ac:dyDescent="0.3">
      <c r="A8" t="s">
        <v>524</v>
      </c>
      <c r="B8" t="s">
        <v>502</v>
      </c>
      <c r="C8" s="21" t="s">
        <v>144</v>
      </c>
      <c r="D8" s="21" t="s">
        <v>502</v>
      </c>
      <c r="E8" s="21" t="s">
        <v>480</v>
      </c>
      <c r="F8" t="s">
        <v>97</v>
      </c>
      <c r="G8" t="s">
        <v>100</v>
      </c>
      <c r="J8" s="21" t="s">
        <v>196</v>
      </c>
      <c r="K8" t="s">
        <v>102</v>
      </c>
      <c r="L8" t="s">
        <v>103</v>
      </c>
      <c r="M8" s="21" t="s">
        <v>503</v>
      </c>
      <c r="N8" t="s">
        <v>112</v>
      </c>
      <c r="O8" t="s">
        <v>118</v>
      </c>
      <c r="P8" t="s">
        <v>155</v>
      </c>
      <c r="Q8" t="s">
        <v>155</v>
      </c>
      <c r="R8" t="s">
        <v>153</v>
      </c>
      <c r="S8" t="s">
        <v>160</v>
      </c>
      <c r="T8" s="21" t="s">
        <v>462</v>
      </c>
      <c r="U8" t="s">
        <v>56</v>
      </c>
      <c r="V8" t="s">
        <v>161</v>
      </c>
      <c r="W8" t="s">
        <v>162</v>
      </c>
      <c r="X8" s="21" t="s">
        <v>463</v>
      </c>
      <c r="Y8" t="s">
        <v>163</v>
      </c>
      <c r="AA8" t="s">
        <v>164</v>
      </c>
      <c r="AB8" s="21" t="s">
        <v>464</v>
      </c>
      <c r="AC8" s="21" t="s">
        <v>363</v>
      </c>
      <c r="AD8" s="21" t="s">
        <v>603</v>
      </c>
      <c r="AE8" s="21" t="s">
        <v>604</v>
      </c>
      <c r="AF8" s="21" t="s">
        <v>605</v>
      </c>
      <c r="AG8" s="21" t="s">
        <v>606</v>
      </c>
      <c r="AH8" s="21" t="s">
        <v>607</v>
      </c>
      <c r="AI8" s="21" t="s">
        <v>608</v>
      </c>
      <c r="AJ8" s="21" t="s">
        <v>609</v>
      </c>
      <c r="AK8" s="21" t="s">
        <v>610</v>
      </c>
      <c r="AL8" s="21" t="s">
        <v>611</v>
      </c>
      <c r="AM8" s="21" t="s">
        <v>612</v>
      </c>
      <c r="AN8" s="21" t="s">
        <v>56</v>
      </c>
      <c r="AO8" s="21" t="s">
        <v>613</v>
      </c>
      <c r="AP8" s="21" t="s">
        <v>614</v>
      </c>
      <c r="AQ8" s="21" t="s">
        <v>615</v>
      </c>
      <c r="AR8" s="21" t="s">
        <v>616</v>
      </c>
      <c r="AS8" s="21" t="s">
        <v>617</v>
      </c>
      <c r="AT8" s="21" t="s">
        <v>618</v>
      </c>
      <c r="AU8" s="21" t="s">
        <v>619</v>
      </c>
      <c r="AV8" s="21" t="s">
        <v>622</v>
      </c>
      <c r="AW8" s="21" t="s">
        <v>620</v>
      </c>
      <c r="AX8" s="21" t="s">
        <v>621</v>
      </c>
      <c r="AY8" s="21" t="s">
        <v>630</v>
      </c>
      <c r="AZ8" s="21" t="s">
        <v>624</v>
      </c>
      <c r="BA8" s="21" t="s">
        <v>625</v>
      </c>
      <c r="BB8" s="21" t="s">
        <v>626</v>
      </c>
      <c r="BC8" s="21" t="s">
        <v>581</v>
      </c>
      <c r="BD8" s="21" t="s">
        <v>583</v>
      </c>
      <c r="BE8" s="21" t="s">
        <v>582</v>
      </c>
      <c r="BF8" s="21" t="s">
        <v>629</v>
      </c>
      <c r="BG8" s="21" t="s">
        <v>627</v>
      </c>
      <c r="BH8" s="21" t="s">
        <v>628</v>
      </c>
      <c r="BI8" t="s">
        <v>165</v>
      </c>
      <c r="BJ8" t="s">
        <v>166</v>
      </c>
      <c r="BK8" s="13" t="s">
        <v>174</v>
      </c>
    </row>
    <row r="9" spans="1:63" x14ac:dyDescent="0.3">
      <c r="A9" t="s">
        <v>519</v>
      </c>
      <c r="B9" t="s">
        <v>107</v>
      </c>
      <c r="C9" s="21" t="s">
        <v>144</v>
      </c>
      <c r="D9" t="s">
        <v>107</v>
      </c>
      <c r="E9" t="s">
        <v>107</v>
      </c>
      <c r="F9" t="s">
        <v>97</v>
      </c>
      <c r="G9" t="s">
        <v>100</v>
      </c>
      <c r="L9" t="s">
        <v>115</v>
      </c>
      <c r="M9" t="s">
        <v>125</v>
      </c>
      <c r="N9" t="s">
        <v>109</v>
      </c>
      <c r="P9" t="s">
        <v>568</v>
      </c>
      <c r="Q9" s="21" t="s">
        <v>568</v>
      </c>
      <c r="R9" t="s">
        <v>153</v>
      </c>
      <c r="S9" t="s">
        <v>160</v>
      </c>
      <c r="T9" s="21" t="s">
        <v>462</v>
      </c>
      <c r="U9" t="s">
        <v>56</v>
      </c>
      <c r="V9" t="s">
        <v>161</v>
      </c>
      <c r="W9" t="s">
        <v>162</v>
      </c>
      <c r="X9" s="21" t="s">
        <v>463</v>
      </c>
      <c r="Y9" t="s">
        <v>163</v>
      </c>
      <c r="AA9" t="s">
        <v>164</v>
      </c>
      <c r="AB9" s="21" t="s">
        <v>464</v>
      </c>
      <c r="AC9" s="21" t="s">
        <v>363</v>
      </c>
      <c r="AD9" s="21" t="s">
        <v>603</v>
      </c>
      <c r="AE9" s="21" t="s">
        <v>604</v>
      </c>
      <c r="AF9" s="21" t="s">
        <v>605</v>
      </c>
      <c r="AG9" s="21" t="s">
        <v>606</v>
      </c>
      <c r="AH9" s="21" t="s">
        <v>607</v>
      </c>
      <c r="AI9" s="21" t="s">
        <v>608</v>
      </c>
      <c r="AJ9" s="21" t="s">
        <v>609</v>
      </c>
      <c r="AK9" s="21" t="s">
        <v>610</v>
      </c>
      <c r="AL9" s="21" t="s">
        <v>611</v>
      </c>
      <c r="AM9" s="21" t="s">
        <v>612</v>
      </c>
      <c r="AN9" s="21" t="s">
        <v>56</v>
      </c>
      <c r="AO9" s="21" t="s">
        <v>613</v>
      </c>
      <c r="AP9" s="21" t="s">
        <v>614</v>
      </c>
      <c r="AQ9" s="21" t="s">
        <v>615</v>
      </c>
      <c r="AR9" s="21" t="s">
        <v>616</v>
      </c>
      <c r="AS9" s="21" t="s">
        <v>617</v>
      </c>
      <c r="AT9" s="21" t="s">
        <v>618</v>
      </c>
      <c r="AU9" s="21" t="s">
        <v>619</v>
      </c>
      <c r="AV9" s="21" t="s">
        <v>622</v>
      </c>
      <c r="AW9" s="21" t="s">
        <v>620</v>
      </c>
      <c r="AX9" s="21" t="s">
        <v>621</v>
      </c>
      <c r="AY9" s="21" t="s">
        <v>630</v>
      </c>
      <c r="AZ9" s="21" t="s">
        <v>624</v>
      </c>
      <c r="BA9" s="21" t="s">
        <v>625</v>
      </c>
      <c r="BB9" s="21" t="s">
        <v>626</v>
      </c>
      <c r="BC9" s="21" t="s">
        <v>581</v>
      </c>
      <c r="BD9" s="21" t="s">
        <v>583</v>
      </c>
      <c r="BE9" s="21" t="s">
        <v>582</v>
      </c>
      <c r="BF9" s="21" t="s">
        <v>629</v>
      </c>
      <c r="BG9" s="21" t="s">
        <v>627</v>
      </c>
      <c r="BH9" s="21" t="s">
        <v>628</v>
      </c>
      <c r="BI9" t="s">
        <v>165</v>
      </c>
      <c r="BJ9" t="s">
        <v>166</v>
      </c>
      <c r="BK9" s="13" t="s">
        <v>174</v>
      </c>
    </row>
    <row r="10" spans="1:63" x14ac:dyDescent="0.3">
      <c r="A10" t="s">
        <v>645</v>
      </c>
      <c r="B10" s="13" t="s">
        <v>119</v>
      </c>
      <c r="C10" s="21" t="s">
        <v>144</v>
      </c>
      <c r="D10" s="13" t="s">
        <v>119</v>
      </c>
      <c r="I10" t="s">
        <v>121</v>
      </c>
      <c r="K10" t="s">
        <v>655</v>
      </c>
      <c r="M10" s="13" t="s">
        <v>126</v>
      </c>
      <c r="N10" t="s">
        <v>112</v>
      </c>
      <c r="O10" t="s">
        <v>118</v>
      </c>
      <c r="S10" t="s">
        <v>160</v>
      </c>
      <c r="T10" s="21" t="s">
        <v>462</v>
      </c>
      <c r="U10" t="s">
        <v>56</v>
      </c>
      <c r="V10" t="s">
        <v>161</v>
      </c>
      <c r="W10" t="s">
        <v>162</v>
      </c>
      <c r="X10" s="21" t="s">
        <v>463</v>
      </c>
      <c r="Y10" t="s">
        <v>163</v>
      </c>
      <c r="AA10" t="s">
        <v>164</v>
      </c>
      <c r="AB10" s="21" t="s">
        <v>464</v>
      </c>
      <c r="AC10" s="21" t="s">
        <v>363</v>
      </c>
      <c r="AD10" s="21" t="s">
        <v>603</v>
      </c>
      <c r="AE10" s="21" t="s">
        <v>604</v>
      </c>
      <c r="AF10" s="21" t="s">
        <v>605</v>
      </c>
      <c r="AG10" s="21" t="s">
        <v>606</v>
      </c>
      <c r="AH10" s="21" t="s">
        <v>607</v>
      </c>
      <c r="AI10" s="21" t="s">
        <v>608</v>
      </c>
      <c r="AJ10" s="21" t="s">
        <v>609</v>
      </c>
      <c r="AK10" s="21" t="s">
        <v>610</v>
      </c>
      <c r="AL10" s="21" t="s">
        <v>611</v>
      </c>
      <c r="AM10" s="21" t="s">
        <v>612</v>
      </c>
      <c r="AN10" s="21" t="s">
        <v>56</v>
      </c>
      <c r="AO10" s="21" t="s">
        <v>613</v>
      </c>
      <c r="AP10" s="21" t="s">
        <v>614</v>
      </c>
      <c r="AQ10" s="21" t="s">
        <v>615</v>
      </c>
      <c r="AR10" s="21" t="s">
        <v>616</v>
      </c>
      <c r="AS10" s="21" t="s">
        <v>617</v>
      </c>
      <c r="AT10" s="21" t="s">
        <v>618</v>
      </c>
      <c r="AU10" s="21" t="s">
        <v>619</v>
      </c>
      <c r="AV10" s="21" t="s">
        <v>622</v>
      </c>
      <c r="AW10" s="21" t="s">
        <v>620</v>
      </c>
      <c r="AX10" s="21" t="s">
        <v>621</v>
      </c>
      <c r="AY10" s="21" t="s">
        <v>630</v>
      </c>
      <c r="AZ10" s="21" t="s">
        <v>624</v>
      </c>
      <c r="BA10" s="21" t="s">
        <v>625</v>
      </c>
      <c r="BB10" s="21" t="s">
        <v>626</v>
      </c>
      <c r="BC10" s="21" t="s">
        <v>581</v>
      </c>
      <c r="BD10" s="21" t="s">
        <v>583</v>
      </c>
      <c r="BE10" s="21" t="s">
        <v>582</v>
      </c>
      <c r="BF10" s="21" t="s">
        <v>629</v>
      </c>
      <c r="BG10" s="21" t="s">
        <v>627</v>
      </c>
      <c r="BH10" s="21" t="s">
        <v>628</v>
      </c>
      <c r="BI10" t="s">
        <v>165</v>
      </c>
      <c r="BJ10" t="s">
        <v>166</v>
      </c>
      <c r="BK10" s="13" t="s">
        <v>174</v>
      </c>
    </row>
    <row r="11" spans="1:63" x14ac:dyDescent="0.3">
      <c r="A11" t="s">
        <v>646</v>
      </c>
      <c r="B11" s="13" t="s">
        <v>119</v>
      </c>
      <c r="C11" s="21" t="s">
        <v>144</v>
      </c>
      <c r="D11" s="13" t="s">
        <v>119</v>
      </c>
      <c r="I11" t="s">
        <v>121</v>
      </c>
      <c r="K11" s="21" t="s">
        <v>655</v>
      </c>
      <c r="M11" s="13" t="s">
        <v>126</v>
      </c>
      <c r="N11" t="s">
        <v>112</v>
      </c>
      <c r="O11" t="s">
        <v>118</v>
      </c>
      <c r="S11" t="s">
        <v>160</v>
      </c>
      <c r="T11" s="21" t="s">
        <v>462</v>
      </c>
      <c r="U11" t="s">
        <v>56</v>
      </c>
      <c r="V11" t="s">
        <v>161</v>
      </c>
      <c r="W11" t="s">
        <v>162</v>
      </c>
      <c r="X11" s="21" t="s">
        <v>463</v>
      </c>
      <c r="Y11" t="s">
        <v>163</v>
      </c>
      <c r="AA11" t="s">
        <v>164</v>
      </c>
      <c r="AB11" s="21" t="s">
        <v>464</v>
      </c>
      <c r="AC11" s="21" t="s">
        <v>363</v>
      </c>
      <c r="AD11" s="21" t="s">
        <v>603</v>
      </c>
      <c r="AE11" s="21" t="s">
        <v>604</v>
      </c>
      <c r="AF11" s="21" t="s">
        <v>605</v>
      </c>
      <c r="AG11" s="21" t="s">
        <v>606</v>
      </c>
      <c r="AH11" s="21" t="s">
        <v>607</v>
      </c>
      <c r="AI11" s="21" t="s">
        <v>608</v>
      </c>
      <c r="AJ11" s="21" t="s">
        <v>609</v>
      </c>
      <c r="AK11" s="21" t="s">
        <v>610</v>
      </c>
      <c r="AL11" s="21" t="s">
        <v>611</v>
      </c>
      <c r="AM11" s="21" t="s">
        <v>612</v>
      </c>
      <c r="AN11" s="21" t="s">
        <v>56</v>
      </c>
      <c r="AO11" s="21" t="s">
        <v>613</v>
      </c>
      <c r="AP11" s="21" t="s">
        <v>614</v>
      </c>
      <c r="AQ11" s="21" t="s">
        <v>615</v>
      </c>
      <c r="AR11" s="21" t="s">
        <v>616</v>
      </c>
      <c r="AS11" s="21" t="s">
        <v>617</v>
      </c>
      <c r="AT11" s="21" t="s">
        <v>618</v>
      </c>
      <c r="AU11" s="21" t="s">
        <v>619</v>
      </c>
      <c r="AV11" s="21" t="s">
        <v>622</v>
      </c>
      <c r="AW11" s="21" t="s">
        <v>620</v>
      </c>
      <c r="AX11" s="21" t="s">
        <v>621</v>
      </c>
      <c r="AY11" s="21" t="s">
        <v>630</v>
      </c>
      <c r="AZ11" s="21" t="s">
        <v>624</v>
      </c>
      <c r="BA11" s="21" t="s">
        <v>625</v>
      </c>
      <c r="BB11" s="21" t="s">
        <v>626</v>
      </c>
      <c r="BC11" s="21" t="s">
        <v>581</v>
      </c>
      <c r="BD11" s="21" t="s">
        <v>583</v>
      </c>
      <c r="BE11" s="21" t="s">
        <v>582</v>
      </c>
      <c r="BF11" s="21" t="s">
        <v>629</v>
      </c>
      <c r="BG11" s="21" t="s">
        <v>627</v>
      </c>
      <c r="BH11" s="21" t="s">
        <v>628</v>
      </c>
      <c r="BI11" t="s">
        <v>165</v>
      </c>
      <c r="BJ11" t="s">
        <v>166</v>
      </c>
      <c r="BK11" s="13" t="s">
        <v>174</v>
      </c>
    </row>
    <row r="12" spans="1:63" x14ac:dyDescent="0.3">
      <c r="A12" t="s">
        <v>647</v>
      </c>
      <c r="B12" s="13" t="s">
        <v>119</v>
      </c>
      <c r="C12" s="21" t="s">
        <v>144</v>
      </c>
      <c r="D12" s="13" t="s">
        <v>119</v>
      </c>
      <c r="I12" t="s">
        <v>121</v>
      </c>
      <c r="K12" s="21" t="s">
        <v>655</v>
      </c>
      <c r="M12" s="13" t="s">
        <v>126</v>
      </c>
      <c r="N12" t="s">
        <v>112</v>
      </c>
      <c r="O12" t="s">
        <v>118</v>
      </c>
      <c r="S12" t="s">
        <v>160</v>
      </c>
      <c r="T12" s="21" t="s">
        <v>462</v>
      </c>
      <c r="U12" t="s">
        <v>56</v>
      </c>
      <c r="V12" t="s">
        <v>161</v>
      </c>
      <c r="W12" t="s">
        <v>162</v>
      </c>
      <c r="X12" s="21" t="s">
        <v>463</v>
      </c>
      <c r="Y12" t="s">
        <v>163</v>
      </c>
      <c r="AA12" t="s">
        <v>164</v>
      </c>
      <c r="AB12" s="21" t="s">
        <v>464</v>
      </c>
      <c r="AC12" s="21" t="s">
        <v>363</v>
      </c>
      <c r="AD12" s="21" t="s">
        <v>603</v>
      </c>
      <c r="AE12" s="21" t="s">
        <v>604</v>
      </c>
      <c r="AF12" s="21" t="s">
        <v>605</v>
      </c>
      <c r="AG12" s="21" t="s">
        <v>606</v>
      </c>
      <c r="AH12" s="21" t="s">
        <v>607</v>
      </c>
      <c r="AI12" s="21" t="s">
        <v>608</v>
      </c>
      <c r="AJ12" s="21" t="s">
        <v>609</v>
      </c>
      <c r="AK12" s="21" t="s">
        <v>610</v>
      </c>
      <c r="AL12" s="21" t="s">
        <v>611</v>
      </c>
      <c r="AM12" s="21" t="s">
        <v>612</v>
      </c>
      <c r="AN12" s="21" t="s">
        <v>56</v>
      </c>
      <c r="AO12" s="21" t="s">
        <v>613</v>
      </c>
      <c r="AP12" s="21" t="s">
        <v>614</v>
      </c>
      <c r="AQ12" s="21" t="s">
        <v>615</v>
      </c>
      <c r="AR12" s="21" t="s">
        <v>616</v>
      </c>
      <c r="AS12" s="21" t="s">
        <v>617</v>
      </c>
      <c r="AT12" s="21" t="s">
        <v>618</v>
      </c>
      <c r="AU12" s="21" t="s">
        <v>619</v>
      </c>
      <c r="AV12" s="21" t="s">
        <v>622</v>
      </c>
      <c r="AW12" s="21" t="s">
        <v>620</v>
      </c>
      <c r="AX12" s="21" t="s">
        <v>621</v>
      </c>
      <c r="AY12" s="21" t="s">
        <v>630</v>
      </c>
      <c r="AZ12" s="21" t="s">
        <v>624</v>
      </c>
      <c r="BA12" s="21" t="s">
        <v>625</v>
      </c>
      <c r="BB12" s="21" t="s">
        <v>626</v>
      </c>
      <c r="BC12" s="21" t="s">
        <v>581</v>
      </c>
      <c r="BD12" s="21" t="s">
        <v>583</v>
      </c>
      <c r="BE12" s="21" t="s">
        <v>582</v>
      </c>
      <c r="BF12" s="21" t="s">
        <v>629</v>
      </c>
      <c r="BG12" s="21" t="s">
        <v>627</v>
      </c>
      <c r="BH12" s="21" t="s">
        <v>628</v>
      </c>
      <c r="BI12" t="s">
        <v>165</v>
      </c>
      <c r="BJ12" t="s">
        <v>166</v>
      </c>
      <c r="BK12" s="13" t="s">
        <v>174</v>
      </c>
    </row>
    <row r="13" spans="1:63" s="21" customFormat="1" x14ac:dyDescent="0.3">
      <c r="A13" s="21" t="s">
        <v>675</v>
      </c>
      <c r="B13" s="13" t="s">
        <v>119</v>
      </c>
      <c r="C13" s="21" t="s">
        <v>144</v>
      </c>
      <c r="D13" s="13" t="s">
        <v>119</v>
      </c>
      <c r="I13" s="21" t="s">
        <v>121</v>
      </c>
      <c r="K13" s="21" t="s">
        <v>655</v>
      </c>
      <c r="M13" s="13" t="s">
        <v>126</v>
      </c>
      <c r="N13" s="21" t="s">
        <v>112</v>
      </c>
      <c r="O13" s="21" t="s">
        <v>118</v>
      </c>
      <c r="S13" s="21" t="s">
        <v>160</v>
      </c>
      <c r="T13" s="21" t="s">
        <v>462</v>
      </c>
      <c r="U13" s="21" t="s">
        <v>56</v>
      </c>
      <c r="V13" s="21" t="s">
        <v>161</v>
      </c>
      <c r="W13" s="21" t="s">
        <v>162</v>
      </c>
      <c r="X13" s="21" t="s">
        <v>463</v>
      </c>
      <c r="Y13" s="21" t="s">
        <v>163</v>
      </c>
      <c r="AA13" s="21" t="s">
        <v>164</v>
      </c>
      <c r="AB13" s="21" t="s">
        <v>464</v>
      </c>
      <c r="AC13" s="21" t="s">
        <v>363</v>
      </c>
      <c r="AD13" s="21" t="s">
        <v>603</v>
      </c>
      <c r="AE13" s="21" t="s">
        <v>604</v>
      </c>
      <c r="AF13" s="21" t="s">
        <v>605</v>
      </c>
      <c r="AG13" s="21" t="s">
        <v>606</v>
      </c>
      <c r="AH13" s="21" t="s">
        <v>607</v>
      </c>
      <c r="AI13" s="21" t="s">
        <v>608</v>
      </c>
      <c r="AJ13" s="21" t="s">
        <v>609</v>
      </c>
      <c r="AK13" s="21" t="s">
        <v>610</v>
      </c>
      <c r="AL13" s="21" t="s">
        <v>611</v>
      </c>
      <c r="AM13" s="21" t="s">
        <v>612</v>
      </c>
      <c r="AN13" s="21" t="s">
        <v>56</v>
      </c>
      <c r="AO13" s="21" t="s">
        <v>613</v>
      </c>
      <c r="AP13" s="21" t="s">
        <v>614</v>
      </c>
      <c r="AQ13" s="21" t="s">
        <v>615</v>
      </c>
      <c r="AR13" s="21" t="s">
        <v>616</v>
      </c>
      <c r="AS13" s="21" t="s">
        <v>617</v>
      </c>
      <c r="AT13" s="21" t="s">
        <v>618</v>
      </c>
      <c r="AU13" s="21" t="s">
        <v>619</v>
      </c>
      <c r="AV13" s="21" t="s">
        <v>622</v>
      </c>
      <c r="AW13" s="21" t="s">
        <v>620</v>
      </c>
      <c r="AX13" s="21" t="s">
        <v>621</v>
      </c>
      <c r="AY13" s="21" t="s">
        <v>630</v>
      </c>
      <c r="AZ13" s="21" t="s">
        <v>624</v>
      </c>
      <c r="BA13" s="21" t="s">
        <v>625</v>
      </c>
      <c r="BB13" s="21" t="s">
        <v>626</v>
      </c>
      <c r="BC13" s="21" t="s">
        <v>581</v>
      </c>
      <c r="BD13" s="21" t="s">
        <v>583</v>
      </c>
      <c r="BE13" s="21" t="s">
        <v>582</v>
      </c>
      <c r="BF13" s="21" t="s">
        <v>629</v>
      </c>
      <c r="BG13" s="21" t="s">
        <v>627</v>
      </c>
      <c r="BH13" s="21" t="s">
        <v>628</v>
      </c>
      <c r="BI13" s="21" t="s">
        <v>165</v>
      </c>
      <c r="BJ13" s="21" t="s">
        <v>166</v>
      </c>
      <c r="BK13" s="13" t="s">
        <v>174</v>
      </c>
    </row>
    <row r="14" spans="1:63" s="21" customFormat="1" x14ac:dyDescent="0.3">
      <c r="A14" s="21" t="s">
        <v>676</v>
      </c>
      <c r="B14" s="13" t="s">
        <v>119</v>
      </c>
      <c r="C14" s="21" t="s">
        <v>144</v>
      </c>
      <c r="D14" s="13" t="s">
        <v>119</v>
      </c>
      <c r="I14" s="21" t="s">
        <v>121</v>
      </c>
      <c r="K14" s="21" t="s">
        <v>655</v>
      </c>
      <c r="M14" s="13" t="s">
        <v>126</v>
      </c>
      <c r="N14" s="21" t="s">
        <v>112</v>
      </c>
      <c r="O14" s="21" t="s">
        <v>118</v>
      </c>
      <c r="S14" s="21" t="s">
        <v>160</v>
      </c>
      <c r="T14" s="21" t="s">
        <v>462</v>
      </c>
      <c r="U14" s="21" t="s">
        <v>56</v>
      </c>
      <c r="V14" s="21" t="s">
        <v>161</v>
      </c>
      <c r="W14" s="21" t="s">
        <v>162</v>
      </c>
      <c r="X14" s="21" t="s">
        <v>463</v>
      </c>
      <c r="Y14" s="21" t="s">
        <v>163</v>
      </c>
      <c r="AA14" s="21" t="s">
        <v>164</v>
      </c>
      <c r="AB14" s="21" t="s">
        <v>464</v>
      </c>
      <c r="AC14" s="21" t="s">
        <v>363</v>
      </c>
      <c r="AD14" s="21" t="s">
        <v>603</v>
      </c>
      <c r="AE14" s="21" t="s">
        <v>604</v>
      </c>
      <c r="AF14" s="21" t="s">
        <v>605</v>
      </c>
      <c r="AG14" s="21" t="s">
        <v>606</v>
      </c>
      <c r="AH14" s="21" t="s">
        <v>607</v>
      </c>
      <c r="AI14" s="21" t="s">
        <v>608</v>
      </c>
      <c r="AJ14" s="21" t="s">
        <v>609</v>
      </c>
      <c r="AK14" s="21" t="s">
        <v>610</v>
      </c>
      <c r="AL14" s="21" t="s">
        <v>611</v>
      </c>
      <c r="AM14" s="21" t="s">
        <v>612</v>
      </c>
      <c r="AN14" s="21" t="s">
        <v>56</v>
      </c>
      <c r="AO14" s="21" t="s">
        <v>613</v>
      </c>
      <c r="AP14" s="21" t="s">
        <v>614</v>
      </c>
      <c r="AQ14" s="21" t="s">
        <v>615</v>
      </c>
      <c r="AR14" s="21" t="s">
        <v>616</v>
      </c>
      <c r="AS14" s="21" t="s">
        <v>617</v>
      </c>
      <c r="AT14" s="21" t="s">
        <v>618</v>
      </c>
      <c r="AU14" s="21" t="s">
        <v>619</v>
      </c>
      <c r="AV14" s="21" t="s">
        <v>622</v>
      </c>
      <c r="AW14" s="21" t="s">
        <v>620</v>
      </c>
      <c r="AX14" s="21" t="s">
        <v>621</v>
      </c>
      <c r="AY14" s="21" t="s">
        <v>630</v>
      </c>
      <c r="AZ14" s="21" t="s">
        <v>624</v>
      </c>
      <c r="BA14" s="21" t="s">
        <v>625</v>
      </c>
      <c r="BB14" s="21" t="s">
        <v>626</v>
      </c>
      <c r="BC14" s="21" t="s">
        <v>581</v>
      </c>
      <c r="BD14" s="21" t="s">
        <v>583</v>
      </c>
      <c r="BE14" s="21" t="s">
        <v>582</v>
      </c>
      <c r="BF14" s="21" t="s">
        <v>629</v>
      </c>
      <c r="BG14" s="21" t="s">
        <v>627</v>
      </c>
      <c r="BH14" s="21" t="s">
        <v>628</v>
      </c>
      <c r="BI14" s="21" t="s">
        <v>165</v>
      </c>
      <c r="BJ14" s="21" t="s">
        <v>166</v>
      </c>
      <c r="BK14" s="13" t="s">
        <v>174</v>
      </c>
    </row>
    <row r="15" spans="1:63" s="21" customFormat="1" x14ac:dyDescent="0.3">
      <c r="A15" s="21" t="s">
        <v>677</v>
      </c>
      <c r="B15" s="13" t="s">
        <v>119</v>
      </c>
      <c r="C15" s="21" t="s">
        <v>144</v>
      </c>
      <c r="D15" s="13" t="s">
        <v>119</v>
      </c>
      <c r="I15" s="21" t="s">
        <v>121</v>
      </c>
      <c r="K15" s="21" t="s">
        <v>655</v>
      </c>
      <c r="M15" s="13" t="s">
        <v>126</v>
      </c>
      <c r="N15" s="21" t="s">
        <v>112</v>
      </c>
      <c r="O15" s="21" t="s">
        <v>118</v>
      </c>
      <c r="S15" s="21" t="s">
        <v>160</v>
      </c>
      <c r="T15" s="21" t="s">
        <v>462</v>
      </c>
      <c r="U15" s="21" t="s">
        <v>56</v>
      </c>
      <c r="V15" s="21" t="s">
        <v>161</v>
      </c>
      <c r="W15" s="21" t="s">
        <v>162</v>
      </c>
      <c r="X15" s="21" t="s">
        <v>463</v>
      </c>
      <c r="Y15" s="21" t="s">
        <v>163</v>
      </c>
      <c r="AA15" s="21" t="s">
        <v>164</v>
      </c>
      <c r="AB15" s="21" t="s">
        <v>464</v>
      </c>
      <c r="AC15" s="21" t="s">
        <v>363</v>
      </c>
      <c r="AD15" s="21" t="s">
        <v>603</v>
      </c>
      <c r="AE15" s="21" t="s">
        <v>604</v>
      </c>
      <c r="AF15" s="21" t="s">
        <v>605</v>
      </c>
      <c r="AG15" s="21" t="s">
        <v>606</v>
      </c>
      <c r="AH15" s="21" t="s">
        <v>607</v>
      </c>
      <c r="AI15" s="21" t="s">
        <v>608</v>
      </c>
      <c r="AJ15" s="21" t="s">
        <v>609</v>
      </c>
      <c r="AK15" s="21" t="s">
        <v>610</v>
      </c>
      <c r="AL15" s="21" t="s">
        <v>611</v>
      </c>
      <c r="AM15" s="21" t="s">
        <v>612</v>
      </c>
      <c r="AN15" s="21" t="s">
        <v>56</v>
      </c>
      <c r="AO15" s="21" t="s">
        <v>613</v>
      </c>
      <c r="AP15" s="21" t="s">
        <v>614</v>
      </c>
      <c r="AQ15" s="21" t="s">
        <v>615</v>
      </c>
      <c r="AR15" s="21" t="s">
        <v>616</v>
      </c>
      <c r="AS15" s="21" t="s">
        <v>617</v>
      </c>
      <c r="AT15" s="21" t="s">
        <v>618</v>
      </c>
      <c r="AU15" s="21" t="s">
        <v>619</v>
      </c>
      <c r="AV15" s="21" t="s">
        <v>622</v>
      </c>
      <c r="AW15" s="21" t="s">
        <v>620</v>
      </c>
      <c r="AX15" s="21" t="s">
        <v>621</v>
      </c>
      <c r="AY15" s="21" t="s">
        <v>630</v>
      </c>
      <c r="AZ15" s="21" t="s">
        <v>624</v>
      </c>
      <c r="BA15" s="21" t="s">
        <v>625</v>
      </c>
      <c r="BB15" s="21" t="s">
        <v>626</v>
      </c>
      <c r="BC15" s="21" t="s">
        <v>581</v>
      </c>
      <c r="BD15" s="21" t="s">
        <v>583</v>
      </c>
      <c r="BE15" s="21" t="s">
        <v>582</v>
      </c>
      <c r="BF15" s="21" t="s">
        <v>629</v>
      </c>
      <c r="BG15" s="21" t="s">
        <v>627</v>
      </c>
      <c r="BH15" s="21" t="s">
        <v>628</v>
      </c>
      <c r="BI15" s="21" t="s">
        <v>165</v>
      </c>
      <c r="BJ15" s="21" t="s">
        <v>166</v>
      </c>
      <c r="BK15" s="13" t="s">
        <v>174</v>
      </c>
    </row>
    <row r="16" spans="1:63" x14ac:dyDescent="0.3">
      <c r="A16" t="s">
        <v>636</v>
      </c>
      <c r="B16" s="13" t="s">
        <v>119</v>
      </c>
      <c r="C16" s="21" t="s">
        <v>144</v>
      </c>
      <c r="D16" s="13" t="s">
        <v>119</v>
      </c>
      <c r="I16" t="s">
        <v>121</v>
      </c>
      <c r="K16" s="21" t="s">
        <v>655</v>
      </c>
      <c r="M16" s="13" t="s">
        <v>126</v>
      </c>
      <c r="N16" t="s">
        <v>112</v>
      </c>
      <c r="O16" t="s">
        <v>118</v>
      </c>
      <c r="S16" t="s">
        <v>160</v>
      </c>
      <c r="T16" s="21" t="s">
        <v>462</v>
      </c>
      <c r="U16" t="s">
        <v>56</v>
      </c>
      <c r="V16" t="s">
        <v>161</v>
      </c>
      <c r="W16" t="s">
        <v>162</v>
      </c>
      <c r="X16" s="21" t="s">
        <v>463</v>
      </c>
      <c r="Y16" t="s">
        <v>163</v>
      </c>
      <c r="AA16" t="s">
        <v>164</v>
      </c>
      <c r="AB16" s="21" t="s">
        <v>464</v>
      </c>
      <c r="AC16" s="21" t="s">
        <v>363</v>
      </c>
      <c r="AD16" s="21" t="s">
        <v>603</v>
      </c>
      <c r="AE16" s="21" t="s">
        <v>604</v>
      </c>
      <c r="AF16" s="21" t="s">
        <v>605</v>
      </c>
      <c r="AG16" s="21" t="s">
        <v>606</v>
      </c>
      <c r="AH16" s="21" t="s">
        <v>607</v>
      </c>
      <c r="AI16" s="21" t="s">
        <v>608</v>
      </c>
      <c r="AJ16" s="21" t="s">
        <v>609</v>
      </c>
      <c r="AK16" s="21" t="s">
        <v>610</v>
      </c>
      <c r="AL16" s="21" t="s">
        <v>611</v>
      </c>
      <c r="AM16" s="21" t="s">
        <v>612</v>
      </c>
      <c r="AN16" s="21" t="s">
        <v>56</v>
      </c>
      <c r="AO16" s="21" t="s">
        <v>613</v>
      </c>
      <c r="AP16" s="21" t="s">
        <v>614</v>
      </c>
      <c r="AQ16" s="21" t="s">
        <v>615</v>
      </c>
      <c r="AR16" s="21" t="s">
        <v>616</v>
      </c>
      <c r="AS16" s="21" t="s">
        <v>617</v>
      </c>
      <c r="AT16" s="21" t="s">
        <v>618</v>
      </c>
      <c r="AU16" s="21" t="s">
        <v>619</v>
      </c>
      <c r="AV16" s="21" t="s">
        <v>622</v>
      </c>
      <c r="AW16" s="21" t="s">
        <v>620</v>
      </c>
      <c r="AX16" s="21" t="s">
        <v>621</v>
      </c>
      <c r="AY16" s="21" t="s">
        <v>630</v>
      </c>
      <c r="AZ16" s="21" t="s">
        <v>624</v>
      </c>
      <c r="BA16" s="21" t="s">
        <v>625</v>
      </c>
      <c r="BB16" s="21" t="s">
        <v>626</v>
      </c>
      <c r="BC16" s="21" t="s">
        <v>581</v>
      </c>
      <c r="BD16" s="21" t="s">
        <v>583</v>
      </c>
      <c r="BE16" s="21" t="s">
        <v>582</v>
      </c>
      <c r="BF16" s="21" t="s">
        <v>629</v>
      </c>
      <c r="BG16" s="21" t="s">
        <v>627</v>
      </c>
      <c r="BH16" s="21" t="s">
        <v>628</v>
      </c>
      <c r="BI16" t="s">
        <v>165</v>
      </c>
      <c r="BJ16" t="s">
        <v>166</v>
      </c>
      <c r="BK16" s="13" t="s">
        <v>174</v>
      </c>
    </row>
    <row r="17" spans="1:63" x14ac:dyDescent="0.3">
      <c r="A17" t="s">
        <v>637</v>
      </c>
      <c r="B17" s="13" t="s">
        <v>119</v>
      </c>
      <c r="C17" s="21" t="s">
        <v>144</v>
      </c>
      <c r="D17" s="13" t="s">
        <v>119</v>
      </c>
      <c r="I17" t="s">
        <v>121</v>
      </c>
      <c r="K17" s="21" t="s">
        <v>655</v>
      </c>
      <c r="M17" s="13" t="s">
        <v>126</v>
      </c>
      <c r="N17" t="s">
        <v>112</v>
      </c>
      <c r="O17" t="s">
        <v>118</v>
      </c>
      <c r="S17" t="s">
        <v>160</v>
      </c>
      <c r="T17" s="21" t="s">
        <v>462</v>
      </c>
      <c r="U17" t="s">
        <v>56</v>
      </c>
      <c r="V17" t="s">
        <v>161</v>
      </c>
      <c r="W17" t="s">
        <v>162</v>
      </c>
      <c r="X17" s="21" t="s">
        <v>463</v>
      </c>
      <c r="Y17" t="s">
        <v>163</v>
      </c>
      <c r="AA17" t="s">
        <v>164</v>
      </c>
      <c r="AB17" s="21" t="s">
        <v>464</v>
      </c>
      <c r="AC17" s="21" t="s">
        <v>363</v>
      </c>
      <c r="AD17" s="21" t="s">
        <v>603</v>
      </c>
      <c r="AE17" s="21" t="s">
        <v>604</v>
      </c>
      <c r="AF17" s="21" t="s">
        <v>605</v>
      </c>
      <c r="AG17" s="21" t="s">
        <v>606</v>
      </c>
      <c r="AH17" s="21" t="s">
        <v>607</v>
      </c>
      <c r="AI17" s="21" t="s">
        <v>608</v>
      </c>
      <c r="AJ17" s="21" t="s">
        <v>609</v>
      </c>
      <c r="AK17" s="21" t="s">
        <v>610</v>
      </c>
      <c r="AL17" s="21" t="s">
        <v>611</v>
      </c>
      <c r="AM17" s="21" t="s">
        <v>612</v>
      </c>
      <c r="AN17" s="21" t="s">
        <v>56</v>
      </c>
      <c r="AO17" s="21" t="s">
        <v>613</v>
      </c>
      <c r="AP17" s="21" t="s">
        <v>614</v>
      </c>
      <c r="AQ17" s="21" t="s">
        <v>615</v>
      </c>
      <c r="AR17" s="21" t="s">
        <v>616</v>
      </c>
      <c r="AS17" s="21" t="s">
        <v>617</v>
      </c>
      <c r="AT17" s="21" t="s">
        <v>618</v>
      </c>
      <c r="AU17" s="21" t="s">
        <v>619</v>
      </c>
      <c r="AV17" s="21" t="s">
        <v>622</v>
      </c>
      <c r="AW17" s="21" t="s">
        <v>620</v>
      </c>
      <c r="AX17" s="21" t="s">
        <v>621</v>
      </c>
      <c r="AY17" s="21" t="s">
        <v>630</v>
      </c>
      <c r="AZ17" s="21" t="s">
        <v>624</v>
      </c>
      <c r="BA17" s="21" t="s">
        <v>625</v>
      </c>
      <c r="BB17" s="21" t="s">
        <v>626</v>
      </c>
      <c r="BC17" s="21" t="s">
        <v>581</v>
      </c>
      <c r="BD17" s="21" t="s">
        <v>583</v>
      </c>
      <c r="BE17" s="21" t="s">
        <v>582</v>
      </c>
      <c r="BF17" s="21" t="s">
        <v>629</v>
      </c>
      <c r="BG17" s="21" t="s">
        <v>627</v>
      </c>
      <c r="BH17" s="21" t="s">
        <v>628</v>
      </c>
      <c r="BI17" t="s">
        <v>165</v>
      </c>
      <c r="BJ17" t="s">
        <v>166</v>
      </c>
      <c r="BK17" s="13" t="s">
        <v>174</v>
      </c>
    </row>
    <row r="18" spans="1:63" x14ac:dyDescent="0.3">
      <c r="A18" t="s">
        <v>638</v>
      </c>
      <c r="B18" s="13" t="s">
        <v>119</v>
      </c>
      <c r="C18" s="21" t="s">
        <v>144</v>
      </c>
      <c r="D18" s="13" t="s">
        <v>119</v>
      </c>
      <c r="I18" t="s">
        <v>121</v>
      </c>
      <c r="K18" s="21" t="s">
        <v>655</v>
      </c>
      <c r="M18" s="13" t="s">
        <v>126</v>
      </c>
      <c r="N18" t="s">
        <v>112</v>
      </c>
      <c r="O18" t="s">
        <v>118</v>
      </c>
      <c r="S18" t="s">
        <v>160</v>
      </c>
      <c r="T18" s="21" t="s">
        <v>462</v>
      </c>
      <c r="U18" t="s">
        <v>56</v>
      </c>
      <c r="V18" t="s">
        <v>161</v>
      </c>
      <c r="W18" t="s">
        <v>162</v>
      </c>
      <c r="X18" s="21" t="s">
        <v>463</v>
      </c>
      <c r="Y18" t="s">
        <v>163</v>
      </c>
      <c r="AA18" t="s">
        <v>164</v>
      </c>
      <c r="AB18" s="21" t="s">
        <v>464</v>
      </c>
      <c r="AC18" s="21" t="s">
        <v>363</v>
      </c>
      <c r="AD18" s="21" t="s">
        <v>603</v>
      </c>
      <c r="AE18" s="21" t="s">
        <v>604</v>
      </c>
      <c r="AF18" s="21" t="s">
        <v>605</v>
      </c>
      <c r="AG18" s="21" t="s">
        <v>606</v>
      </c>
      <c r="AH18" s="21" t="s">
        <v>607</v>
      </c>
      <c r="AI18" s="21" t="s">
        <v>608</v>
      </c>
      <c r="AJ18" s="21" t="s">
        <v>609</v>
      </c>
      <c r="AK18" s="21" t="s">
        <v>610</v>
      </c>
      <c r="AL18" s="21" t="s">
        <v>611</v>
      </c>
      <c r="AM18" s="21" t="s">
        <v>612</v>
      </c>
      <c r="AN18" s="21" t="s">
        <v>56</v>
      </c>
      <c r="AO18" s="21" t="s">
        <v>613</v>
      </c>
      <c r="AP18" s="21" t="s">
        <v>614</v>
      </c>
      <c r="AQ18" s="21" t="s">
        <v>615</v>
      </c>
      <c r="AR18" s="21" t="s">
        <v>616</v>
      </c>
      <c r="AS18" s="21" t="s">
        <v>617</v>
      </c>
      <c r="AT18" s="21" t="s">
        <v>618</v>
      </c>
      <c r="AU18" s="21" t="s">
        <v>619</v>
      </c>
      <c r="AV18" s="21" t="s">
        <v>622</v>
      </c>
      <c r="AW18" s="21" t="s">
        <v>620</v>
      </c>
      <c r="AX18" s="21" t="s">
        <v>621</v>
      </c>
      <c r="AY18" s="21" t="s">
        <v>630</v>
      </c>
      <c r="AZ18" s="21" t="s">
        <v>624</v>
      </c>
      <c r="BA18" s="21" t="s">
        <v>625</v>
      </c>
      <c r="BB18" s="21" t="s">
        <v>626</v>
      </c>
      <c r="BC18" s="21" t="s">
        <v>581</v>
      </c>
      <c r="BD18" s="21" t="s">
        <v>583</v>
      </c>
      <c r="BE18" s="21" t="s">
        <v>582</v>
      </c>
      <c r="BF18" s="21" t="s">
        <v>629</v>
      </c>
      <c r="BG18" s="21" t="s">
        <v>627</v>
      </c>
      <c r="BH18" s="21" t="s">
        <v>628</v>
      </c>
      <c r="BI18" t="s">
        <v>165</v>
      </c>
      <c r="BJ18" t="s">
        <v>166</v>
      </c>
      <c r="BK18" s="13" t="s">
        <v>174</v>
      </c>
    </row>
    <row r="19" spans="1:63" s="21" customFormat="1" x14ac:dyDescent="0.3">
      <c r="A19" s="21" t="s">
        <v>674</v>
      </c>
      <c r="B19" s="13" t="s">
        <v>199</v>
      </c>
      <c r="C19" s="21" t="s">
        <v>144</v>
      </c>
      <c r="D19" s="13" t="s">
        <v>199</v>
      </c>
      <c r="E19" s="21" t="s">
        <v>198</v>
      </c>
      <c r="F19" s="21" t="s">
        <v>97</v>
      </c>
      <c r="G19" s="21" t="s">
        <v>100</v>
      </c>
      <c r="J19" s="21" t="s">
        <v>197</v>
      </c>
      <c r="L19" s="21" t="s">
        <v>103</v>
      </c>
      <c r="M19" s="13" t="s">
        <v>200</v>
      </c>
      <c r="N19" s="21" t="s">
        <v>112</v>
      </c>
      <c r="O19" s="21" t="s">
        <v>118</v>
      </c>
      <c r="P19" s="21" t="s">
        <v>465</v>
      </c>
      <c r="Q19" s="21" t="s">
        <v>465</v>
      </c>
      <c r="R19" s="21" t="s">
        <v>153</v>
      </c>
      <c r="S19" s="21" t="s">
        <v>160</v>
      </c>
      <c r="T19" s="21" t="s">
        <v>462</v>
      </c>
      <c r="U19" s="21" t="s">
        <v>56</v>
      </c>
      <c r="V19" s="21" t="s">
        <v>161</v>
      </c>
      <c r="W19" s="21" t="s">
        <v>162</v>
      </c>
      <c r="X19" s="21" t="s">
        <v>463</v>
      </c>
      <c r="Y19" s="21" t="s">
        <v>163</v>
      </c>
      <c r="AA19" s="21" t="s">
        <v>164</v>
      </c>
      <c r="AB19" s="21" t="s">
        <v>464</v>
      </c>
      <c r="AC19" s="21" t="s">
        <v>363</v>
      </c>
      <c r="AD19" s="21" t="s">
        <v>603</v>
      </c>
      <c r="AE19" s="21" t="s">
        <v>604</v>
      </c>
      <c r="AF19" s="21" t="s">
        <v>605</v>
      </c>
      <c r="AG19" s="21" t="s">
        <v>606</v>
      </c>
      <c r="AH19" s="21" t="s">
        <v>607</v>
      </c>
      <c r="AI19" s="21" t="s">
        <v>608</v>
      </c>
      <c r="AJ19" s="21" t="s">
        <v>609</v>
      </c>
      <c r="AK19" s="21" t="s">
        <v>610</v>
      </c>
      <c r="AL19" s="21" t="s">
        <v>611</v>
      </c>
      <c r="AM19" s="21" t="s">
        <v>612</v>
      </c>
      <c r="AN19" s="21" t="s">
        <v>56</v>
      </c>
      <c r="AO19" s="21" t="s">
        <v>613</v>
      </c>
      <c r="AP19" s="21" t="s">
        <v>614</v>
      </c>
      <c r="AQ19" s="21" t="s">
        <v>615</v>
      </c>
      <c r="AR19" s="21" t="s">
        <v>616</v>
      </c>
      <c r="AS19" s="21" t="s">
        <v>617</v>
      </c>
      <c r="AT19" s="21" t="s">
        <v>618</v>
      </c>
      <c r="AU19" s="21" t="s">
        <v>619</v>
      </c>
      <c r="AV19" s="21" t="s">
        <v>622</v>
      </c>
      <c r="AW19" s="21" t="s">
        <v>620</v>
      </c>
      <c r="AX19" s="21" t="s">
        <v>621</v>
      </c>
      <c r="AY19" s="21" t="s">
        <v>630</v>
      </c>
      <c r="AZ19" s="21" t="s">
        <v>624</v>
      </c>
      <c r="BA19" s="21" t="s">
        <v>625</v>
      </c>
      <c r="BB19" s="21" t="s">
        <v>626</v>
      </c>
      <c r="BC19" s="21" t="s">
        <v>581</v>
      </c>
      <c r="BD19" s="21" t="s">
        <v>583</v>
      </c>
      <c r="BE19" s="21" t="s">
        <v>582</v>
      </c>
      <c r="BF19" s="21" t="s">
        <v>629</v>
      </c>
      <c r="BG19" s="21" t="s">
        <v>627</v>
      </c>
      <c r="BH19" s="21" t="s">
        <v>628</v>
      </c>
      <c r="BI19" s="21" t="s">
        <v>165</v>
      </c>
      <c r="BJ19" s="21" t="s">
        <v>166</v>
      </c>
      <c r="BK19" s="13" t="s">
        <v>174</v>
      </c>
    </row>
    <row r="20" spans="1:63" x14ac:dyDescent="0.3">
      <c r="A20" t="s">
        <v>631</v>
      </c>
      <c r="B20" s="13" t="s">
        <v>199</v>
      </c>
      <c r="C20" s="21" t="s">
        <v>144</v>
      </c>
      <c r="D20" s="13" t="s">
        <v>199</v>
      </c>
      <c r="E20" s="21" t="s">
        <v>198</v>
      </c>
      <c r="F20" t="s">
        <v>97</v>
      </c>
      <c r="G20" t="s">
        <v>100</v>
      </c>
      <c r="J20" t="s">
        <v>197</v>
      </c>
      <c r="L20" s="21" t="s">
        <v>103</v>
      </c>
      <c r="M20" s="13" t="s">
        <v>200</v>
      </c>
      <c r="N20" t="s">
        <v>112</v>
      </c>
      <c r="O20" t="s">
        <v>118</v>
      </c>
      <c r="P20" t="s">
        <v>465</v>
      </c>
      <c r="Q20" s="21" t="s">
        <v>465</v>
      </c>
      <c r="R20" t="s">
        <v>153</v>
      </c>
      <c r="S20" t="s">
        <v>160</v>
      </c>
      <c r="T20" s="21" t="s">
        <v>462</v>
      </c>
      <c r="U20" t="s">
        <v>56</v>
      </c>
      <c r="V20" t="s">
        <v>161</v>
      </c>
      <c r="W20" t="s">
        <v>162</v>
      </c>
      <c r="X20" s="21" t="s">
        <v>463</v>
      </c>
      <c r="Y20" t="s">
        <v>163</v>
      </c>
      <c r="AA20" t="s">
        <v>164</v>
      </c>
      <c r="AB20" s="21" t="s">
        <v>464</v>
      </c>
      <c r="AC20" s="21" t="s">
        <v>363</v>
      </c>
      <c r="AD20" s="21" t="s">
        <v>603</v>
      </c>
      <c r="AE20" s="21" t="s">
        <v>604</v>
      </c>
      <c r="AF20" s="21" t="s">
        <v>605</v>
      </c>
      <c r="AG20" s="21" t="s">
        <v>606</v>
      </c>
      <c r="AH20" s="21" t="s">
        <v>607</v>
      </c>
      <c r="AI20" s="21" t="s">
        <v>608</v>
      </c>
      <c r="AJ20" s="21" t="s">
        <v>609</v>
      </c>
      <c r="AK20" s="21" t="s">
        <v>610</v>
      </c>
      <c r="AL20" s="21" t="s">
        <v>611</v>
      </c>
      <c r="AM20" s="21" t="s">
        <v>612</v>
      </c>
      <c r="AN20" s="21" t="s">
        <v>56</v>
      </c>
      <c r="AO20" s="21" t="s">
        <v>613</v>
      </c>
      <c r="AP20" s="21" t="s">
        <v>614</v>
      </c>
      <c r="AQ20" s="21" t="s">
        <v>615</v>
      </c>
      <c r="AR20" s="21" t="s">
        <v>616</v>
      </c>
      <c r="AS20" s="21" t="s">
        <v>617</v>
      </c>
      <c r="AT20" s="21" t="s">
        <v>618</v>
      </c>
      <c r="AU20" s="21" t="s">
        <v>619</v>
      </c>
      <c r="AV20" s="21" t="s">
        <v>622</v>
      </c>
      <c r="AW20" s="21" t="s">
        <v>620</v>
      </c>
      <c r="AX20" s="21" t="s">
        <v>621</v>
      </c>
      <c r="AY20" s="21" t="s">
        <v>630</v>
      </c>
      <c r="AZ20" s="21" t="s">
        <v>624</v>
      </c>
      <c r="BA20" s="21" t="s">
        <v>625</v>
      </c>
      <c r="BB20" s="21" t="s">
        <v>626</v>
      </c>
      <c r="BC20" s="21" t="s">
        <v>581</v>
      </c>
      <c r="BD20" s="21" t="s">
        <v>583</v>
      </c>
      <c r="BE20" s="21" t="s">
        <v>582</v>
      </c>
      <c r="BF20" s="21" t="s">
        <v>629</v>
      </c>
      <c r="BG20" s="21" t="s">
        <v>627</v>
      </c>
      <c r="BH20" s="21" t="s">
        <v>628</v>
      </c>
      <c r="BI20" t="s">
        <v>165</v>
      </c>
      <c r="BJ20" t="s">
        <v>166</v>
      </c>
      <c r="BK20" s="13" t="s">
        <v>174</v>
      </c>
    </row>
    <row r="21" spans="1:63" x14ac:dyDescent="0.3">
      <c r="A21" t="s">
        <v>712</v>
      </c>
      <c r="B21" s="13" t="s">
        <v>119</v>
      </c>
      <c r="C21" s="21" t="s">
        <v>144</v>
      </c>
      <c r="D21" s="13" t="s">
        <v>119</v>
      </c>
      <c r="I21" t="s">
        <v>121</v>
      </c>
      <c r="K21" t="s">
        <v>102</v>
      </c>
      <c r="M21" s="13" t="s">
        <v>126</v>
      </c>
      <c r="N21" t="s">
        <v>112</v>
      </c>
      <c r="O21" t="s">
        <v>118</v>
      </c>
      <c r="S21" t="s">
        <v>160</v>
      </c>
      <c r="T21" s="21" t="s">
        <v>462</v>
      </c>
      <c r="U21" t="s">
        <v>56</v>
      </c>
      <c r="V21" t="s">
        <v>161</v>
      </c>
      <c r="W21" t="s">
        <v>162</v>
      </c>
      <c r="X21" s="21" t="s">
        <v>463</v>
      </c>
      <c r="Y21" t="s">
        <v>163</v>
      </c>
      <c r="AA21" t="s">
        <v>164</v>
      </c>
      <c r="AB21" s="21" t="s">
        <v>464</v>
      </c>
      <c r="AC21" s="21" t="s">
        <v>363</v>
      </c>
      <c r="AD21" s="21" t="s">
        <v>603</v>
      </c>
      <c r="AE21" s="21" t="s">
        <v>604</v>
      </c>
      <c r="AF21" s="21" t="s">
        <v>605</v>
      </c>
      <c r="AG21" s="21" t="s">
        <v>606</v>
      </c>
      <c r="AH21" s="21" t="s">
        <v>607</v>
      </c>
      <c r="AI21" s="21" t="s">
        <v>608</v>
      </c>
      <c r="AJ21" s="21" t="s">
        <v>609</v>
      </c>
      <c r="AK21" s="21" t="s">
        <v>610</v>
      </c>
      <c r="AL21" s="21" t="s">
        <v>611</v>
      </c>
      <c r="AM21" s="21" t="s">
        <v>612</v>
      </c>
      <c r="AN21" s="21" t="s">
        <v>56</v>
      </c>
      <c r="AO21" s="21" t="s">
        <v>613</v>
      </c>
      <c r="AP21" s="21" t="s">
        <v>614</v>
      </c>
      <c r="AQ21" s="21" t="s">
        <v>615</v>
      </c>
      <c r="AR21" s="21" t="s">
        <v>616</v>
      </c>
      <c r="AS21" s="21" t="s">
        <v>617</v>
      </c>
      <c r="AT21" s="21" t="s">
        <v>618</v>
      </c>
      <c r="AU21" s="21" t="s">
        <v>619</v>
      </c>
      <c r="AV21" s="21" t="s">
        <v>622</v>
      </c>
      <c r="AW21" s="21" t="s">
        <v>620</v>
      </c>
      <c r="AX21" s="21" t="s">
        <v>621</v>
      </c>
      <c r="AY21" s="21" t="s">
        <v>630</v>
      </c>
      <c r="AZ21" s="21" t="s">
        <v>624</v>
      </c>
      <c r="BA21" s="21" t="s">
        <v>625</v>
      </c>
      <c r="BB21" s="21" t="s">
        <v>626</v>
      </c>
      <c r="BC21" s="21" t="s">
        <v>581</v>
      </c>
      <c r="BD21" s="21" t="s">
        <v>583</v>
      </c>
      <c r="BE21" s="21" t="s">
        <v>582</v>
      </c>
      <c r="BF21" s="21" t="s">
        <v>629</v>
      </c>
      <c r="BG21" s="21" t="s">
        <v>627</v>
      </c>
      <c r="BH21" s="21" t="s">
        <v>628</v>
      </c>
      <c r="BI21" t="s">
        <v>165</v>
      </c>
      <c r="BJ21" t="s">
        <v>166</v>
      </c>
      <c r="BK21" s="13" t="s">
        <v>174</v>
      </c>
    </row>
    <row r="22" spans="1:63" x14ac:dyDescent="0.3">
      <c r="A22" t="s">
        <v>713</v>
      </c>
      <c r="B22" s="13" t="s">
        <v>119</v>
      </c>
      <c r="C22" s="21" t="s">
        <v>144</v>
      </c>
      <c r="D22" s="13" t="s">
        <v>119</v>
      </c>
      <c r="I22" t="s">
        <v>121</v>
      </c>
      <c r="K22" t="s">
        <v>102</v>
      </c>
      <c r="M22" s="13" t="s">
        <v>126</v>
      </c>
      <c r="N22" t="s">
        <v>112</v>
      </c>
      <c r="O22" t="s">
        <v>118</v>
      </c>
      <c r="S22" t="s">
        <v>160</v>
      </c>
      <c r="T22" s="21" t="s">
        <v>462</v>
      </c>
      <c r="U22" t="s">
        <v>56</v>
      </c>
      <c r="V22" t="s">
        <v>161</v>
      </c>
      <c r="W22" t="s">
        <v>162</v>
      </c>
      <c r="X22" s="21" t="s">
        <v>463</v>
      </c>
      <c r="Y22" t="s">
        <v>163</v>
      </c>
      <c r="AA22" t="s">
        <v>164</v>
      </c>
      <c r="AB22" s="21" t="s">
        <v>464</v>
      </c>
      <c r="AC22" s="21" t="s">
        <v>363</v>
      </c>
      <c r="AD22" s="21" t="s">
        <v>603</v>
      </c>
      <c r="AE22" s="21" t="s">
        <v>604</v>
      </c>
      <c r="AF22" s="21" t="s">
        <v>605</v>
      </c>
      <c r="AG22" s="21" t="s">
        <v>606</v>
      </c>
      <c r="AH22" s="21" t="s">
        <v>607</v>
      </c>
      <c r="AI22" s="21" t="s">
        <v>608</v>
      </c>
      <c r="AJ22" s="21" t="s">
        <v>609</v>
      </c>
      <c r="AK22" s="21" t="s">
        <v>610</v>
      </c>
      <c r="AL22" s="21" t="s">
        <v>611</v>
      </c>
      <c r="AM22" s="21" t="s">
        <v>612</v>
      </c>
      <c r="AN22" s="21" t="s">
        <v>56</v>
      </c>
      <c r="AO22" s="21" t="s">
        <v>613</v>
      </c>
      <c r="AP22" s="21" t="s">
        <v>614</v>
      </c>
      <c r="AQ22" s="21" t="s">
        <v>615</v>
      </c>
      <c r="AR22" s="21" t="s">
        <v>616</v>
      </c>
      <c r="AS22" s="21" t="s">
        <v>617</v>
      </c>
      <c r="AT22" s="21" t="s">
        <v>618</v>
      </c>
      <c r="AU22" s="21" t="s">
        <v>619</v>
      </c>
      <c r="AV22" s="21" t="s">
        <v>622</v>
      </c>
      <c r="AW22" s="21" t="s">
        <v>620</v>
      </c>
      <c r="AX22" s="21" t="s">
        <v>621</v>
      </c>
      <c r="AY22" s="21" t="s">
        <v>630</v>
      </c>
      <c r="AZ22" s="21" t="s">
        <v>624</v>
      </c>
      <c r="BA22" s="21" t="s">
        <v>625</v>
      </c>
      <c r="BB22" s="21" t="s">
        <v>626</v>
      </c>
      <c r="BC22" s="21" t="s">
        <v>581</v>
      </c>
      <c r="BD22" s="21" t="s">
        <v>583</v>
      </c>
      <c r="BE22" s="21" t="s">
        <v>582</v>
      </c>
      <c r="BF22" s="21" t="s">
        <v>629</v>
      </c>
      <c r="BG22" s="21" t="s">
        <v>627</v>
      </c>
      <c r="BH22" s="21" t="s">
        <v>628</v>
      </c>
      <c r="BI22" t="s">
        <v>165</v>
      </c>
      <c r="BJ22" t="s">
        <v>166</v>
      </c>
      <c r="BK22" s="13" t="s">
        <v>174</v>
      </c>
    </row>
    <row r="23" spans="1:63" x14ac:dyDescent="0.3">
      <c r="A23" t="s">
        <v>714</v>
      </c>
      <c r="B23" s="13" t="s">
        <v>119</v>
      </c>
      <c r="C23" s="21" t="s">
        <v>144</v>
      </c>
      <c r="D23" s="13" t="s">
        <v>119</v>
      </c>
      <c r="I23" t="s">
        <v>121</v>
      </c>
      <c r="K23" t="s">
        <v>102</v>
      </c>
      <c r="M23" s="13" t="s">
        <v>126</v>
      </c>
      <c r="N23" t="s">
        <v>112</v>
      </c>
      <c r="O23" t="s">
        <v>118</v>
      </c>
      <c r="S23" t="s">
        <v>160</v>
      </c>
      <c r="T23" s="21" t="s">
        <v>462</v>
      </c>
      <c r="U23" t="s">
        <v>56</v>
      </c>
      <c r="V23" t="s">
        <v>161</v>
      </c>
      <c r="W23" t="s">
        <v>162</v>
      </c>
      <c r="X23" s="21" t="s">
        <v>463</v>
      </c>
      <c r="Y23" t="s">
        <v>163</v>
      </c>
      <c r="AA23" t="s">
        <v>164</v>
      </c>
      <c r="AB23" s="21" t="s">
        <v>464</v>
      </c>
      <c r="AC23" s="21" t="s">
        <v>363</v>
      </c>
      <c r="AD23" s="21" t="s">
        <v>603</v>
      </c>
      <c r="AE23" s="21" t="s">
        <v>604</v>
      </c>
      <c r="AF23" s="21" t="s">
        <v>605</v>
      </c>
      <c r="AG23" s="21" t="s">
        <v>606</v>
      </c>
      <c r="AH23" s="21" t="s">
        <v>607</v>
      </c>
      <c r="AI23" s="21" t="s">
        <v>608</v>
      </c>
      <c r="AJ23" s="21" t="s">
        <v>609</v>
      </c>
      <c r="AK23" s="21" t="s">
        <v>610</v>
      </c>
      <c r="AL23" s="21" t="s">
        <v>611</v>
      </c>
      <c r="AM23" s="21" t="s">
        <v>612</v>
      </c>
      <c r="AN23" s="21" t="s">
        <v>56</v>
      </c>
      <c r="AO23" s="21" t="s">
        <v>613</v>
      </c>
      <c r="AP23" s="21" t="s">
        <v>614</v>
      </c>
      <c r="AQ23" s="21" t="s">
        <v>615</v>
      </c>
      <c r="AR23" s="21" t="s">
        <v>616</v>
      </c>
      <c r="AS23" s="21" t="s">
        <v>617</v>
      </c>
      <c r="AT23" s="21" t="s">
        <v>618</v>
      </c>
      <c r="AU23" s="21" t="s">
        <v>619</v>
      </c>
      <c r="AV23" s="21" t="s">
        <v>622</v>
      </c>
      <c r="AW23" s="21" t="s">
        <v>620</v>
      </c>
      <c r="AX23" s="21" t="s">
        <v>621</v>
      </c>
      <c r="AY23" s="21" t="s">
        <v>630</v>
      </c>
      <c r="AZ23" s="21" t="s">
        <v>624</v>
      </c>
      <c r="BA23" s="21" t="s">
        <v>625</v>
      </c>
      <c r="BB23" s="21" t="s">
        <v>626</v>
      </c>
      <c r="BC23" s="21" t="s">
        <v>581</v>
      </c>
      <c r="BD23" s="21" t="s">
        <v>583</v>
      </c>
      <c r="BE23" s="21" t="s">
        <v>582</v>
      </c>
      <c r="BF23" s="21" t="s">
        <v>629</v>
      </c>
      <c r="BG23" s="21" t="s">
        <v>627</v>
      </c>
      <c r="BH23" s="21" t="s">
        <v>628</v>
      </c>
      <c r="BI23" t="s">
        <v>165</v>
      </c>
      <c r="BJ23" t="s">
        <v>166</v>
      </c>
      <c r="BK23" s="13" t="s">
        <v>174</v>
      </c>
    </row>
    <row r="24" spans="1:63" x14ac:dyDescent="0.3">
      <c r="A24" t="s">
        <v>694</v>
      </c>
      <c r="B24" s="13" t="s">
        <v>119</v>
      </c>
      <c r="C24" s="21" t="s">
        <v>144</v>
      </c>
      <c r="D24" s="13" t="s">
        <v>119</v>
      </c>
      <c r="I24" t="s">
        <v>121</v>
      </c>
      <c r="K24" t="s">
        <v>102</v>
      </c>
      <c r="M24" s="13" t="s">
        <v>126</v>
      </c>
      <c r="N24" t="s">
        <v>112</v>
      </c>
      <c r="O24" t="s">
        <v>118</v>
      </c>
      <c r="S24" t="s">
        <v>160</v>
      </c>
      <c r="T24" s="21" t="s">
        <v>462</v>
      </c>
      <c r="U24" t="s">
        <v>56</v>
      </c>
      <c r="V24" t="s">
        <v>161</v>
      </c>
      <c r="W24" t="s">
        <v>162</v>
      </c>
      <c r="X24" s="21" t="s">
        <v>463</v>
      </c>
      <c r="Y24" t="s">
        <v>163</v>
      </c>
      <c r="AA24" t="s">
        <v>164</v>
      </c>
      <c r="AB24" s="21" t="s">
        <v>464</v>
      </c>
      <c r="AC24" s="21" t="s">
        <v>363</v>
      </c>
      <c r="AD24" s="21" t="s">
        <v>603</v>
      </c>
      <c r="AE24" s="21" t="s">
        <v>604</v>
      </c>
      <c r="AF24" s="21" t="s">
        <v>605</v>
      </c>
      <c r="AG24" s="21" t="s">
        <v>606</v>
      </c>
      <c r="AH24" s="21" t="s">
        <v>607</v>
      </c>
      <c r="AI24" s="21" t="s">
        <v>608</v>
      </c>
      <c r="AJ24" s="21" t="s">
        <v>609</v>
      </c>
      <c r="AK24" s="21" t="s">
        <v>610</v>
      </c>
      <c r="AL24" s="21" t="s">
        <v>611</v>
      </c>
      <c r="AM24" s="21" t="s">
        <v>612</v>
      </c>
      <c r="AN24" s="21" t="s">
        <v>56</v>
      </c>
      <c r="AO24" s="21" t="s">
        <v>613</v>
      </c>
      <c r="AP24" s="21" t="s">
        <v>614</v>
      </c>
      <c r="AQ24" s="21" t="s">
        <v>615</v>
      </c>
      <c r="AR24" s="21" t="s">
        <v>616</v>
      </c>
      <c r="AS24" s="21" t="s">
        <v>617</v>
      </c>
      <c r="AT24" s="21" t="s">
        <v>618</v>
      </c>
      <c r="AU24" s="21" t="s">
        <v>619</v>
      </c>
      <c r="AV24" s="21" t="s">
        <v>622</v>
      </c>
      <c r="AW24" s="21" t="s">
        <v>620</v>
      </c>
      <c r="AX24" s="21" t="s">
        <v>621</v>
      </c>
      <c r="AY24" s="21" t="s">
        <v>630</v>
      </c>
      <c r="AZ24" s="21" t="s">
        <v>624</v>
      </c>
      <c r="BA24" s="21" t="s">
        <v>625</v>
      </c>
      <c r="BB24" s="21" t="s">
        <v>626</v>
      </c>
      <c r="BC24" s="21" t="s">
        <v>581</v>
      </c>
      <c r="BD24" s="21" t="s">
        <v>583</v>
      </c>
      <c r="BE24" s="21" t="s">
        <v>582</v>
      </c>
      <c r="BF24" s="21" t="s">
        <v>629</v>
      </c>
      <c r="BG24" s="21" t="s">
        <v>627</v>
      </c>
      <c r="BH24" s="21" t="s">
        <v>628</v>
      </c>
      <c r="BI24" t="s">
        <v>165</v>
      </c>
      <c r="BJ24" t="s">
        <v>166</v>
      </c>
      <c r="BK24" s="13" t="s">
        <v>174</v>
      </c>
    </row>
    <row r="25" spans="1:63" x14ac:dyDescent="0.3">
      <c r="A25" t="s">
        <v>695</v>
      </c>
      <c r="B25" s="13" t="s">
        <v>119</v>
      </c>
      <c r="C25" s="21" t="s">
        <v>144</v>
      </c>
      <c r="D25" s="13" t="s">
        <v>119</v>
      </c>
      <c r="I25" t="s">
        <v>121</v>
      </c>
      <c r="K25" t="s">
        <v>102</v>
      </c>
      <c r="M25" s="13" t="s">
        <v>126</v>
      </c>
      <c r="N25" t="s">
        <v>112</v>
      </c>
      <c r="O25" t="s">
        <v>118</v>
      </c>
      <c r="S25" t="s">
        <v>160</v>
      </c>
      <c r="T25" s="21" t="s">
        <v>462</v>
      </c>
      <c r="U25" t="s">
        <v>56</v>
      </c>
      <c r="V25" t="s">
        <v>161</v>
      </c>
      <c r="W25" t="s">
        <v>162</v>
      </c>
      <c r="X25" s="21" t="s">
        <v>463</v>
      </c>
      <c r="Y25" t="s">
        <v>163</v>
      </c>
      <c r="AA25" t="s">
        <v>164</v>
      </c>
      <c r="AB25" s="21" t="s">
        <v>464</v>
      </c>
      <c r="AC25" s="21" t="s">
        <v>363</v>
      </c>
      <c r="AD25" s="21" t="s">
        <v>603</v>
      </c>
      <c r="AE25" s="21" t="s">
        <v>604</v>
      </c>
      <c r="AF25" s="21" t="s">
        <v>605</v>
      </c>
      <c r="AG25" s="21" t="s">
        <v>606</v>
      </c>
      <c r="AH25" s="21" t="s">
        <v>607</v>
      </c>
      <c r="AI25" s="21" t="s">
        <v>608</v>
      </c>
      <c r="AJ25" s="21" t="s">
        <v>609</v>
      </c>
      <c r="AK25" s="21" t="s">
        <v>610</v>
      </c>
      <c r="AL25" s="21" t="s">
        <v>611</v>
      </c>
      <c r="AM25" s="21" t="s">
        <v>612</v>
      </c>
      <c r="AN25" s="21" t="s">
        <v>56</v>
      </c>
      <c r="AO25" s="21" t="s">
        <v>613</v>
      </c>
      <c r="AP25" s="21" t="s">
        <v>614</v>
      </c>
      <c r="AQ25" s="21" t="s">
        <v>615</v>
      </c>
      <c r="AR25" s="21" t="s">
        <v>616</v>
      </c>
      <c r="AS25" s="21" t="s">
        <v>617</v>
      </c>
      <c r="AT25" s="21" t="s">
        <v>618</v>
      </c>
      <c r="AU25" s="21" t="s">
        <v>619</v>
      </c>
      <c r="AV25" s="21" t="s">
        <v>622</v>
      </c>
      <c r="AW25" s="21" t="s">
        <v>620</v>
      </c>
      <c r="AX25" s="21" t="s">
        <v>621</v>
      </c>
      <c r="AY25" s="21" t="s">
        <v>630</v>
      </c>
      <c r="AZ25" s="21" t="s">
        <v>624</v>
      </c>
      <c r="BA25" s="21" t="s">
        <v>625</v>
      </c>
      <c r="BB25" s="21" t="s">
        <v>626</v>
      </c>
      <c r="BC25" s="21" t="s">
        <v>581</v>
      </c>
      <c r="BD25" s="21" t="s">
        <v>583</v>
      </c>
      <c r="BE25" s="21" t="s">
        <v>582</v>
      </c>
      <c r="BF25" s="21" t="s">
        <v>629</v>
      </c>
      <c r="BG25" s="21" t="s">
        <v>627</v>
      </c>
      <c r="BH25" s="21" t="s">
        <v>628</v>
      </c>
      <c r="BI25" t="s">
        <v>165</v>
      </c>
      <c r="BJ25" t="s">
        <v>166</v>
      </c>
      <c r="BK25" s="13" t="s">
        <v>174</v>
      </c>
    </row>
    <row r="26" spans="1:63" x14ac:dyDescent="0.3">
      <c r="A26" t="s">
        <v>696</v>
      </c>
      <c r="B26" s="13" t="s">
        <v>119</v>
      </c>
      <c r="C26" s="21" t="s">
        <v>144</v>
      </c>
      <c r="D26" s="13" t="s">
        <v>119</v>
      </c>
      <c r="I26" t="s">
        <v>121</v>
      </c>
      <c r="K26" t="s">
        <v>102</v>
      </c>
      <c r="M26" s="13" t="s">
        <v>126</v>
      </c>
      <c r="N26" t="s">
        <v>112</v>
      </c>
      <c r="O26" t="s">
        <v>118</v>
      </c>
      <c r="S26" t="s">
        <v>160</v>
      </c>
      <c r="T26" s="21" t="s">
        <v>462</v>
      </c>
      <c r="U26" t="s">
        <v>56</v>
      </c>
      <c r="V26" t="s">
        <v>161</v>
      </c>
      <c r="W26" t="s">
        <v>162</v>
      </c>
      <c r="X26" s="21" t="s">
        <v>463</v>
      </c>
      <c r="Y26" t="s">
        <v>163</v>
      </c>
      <c r="AA26" t="s">
        <v>164</v>
      </c>
      <c r="AB26" s="21" t="s">
        <v>464</v>
      </c>
      <c r="AC26" s="21" t="s">
        <v>363</v>
      </c>
      <c r="AD26" s="21" t="s">
        <v>603</v>
      </c>
      <c r="AE26" s="21" t="s">
        <v>604</v>
      </c>
      <c r="AF26" s="21" t="s">
        <v>605</v>
      </c>
      <c r="AG26" s="21" t="s">
        <v>606</v>
      </c>
      <c r="AH26" s="21" t="s">
        <v>607</v>
      </c>
      <c r="AI26" s="21" t="s">
        <v>608</v>
      </c>
      <c r="AJ26" s="21" t="s">
        <v>609</v>
      </c>
      <c r="AK26" s="21" t="s">
        <v>610</v>
      </c>
      <c r="AL26" s="21" t="s">
        <v>611</v>
      </c>
      <c r="AM26" s="21" t="s">
        <v>612</v>
      </c>
      <c r="AN26" s="21" t="s">
        <v>56</v>
      </c>
      <c r="AO26" s="21" t="s">
        <v>613</v>
      </c>
      <c r="AP26" s="21" t="s">
        <v>614</v>
      </c>
      <c r="AQ26" s="21" t="s">
        <v>615</v>
      </c>
      <c r="AR26" s="21" t="s">
        <v>616</v>
      </c>
      <c r="AS26" s="21" t="s">
        <v>617</v>
      </c>
      <c r="AT26" s="21" t="s">
        <v>618</v>
      </c>
      <c r="AU26" s="21" t="s">
        <v>619</v>
      </c>
      <c r="AV26" s="21" t="s">
        <v>622</v>
      </c>
      <c r="AW26" s="21" t="s">
        <v>620</v>
      </c>
      <c r="AX26" s="21" t="s">
        <v>621</v>
      </c>
      <c r="AY26" s="21" t="s">
        <v>630</v>
      </c>
      <c r="AZ26" s="21" t="s">
        <v>624</v>
      </c>
      <c r="BA26" s="21" t="s">
        <v>625</v>
      </c>
      <c r="BB26" s="21" t="s">
        <v>626</v>
      </c>
      <c r="BC26" s="21" t="s">
        <v>581</v>
      </c>
      <c r="BD26" s="21" t="s">
        <v>583</v>
      </c>
      <c r="BE26" s="21" t="s">
        <v>582</v>
      </c>
      <c r="BF26" s="21" t="s">
        <v>629</v>
      </c>
      <c r="BG26" s="21" t="s">
        <v>627</v>
      </c>
      <c r="BH26" s="21" t="s">
        <v>628</v>
      </c>
      <c r="BI26" t="s">
        <v>165</v>
      </c>
      <c r="BJ26" t="s">
        <v>166</v>
      </c>
      <c r="BK26" s="13" t="s">
        <v>174</v>
      </c>
    </row>
    <row r="27" spans="1:63" x14ac:dyDescent="0.3">
      <c r="A27" t="s">
        <v>703</v>
      </c>
      <c r="B27" s="13" t="s">
        <v>119</v>
      </c>
      <c r="C27" s="21" t="s">
        <v>144</v>
      </c>
      <c r="D27" s="13" t="s">
        <v>119</v>
      </c>
      <c r="I27" t="s">
        <v>121</v>
      </c>
      <c r="K27" t="s">
        <v>102</v>
      </c>
      <c r="M27" s="13" t="s">
        <v>126</v>
      </c>
      <c r="N27" t="s">
        <v>112</v>
      </c>
      <c r="O27" t="s">
        <v>118</v>
      </c>
      <c r="S27" t="s">
        <v>160</v>
      </c>
      <c r="T27" s="21" t="s">
        <v>462</v>
      </c>
      <c r="U27" t="s">
        <v>56</v>
      </c>
      <c r="V27" t="s">
        <v>161</v>
      </c>
      <c r="W27" t="s">
        <v>162</v>
      </c>
      <c r="X27" s="21" t="s">
        <v>463</v>
      </c>
      <c r="Y27" t="s">
        <v>163</v>
      </c>
      <c r="AA27" t="s">
        <v>164</v>
      </c>
      <c r="AB27" s="21" t="s">
        <v>464</v>
      </c>
      <c r="AC27" s="21" t="s">
        <v>363</v>
      </c>
      <c r="AD27" s="21" t="s">
        <v>603</v>
      </c>
      <c r="AE27" s="21" t="s">
        <v>604</v>
      </c>
      <c r="AF27" s="21" t="s">
        <v>605</v>
      </c>
      <c r="AG27" s="21" t="s">
        <v>606</v>
      </c>
      <c r="AH27" s="21" t="s">
        <v>607</v>
      </c>
      <c r="AI27" s="21" t="s">
        <v>608</v>
      </c>
      <c r="AJ27" s="21" t="s">
        <v>609</v>
      </c>
      <c r="AK27" s="21" t="s">
        <v>610</v>
      </c>
      <c r="AL27" s="21" t="s">
        <v>611</v>
      </c>
      <c r="AM27" s="21" t="s">
        <v>612</v>
      </c>
      <c r="AN27" s="21" t="s">
        <v>56</v>
      </c>
      <c r="AO27" s="21" t="s">
        <v>613</v>
      </c>
      <c r="AP27" s="21" t="s">
        <v>614</v>
      </c>
      <c r="AQ27" s="21" t="s">
        <v>615</v>
      </c>
      <c r="AR27" s="21" t="s">
        <v>616</v>
      </c>
      <c r="AS27" s="21" t="s">
        <v>617</v>
      </c>
      <c r="AT27" s="21" t="s">
        <v>618</v>
      </c>
      <c r="AU27" s="21" t="s">
        <v>619</v>
      </c>
      <c r="AV27" s="21" t="s">
        <v>622</v>
      </c>
      <c r="AW27" s="21" t="s">
        <v>620</v>
      </c>
      <c r="AX27" s="21" t="s">
        <v>621</v>
      </c>
      <c r="AY27" s="21" t="s">
        <v>630</v>
      </c>
      <c r="AZ27" s="21" t="s">
        <v>624</v>
      </c>
      <c r="BA27" s="21" t="s">
        <v>625</v>
      </c>
      <c r="BB27" s="21" t="s">
        <v>626</v>
      </c>
      <c r="BC27" s="21" t="s">
        <v>581</v>
      </c>
      <c r="BD27" s="21" t="s">
        <v>583</v>
      </c>
      <c r="BE27" s="21" t="s">
        <v>582</v>
      </c>
      <c r="BF27" s="21" t="s">
        <v>629</v>
      </c>
      <c r="BG27" s="21" t="s">
        <v>627</v>
      </c>
      <c r="BH27" s="21" t="s">
        <v>628</v>
      </c>
      <c r="BI27" t="s">
        <v>165</v>
      </c>
      <c r="BJ27" t="s">
        <v>166</v>
      </c>
      <c r="BK27" s="13" t="s">
        <v>174</v>
      </c>
    </row>
    <row r="28" spans="1:63" x14ac:dyDescent="0.3">
      <c r="A28" t="s">
        <v>704</v>
      </c>
      <c r="B28" s="13" t="s">
        <v>119</v>
      </c>
      <c r="C28" s="21" t="s">
        <v>144</v>
      </c>
      <c r="D28" s="13" t="s">
        <v>119</v>
      </c>
      <c r="I28" t="s">
        <v>121</v>
      </c>
      <c r="K28" t="s">
        <v>102</v>
      </c>
      <c r="M28" s="13" t="s">
        <v>126</v>
      </c>
      <c r="N28" t="s">
        <v>112</v>
      </c>
      <c r="O28" t="s">
        <v>118</v>
      </c>
      <c r="S28" t="s">
        <v>160</v>
      </c>
      <c r="T28" s="21" t="s">
        <v>462</v>
      </c>
      <c r="U28" t="s">
        <v>56</v>
      </c>
      <c r="V28" t="s">
        <v>161</v>
      </c>
      <c r="W28" t="s">
        <v>162</v>
      </c>
      <c r="X28" s="21" t="s">
        <v>463</v>
      </c>
      <c r="Y28" t="s">
        <v>163</v>
      </c>
      <c r="AA28" t="s">
        <v>164</v>
      </c>
      <c r="AB28" s="21" t="s">
        <v>464</v>
      </c>
      <c r="AC28" s="21" t="s">
        <v>363</v>
      </c>
      <c r="AD28" s="21" t="s">
        <v>603</v>
      </c>
      <c r="AE28" s="21" t="s">
        <v>604</v>
      </c>
      <c r="AF28" s="21" t="s">
        <v>605</v>
      </c>
      <c r="AG28" s="21" t="s">
        <v>606</v>
      </c>
      <c r="AH28" s="21" t="s">
        <v>607</v>
      </c>
      <c r="AI28" s="21" t="s">
        <v>608</v>
      </c>
      <c r="AJ28" s="21" t="s">
        <v>609</v>
      </c>
      <c r="AK28" s="21" t="s">
        <v>610</v>
      </c>
      <c r="AL28" s="21" t="s">
        <v>611</v>
      </c>
      <c r="AM28" s="21" t="s">
        <v>612</v>
      </c>
      <c r="AN28" s="21" t="s">
        <v>56</v>
      </c>
      <c r="AO28" s="21" t="s">
        <v>613</v>
      </c>
      <c r="AP28" s="21" t="s">
        <v>614</v>
      </c>
      <c r="AQ28" s="21" t="s">
        <v>615</v>
      </c>
      <c r="AR28" s="21" t="s">
        <v>616</v>
      </c>
      <c r="AS28" s="21" t="s">
        <v>617</v>
      </c>
      <c r="AT28" s="21" t="s">
        <v>618</v>
      </c>
      <c r="AU28" s="21" t="s">
        <v>619</v>
      </c>
      <c r="AV28" s="21" t="s">
        <v>622</v>
      </c>
      <c r="AW28" s="21" t="s">
        <v>620</v>
      </c>
      <c r="AX28" s="21" t="s">
        <v>621</v>
      </c>
      <c r="AY28" s="21" t="s">
        <v>630</v>
      </c>
      <c r="AZ28" s="21" t="s">
        <v>624</v>
      </c>
      <c r="BA28" s="21" t="s">
        <v>625</v>
      </c>
      <c r="BB28" s="21" t="s">
        <v>626</v>
      </c>
      <c r="BC28" s="21" t="s">
        <v>581</v>
      </c>
      <c r="BD28" s="21" t="s">
        <v>583</v>
      </c>
      <c r="BE28" s="21" t="s">
        <v>582</v>
      </c>
      <c r="BF28" s="21" t="s">
        <v>629</v>
      </c>
      <c r="BG28" s="21" t="s">
        <v>627</v>
      </c>
      <c r="BH28" s="21" t="s">
        <v>628</v>
      </c>
      <c r="BI28" t="s">
        <v>165</v>
      </c>
      <c r="BJ28" t="s">
        <v>166</v>
      </c>
      <c r="BK28" s="13" t="s">
        <v>174</v>
      </c>
    </row>
    <row r="29" spans="1:63" x14ac:dyDescent="0.3">
      <c r="A29" t="s">
        <v>705</v>
      </c>
      <c r="B29" s="13" t="s">
        <v>119</v>
      </c>
      <c r="C29" s="21" t="s">
        <v>144</v>
      </c>
      <c r="D29" s="13" t="s">
        <v>119</v>
      </c>
      <c r="I29" t="s">
        <v>121</v>
      </c>
      <c r="K29" t="s">
        <v>102</v>
      </c>
      <c r="M29" s="13" t="s">
        <v>126</v>
      </c>
      <c r="N29" t="s">
        <v>112</v>
      </c>
      <c r="O29" t="s">
        <v>118</v>
      </c>
      <c r="S29" t="s">
        <v>160</v>
      </c>
      <c r="T29" s="21" t="s">
        <v>462</v>
      </c>
      <c r="U29" t="s">
        <v>56</v>
      </c>
      <c r="V29" t="s">
        <v>161</v>
      </c>
      <c r="W29" t="s">
        <v>162</v>
      </c>
      <c r="X29" s="21" t="s">
        <v>463</v>
      </c>
      <c r="Y29" t="s">
        <v>163</v>
      </c>
      <c r="AA29" t="s">
        <v>164</v>
      </c>
      <c r="AB29" s="21" t="s">
        <v>464</v>
      </c>
      <c r="AC29" s="21" t="s">
        <v>363</v>
      </c>
      <c r="AD29" s="21" t="s">
        <v>603</v>
      </c>
      <c r="AE29" s="21" t="s">
        <v>604</v>
      </c>
      <c r="AF29" s="21" t="s">
        <v>605</v>
      </c>
      <c r="AG29" s="21" t="s">
        <v>606</v>
      </c>
      <c r="AH29" s="21" t="s">
        <v>607</v>
      </c>
      <c r="AI29" s="21" t="s">
        <v>608</v>
      </c>
      <c r="AJ29" s="21" t="s">
        <v>609</v>
      </c>
      <c r="AK29" s="21" t="s">
        <v>610</v>
      </c>
      <c r="AL29" s="21" t="s">
        <v>611</v>
      </c>
      <c r="AM29" s="21" t="s">
        <v>612</v>
      </c>
      <c r="AN29" s="21" t="s">
        <v>56</v>
      </c>
      <c r="AO29" s="21" t="s">
        <v>613</v>
      </c>
      <c r="AP29" s="21" t="s">
        <v>614</v>
      </c>
      <c r="AQ29" s="21" t="s">
        <v>615</v>
      </c>
      <c r="AR29" s="21" t="s">
        <v>616</v>
      </c>
      <c r="AS29" s="21" t="s">
        <v>617</v>
      </c>
      <c r="AT29" s="21" t="s">
        <v>618</v>
      </c>
      <c r="AU29" s="21" t="s">
        <v>619</v>
      </c>
      <c r="AV29" s="21" t="s">
        <v>622</v>
      </c>
      <c r="AW29" s="21" t="s">
        <v>620</v>
      </c>
      <c r="AX29" s="21" t="s">
        <v>621</v>
      </c>
      <c r="AY29" s="21" t="s">
        <v>630</v>
      </c>
      <c r="AZ29" s="21" t="s">
        <v>624</v>
      </c>
      <c r="BA29" s="21" t="s">
        <v>625</v>
      </c>
      <c r="BB29" s="21" t="s">
        <v>626</v>
      </c>
      <c r="BC29" s="21" t="s">
        <v>581</v>
      </c>
      <c r="BD29" s="21" t="s">
        <v>583</v>
      </c>
      <c r="BE29" s="21" t="s">
        <v>582</v>
      </c>
      <c r="BF29" s="21" t="s">
        <v>629</v>
      </c>
      <c r="BG29" s="21" t="s">
        <v>627</v>
      </c>
      <c r="BH29" s="21" t="s">
        <v>628</v>
      </c>
      <c r="BI29" t="s">
        <v>165</v>
      </c>
      <c r="BJ29" t="s">
        <v>166</v>
      </c>
      <c r="BK29" s="13" t="s">
        <v>174</v>
      </c>
    </row>
    <row r="30" spans="1:63" x14ac:dyDescent="0.3">
      <c r="A30" t="s">
        <v>520</v>
      </c>
      <c r="B30" s="13" t="s">
        <v>199</v>
      </c>
      <c r="C30" s="21" t="s">
        <v>144</v>
      </c>
      <c r="D30" s="13" t="s">
        <v>199</v>
      </c>
      <c r="E30" s="21" t="s">
        <v>198</v>
      </c>
      <c r="F30" t="s">
        <v>97</v>
      </c>
      <c r="G30" t="s">
        <v>100</v>
      </c>
      <c r="J30" s="21" t="s">
        <v>197</v>
      </c>
      <c r="L30" s="21" t="s">
        <v>103</v>
      </c>
      <c r="M30" s="13" t="s">
        <v>200</v>
      </c>
      <c r="N30" t="s">
        <v>112</v>
      </c>
      <c r="O30" t="s">
        <v>118</v>
      </c>
      <c r="P30" t="s">
        <v>159</v>
      </c>
      <c r="Q30" t="s">
        <v>159</v>
      </c>
      <c r="R30" t="s">
        <v>153</v>
      </c>
      <c r="S30" t="s">
        <v>160</v>
      </c>
      <c r="T30" s="21" t="s">
        <v>462</v>
      </c>
      <c r="U30" t="s">
        <v>56</v>
      </c>
      <c r="V30" t="s">
        <v>161</v>
      </c>
      <c r="W30" t="s">
        <v>162</v>
      </c>
      <c r="X30" s="21" t="s">
        <v>463</v>
      </c>
      <c r="Y30" t="s">
        <v>163</v>
      </c>
      <c r="AA30" t="s">
        <v>164</v>
      </c>
      <c r="AB30" s="21" t="s">
        <v>464</v>
      </c>
      <c r="AC30" s="21" t="s">
        <v>363</v>
      </c>
      <c r="AD30" s="21" t="s">
        <v>603</v>
      </c>
      <c r="AE30" s="21" t="s">
        <v>604</v>
      </c>
      <c r="AF30" s="21" t="s">
        <v>605</v>
      </c>
      <c r="AG30" s="21" t="s">
        <v>606</v>
      </c>
      <c r="AH30" s="21" t="s">
        <v>607</v>
      </c>
      <c r="AI30" s="21" t="s">
        <v>608</v>
      </c>
      <c r="AJ30" s="21" t="s">
        <v>609</v>
      </c>
      <c r="AK30" s="21" t="s">
        <v>610</v>
      </c>
      <c r="AL30" s="21" t="s">
        <v>611</v>
      </c>
      <c r="AM30" s="21" t="s">
        <v>612</v>
      </c>
      <c r="AN30" s="21" t="s">
        <v>56</v>
      </c>
      <c r="AO30" s="21" t="s">
        <v>613</v>
      </c>
      <c r="AP30" s="21" t="s">
        <v>614</v>
      </c>
      <c r="AQ30" s="21" t="s">
        <v>615</v>
      </c>
      <c r="AR30" s="21" t="s">
        <v>616</v>
      </c>
      <c r="AS30" s="21" t="s">
        <v>617</v>
      </c>
      <c r="AT30" s="21" t="s">
        <v>618</v>
      </c>
      <c r="AU30" s="21" t="s">
        <v>619</v>
      </c>
      <c r="AV30" s="21" t="s">
        <v>622</v>
      </c>
      <c r="AW30" s="21" t="s">
        <v>620</v>
      </c>
      <c r="AX30" s="21" t="s">
        <v>621</v>
      </c>
      <c r="AY30" s="21" t="s">
        <v>630</v>
      </c>
      <c r="AZ30" s="21" t="s">
        <v>624</v>
      </c>
      <c r="BA30" s="21" t="s">
        <v>625</v>
      </c>
      <c r="BB30" s="21" t="s">
        <v>626</v>
      </c>
      <c r="BC30" s="21" t="s">
        <v>581</v>
      </c>
      <c r="BD30" s="21" t="s">
        <v>583</v>
      </c>
      <c r="BE30" s="21" t="s">
        <v>582</v>
      </c>
      <c r="BF30" s="21" t="s">
        <v>629</v>
      </c>
      <c r="BG30" s="21" t="s">
        <v>627</v>
      </c>
      <c r="BH30" s="21" t="s">
        <v>628</v>
      </c>
      <c r="BI30" t="s">
        <v>165</v>
      </c>
      <c r="BJ30" t="s">
        <v>166</v>
      </c>
      <c r="BK30" s="13" t="s">
        <v>174</v>
      </c>
    </row>
    <row r="31" spans="1:63" x14ac:dyDescent="0.3">
      <c r="A31" t="s">
        <v>521</v>
      </c>
      <c r="B31" s="13" t="s">
        <v>199</v>
      </c>
      <c r="C31" s="21" t="s">
        <v>144</v>
      </c>
      <c r="D31" s="13" t="s">
        <v>199</v>
      </c>
      <c r="E31" s="21" t="s">
        <v>198</v>
      </c>
      <c r="F31" t="s">
        <v>97</v>
      </c>
      <c r="G31" t="s">
        <v>100</v>
      </c>
      <c r="J31" s="21" t="s">
        <v>197</v>
      </c>
      <c r="L31" s="21" t="s">
        <v>103</v>
      </c>
      <c r="M31" s="13" t="s">
        <v>200</v>
      </c>
      <c r="N31" t="s">
        <v>112</v>
      </c>
      <c r="O31" t="s">
        <v>118</v>
      </c>
      <c r="P31" t="s">
        <v>159</v>
      </c>
      <c r="Q31" t="s">
        <v>159</v>
      </c>
      <c r="R31" t="s">
        <v>153</v>
      </c>
      <c r="S31" t="s">
        <v>160</v>
      </c>
      <c r="T31" s="21" t="s">
        <v>462</v>
      </c>
      <c r="U31" t="s">
        <v>56</v>
      </c>
      <c r="V31" t="s">
        <v>161</v>
      </c>
      <c r="W31" t="s">
        <v>162</v>
      </c>
      <c r="X31" s="21" t="s">
        <v>463</v>
      </c>
      <c r="Y31" t="s">
        <v>163</v>
      </c>
      <c r="AA31" t="s">
        <v>164</v>
      </c>
      <c r="AB31" s="21" t="s">
        <v>464</v>
      </c>
      <c r="AC31" s="21" t="s">
        <v>363</v>
      </c>
      <c r="AD31" s="21" t="s">
        <v>603</v>
      </c>
      <c r="AE31" s="21" t="s">
        <v>604</v>
      </c>
      <c r="AF31" s="21" t="s">
        <v>605</v>
      </c>
      <c r="AG31" s="21" t="s">
        <v>606</v>
      </c>
      <c r="AH31" s="21" t="s">
        <v>607</v>
      </c>
      <c r="AI31" s="21" t="s">
        <v>608</v>
      </c>
      <c r="AJ31" s="21" t="s">
        <v>609</v>
      </c>
      <c r="AK31" s="21" t="s">
        <v>610</v>
      </c>
      <c r="AL31" s="21" t="s">
        <v>611</v>
      </c>
      <c r="AM31" s="21" t="s">
        <v>612</v>
      </c>
      <c r="AN31" s="21" t="s">
        <v>56</v>
      </c>
      <c r="AO31" s="21" t="s">
        <v>613</v>
      </c>
      <c r="AP31" s="21" t="s">
        <v>614</v>
      </c>
      <c r="AQ31" s="21" t="s">
        <v>615</v>
      </c>
      <c r="AR31" s="21" t="s">
        <v>616</v>
      </c>
      <c r="AS31" s="21" t="s">
        <v>617</v>
      </c>
      <c r="AT31" s="21" t="s">
        <v>618</v>
      </c>
      <c r="AU31" s="21" t="s">
        <v>619</v>
      </c>
      <c r="AV31" s="21" t="s">
        <v>622</v>
      </c>
      <c r="AW31" s="21" t="s">
        <v>620</v>
      </c>
      <c r="AX31" s="21" t="s">
        <v>621</v>
      </c>
      <c r="AY31" s="21" t="s">
        <v>630</v>
      </c>
      <c r="AZ31" s="21" t="s">
        <v>624</v>
      </c>
      <c r="BA31" s="21" t="s">
        <v>625</v>
      </c>
      <c r="BB31" s="21" t="s">
        <v>626</v>
      </c>
      <c r="BC31" s="21" t="s">
        <v>581</v>
      </c>
      <c r="BD31" s="21" t="s">
        <v>583</v>
      </c>
      <c r="BE31" s="21" t="s">
        <v>582</v>
      </c>
      <c r="BF31" s="21" t="s">
        <v>629</v>
      </c>
      <c r="BG31" s="21" t="s">
        <v>627</v>
      </c>
      <c r="BH31" s="21" t="s">
        <v>628</v>
      </c>
      <c r="BI31" t="s">
        <v>165</v>
      </c>
      <c r="BJ31" t="s">
        <v>166</v>
      </c>
      <c r="BK31" s="13" t="s">
        <v>174</v>
      </c>
    </row>
    <row r="32" spans="1:63" x14ac:dyDescent="0.3">
      <c r="A32" t="s">
        <v>522</v>
      </c>
      <c r="B32" s="13" t="s">
        <v>199</v>
      </c>
      <c r="C32" s="21" t="s">
        <v>144</v>
      </c>
      <c r="D32" s="13" t="s">
        <v>199</v>
      </c>
      <c r="E32" s="21" t="s">
        <v>198</v>
      </c>
      <c r="F32" t="s">
        <v>97</v>
      </c>
      <c r="G32" t="s">
        <v>100</v>
      </c>
      <c r="J32" s="21" t="s">
        <v>197</v>
      </c>
      <c r="L32" s="21" t="s">
        <v>103</v>
      </c>
      <c r="M32" s="13" t="s">
        <v>200</v>
      </c>
      <c r="N32" t="s">
        <v>112</v>
      </c>
      <c r="O32" t="s">
        <v>118</v>
      </c>
      <c r="P32" t="s">
        <v>159</v>
      </c>
      <c r="Q32" t="s">
        <v>159</v>
      </c>
      <c r="R32" t="s">
        <v>153</v>
      </c>
      <c r="S32" t="s">
        <v>160</v>
      </c>
      <c r="T32" s="21" t="s">
        <v>462</v>
      </c>
      <c r="U32" t="s">
        <v>56</v>
      </c>
      <c r="V32" t="s">
        <v>161</v>
      </c>
      <c r="W32" t="s">
        <v>162</v>
      </c>
      <c r="X32" s="21" t="s">
        <v>463</v>
      </c>
      <c r="Y32" t="s">
        <v>163</v>
      </c>
      <c r="AA32" t="s">
        <v>164</v>
      </c>
      <c r="AB32" s="21" t="s">
        <v>464</v>
      </c>
      <c r="AC32" s="21" t="s">
        <v>363</v>
      </c>
      <c r="AD32" s="21" t="s">
        <v>603</v>
      </c>
      <c r="AE32" s="21" t="s">
        <v>604</v>
      </c>
      <c r="AF32" s="21" t="s">
        <v>605</v>
      </c>
      <c r="AG32" s="21" t="s">
        <v>606</v>
      </c>
      <c r="AH32" s="21" t="s">
        <v>607</v>
      </c>
      <c r="AI32" s="21" t="s">
        <v>608</v>
      </c>
      <c r="AJ32" s="21" t="s">
        <v>609</v>
      </c>
      <c r="AK32" s="21" t="s">
        <v>610</v>
      </c>
      <c r="AL32" s="21" t="s">
        <v>611</v>
      </c>
      <c r="AM32" s="21" t="s">
        <v>612</v>
      </c>
      <c r="AN32" s="21" t="s">
        <v>56</v>
      </c>
      <c r="AO32" s="21" t="s">
        <v>613</v>
      </c>
      <c r="AP32" s="21" t="s">
        <v>614</v>
      </c>
      <c r="AQ32" s="21" t="s">
        <v>615</v>
      </c>
      <c r="AR32" s="21" t="s">
        <v>616</v>
      </c>
      <c r="AS32" s="21" t="s">
        <v>617</v>
      </c>
      <c r="AT32" s="21" t="s">
        <v>618</v>
      </c>
      <c r="AU32" s="21" t="s">
        <v>619</v>
      </c>
      <c r="AV32" s="21" t="s">
        <v>622</v>
      </c>
      <c r="AW32" s="21" t="s">
        <v>620</v>
      </c>
      <c r="AX32" s="21" t="s">
        <v>621</v>
      </c>
      <c r="AY32" s="21" t="s">
        <v>630</v>
      </c>
      <c r="AZ32" s="21" t="s">
        <v>624</v>
      </c>
      <c r="BA32" s="21" t="s">
        <v>625</v>
      </c>
      <c r="BB32" s="21" t="s">
        <v>626</v>
      </c>
      <c r="BC32" s="21" t="s">
        <v>581</v>
      </c>
      <c r="BD32" s="21" t="s">
        <v>583</v>
      </c>
      <c r="BE32" s="21" t="s">
        <v>582</v>
      </c>
      <c r="BF32" s="21" t="s">
        <v>629</v>
      </c>
      <c r="BG32" s="21" t="s">
        <v>627</v>
      </c>
      <c r="BH32" s="21" t="s">
        <v>628</v>
      </c>
      <c r="BI32" t="s">
        <v>165</v>
      </c>
      <c r="BJ32" t="s">
        <v>166</v>
      </c>
      <c r="BK32" s="13" t="s">
        <v>174</v>
      </c>
    </row>
    <row r="33" spans="1:63" x14ac:dyDescent="0.3">
      <c r="A33" t="s">
        <v>523</v>
      </c>
      <c r="B33" s="13" t="s">
        <v>199</v>
      </c>
      <c r="C33" s="21" t="s">
        <v>144</v>
      </c>
      <c r="D33" s="13" t="s">
        <v>199</v>
      </c>
      <c r="E33" s="21" t="s">
        <v>198</v>
      </c>
      <c r="F33" t="s">
        <v>97</v>
      </c>
      <c r="G33" t="s">
        <v>100</v>
      </c>
      <c r="J33" s="21" t="s">
        <v>197</v>
      </c>
      <c r="L33" s="21" t="s">
        <v>103</v>
      </c>
      <c r="M33" s="13" t="s">
        <v>200</v>
      </c>
      <c r="N33" t="s">
        <v>112</v>
      </c>
      <c r="O33" t="s">
        <v>118</v>
      </c>
      <c r="P33" t="s">
        <v>159</v>
      </c>
      <c r="Q33" t="s">
        <v>159</v>
      </c>
      <c r="R33" t="s">
        <v>153</v>
      </c>
      <c r="S33" t="s">
        <v>160</v>
      </c>
      <c r="T33" s="21" t="s">
        <v>462</v>
      </c>
      <c r="U33" t="s">
        <v>56</v>
      </c>
      <c r="V33" t="s">
        <v>161</v>
      </c>
      <c r="W33" t="s">
        <v>162</v>
      </c>
      <c r="X33" s="21" t="s">
        <v>463</v>
      </c>
      <c r="Y33" t="s">
        <v>163</v>
      </c>
      <c r="AA33" t="s">
        <v>164</v>
      </c>
      <c r="AB33" s="21" t="s">
        <v>464</v>
      </c>
      <c r="AC33" s="21" t="s">
        <v>363</v>
      </c>
      <c r="AD33" s="21" t="s">
        <v>603</v>
      </c>
      <c r="AE33" s="21" t="s">
        <v>604</v>
      </c>
      <c r="AF33" s="21" t="s">
        <v>605</v>
      </c>
      <c r="AG33" s="21" t="s">
        <v>606</v>
      </c>
      <c r="AH33" s="21" t="s">
        <v>607</v>
      </c>
      <c r="AI33" s="21" t="s">
        <v>608</v>
      </c>
      <c r="AJ33" s="21" t="s">
        <v>609</v>
      </c>
      <c r="AK33" s="21" t="s">
        <v>610</v>
      </c>
      <c r="AL33" s="21" t="s">
        <v>611</v>
      </c>
      <c r="AM33" s="21" t="s">
        <v>612</v>
      </c>
      <c r="AN33" s="21" t="s">
        <v>56</v>
      </c>
      <c r="AO33" s="21" t="s">
        <v>613</v>
      </c>
      <c r="AP33" s="21" t="s">
        <v>614</v>
      </c>
      <c r="AQ33" s="21" t="s">
        <v>615</v>
      </c>
      <c r="AR33" s="21" t="s">
        <v>616</v>
      </c>
      <c r="AS33" s="21" t="s">
        <v>617</v>
      </c>
      <c r="AT33" s="21" t="s">
        <v>618</v>
      </c>
      <c r="AU33" s="21" t="s">
        <v>619</v>
      </c>
      <c r="AV33" s="21" t="s">
        <v>622</v>
      </c>
      <c r="AW33" s="21" t="s">
        <v>620</v>
      </c>
      <c r="AX33" s="21" t="s">
        <v>621</v>
      </c>
      <c r="AY33" s="21" t="s">
        <v>630</v>
      </c>
      <c r="AZ33" s="21" t="s">
        <v>624</v>
      </c>
      <c r="BA33" s="21" t="s">
        <v>625</v>
      </c>
      <c r="BB33" s="21" t="s">
        <v>626</v>
      </c>
      <c r="BC33" s="21" t="s">
        <v>581</v>
      </c>
      <c r="BD33" s="21" t="s">
        <v>583</v>
      </c>
      <c r="BE33" s="21" t="s">
        <v>582</v>
      </c>
      <c r="BF33" s="21" t="s">
        <v>629</v>
      </c>
      <c r="BG33" s="21" t="s">
        <v>627</v>
      </c>
      <c r="BH33" s="21" t="s">
        <v>628</v>
      </c>
      <c r="BI33" t="s">
        <v>165</v>
      </c>
      <c r="BJ33" t="s">
        <v>166</v>
      </c>
      <c r="BK33" s="13" t="s">
        <v>174</v>
      </c>
    </row>
    <row r="36" spans="1:63" x14ac:dyDescent="0.3">
      <c r="A36" t="s">
        <v>73</v>
      </c>
    </row>
    <row r="37" spans="1:63" x14ac:dyDescent="0.3">
      <c r="B37" s="21" t="s">
        <v>15</v>
      </c>
      <c r="C37" s="21" t="s">
        <v>14</v>
      </c>
      <c r="D37" t="s">
        <v>16</v>
      </c>
      <c r="E37" t="s">
        <v>557</v>
      </c>
      <c r="F37" t="s">
        <v>19</v>
      </c>
      <c r="G37" t="s">
        <v>20</v>
      </c>
      <c r="H37" t="s">
        <v>22</v>
      </c>
      <c r="I37" t="s">
        <v>24</v>
      </c>
      <c r="J37" t="s">
        <v>53</v>
      </c>
      <c r="K37" t="s">
        <v>27</v>
      </c>
      <c r="L37" t="s">
        <v>28</v>
      </c>
      <c r="M37" s="12" t="s">
        <v>123</v>
      </c>
      <c r="N37" t="s">
        <v>108</v>
      </c>
      <c r="O37" t="s">
        <v>117</v>
      </c>
      <c r="P37" t="s">
        <v>150</v>
      </c>
      <c r="Q37" t="s">
        <v>151</v>
      </c>
      <c r="R37" t="s">
        <v>152</v>
      </c>
      <c r="S37" t="s">
        <v>67</v>
      </c>
      <c r="T37" t="s">
        <v>68</v>
      </c>
      <c r="U37" t="s">
        <v>56</v>
      </c>
      <c r="V37" t="s">
        <v>57</v>
      </c>
      <c r="W37" t="s">
        <v>58</v>
      </c>
      <c r="X37" t="s">
        <v>59</v>
      </c>
      <c r="Y37" t="s">
        <v>60</v>
      </c>
      <c r="Z37" t="s">
        <v>62</v>
      </c>
      <c r="AA37" t="s">
        <v>61</v>
      </c>
      <c r="AB37" t="s">
        <v>63</v>
      </c>
      <c r="AC37" s="21" t="s">
        <v>659</v>
      </c>
      <c r="AD37" s="21" t="s">
        <v>603</v>
      </c>
      <c r="AE37" s="21" t="s">
        <v>604</v>
      </c>
      <c r="AF37" s="21" t="s">
        <v>605</v>
      </c>
      <c r="AG37" s="21" t="s">
        <v>606</v>
      </c>
      <c r="AH37" s="21" t="s">
        <v>607</v>
      </c>
      <c r="AI37" s="21" t="s">
        <v>608</v>
      </c>
      <c r="AJ37" s="21" t="s">
        <v>609</v>
      </c>
      <c r="AK37" s="21" t="s">
        <v>610</v>
      </c>
      <c r="AL37" s="21" t="s">
        <v>611</v>
      </c>
      <c r="AM37" s="21" t="s">
        <v>612</v>
      </c>
      <c r="AN37" s="21" t="s">
        <v>56</v>
      </c>
      <c r="AO37" s="21" t="s">
        <v>613</v>
      </c>
      <c r="AP37" s="21" t="s">
        <v>614</v>
      </c>
      <c r="AQ37" s="21" t="s">
        <v>615</v>
      </c>
      <c r="AR37" s="21" t="s">
        <v>616</v>
      </c>
      <c r="AS37" s="21" t="s">
        <v>617</v>
      </c>
      <c r="AT37" s="21" t="s">
        <v>618</v>
      </c>
      <c r="AU37" s="21" t="s">
        <v>619</v>
      </c>
      <c r="AV37" s="21" t="s">
        <v>622</v>
      </c>
      <c r="AW37" s="21" t="s">
        <v>620</v>
      </c>
      <c r="AX37" s="21" t="s">
        <v>621</v>
      </c>
      <c r="AY37" s="21" t="s">
        <v>623</v>
      </c>
      <c r="AZ37" s="21" t="s">
        <v>624</v>
      </c>
      <c r="BA37" s="21" t="s">
        <v>625</v>
      </c>
      <c r="BB37" s="21" t="s">
        <v>626</v>
      </c>
      <c r="BC37" s="21" t="s">
        <v>581</v>
      </c>
      <c r="BD37" s="21" t="s">
        <v>583</v>
      </c>
      <c r="BE37" s="21" t="s">
        <v>582</v>
      </c>
      <c r="BF37" s="21" t="s">
        <v>629</v>
      </c>
      <c r="BG37" s="21" t="s">
        <v>627</v>
      </c>
      <c r="BH37" s="21" t="s">
        <v>628</v>
      </c>
      <c r="BI37" t="s">
        <v>29</v>
      </c>
      <c r="BJ37" t="s">
        <v>30</v>
      </c>
      <c r="BK37" t="s">
        <v>31</v>
      </c>
    </row>
    <row r="38" spans="1:63" x14ac:dyDescent="0.3">
      <c r="A38" t="s">
        <v>688</v>
      </c>
      <c r="B38" t="s">
        <v>94</v>
      </c>
      <c r="C38" s="21" t="s">
        <v>98</v>
      </c>
      <c r="D38" t="s">
        <v>94</v>
      </c>
      <c r="E38" t="s">
        <v>98</v>
      </c>
      <c r="F38" t="s">
        <v>98</v>
      </c>
      <c r="G38" t="s">
        <v>98</v>
      </c>
      <c r="J38" t="s">
        <v>98</v>
      </c>
      <c r="K38" t="s">
        <v>37</v>
      </c>
      <c r="L38" t="s">
        <v>37</v>
      </c>
      <c r="M38" t="s">
        <v>37</v>
      </c>
      <c r="N38" t="s">
        <v>37</v>
      </c>
      <c r="O38" t="s">
        <v>37</v>
      </c>
      <c r="P38" s="21" t="s">
        <v>37</v>
      </c>
      <c r="Q38" t="s">
        <v>37</v>
      </c>
      <c r="R38" t="s">
        <v>98</v>
      </c>
      <c r="BI38" t="s">
        <v>94</v>
      </c>
      <c r="BJ38" t="s">
        <v>94</v>
      </c>
      <c r="BK38" t="s">
        <v>94</v>
      </c>
    </row>
    <row r="39" spans="1:63" x14ac:dyDescent="0.3">
      <c r="A39" t="s">
        <v>33</v>
      </c>
      <c r="B39" t="s">
        <v>94</v>
      </c>
      <c r="C39" s="21" t="s">
        <v>98</v>
      </c>
      <c r="D39" t="s">
        <v>94</v>
      </c>
      <c r="F39" t="s">
        <v>98</v>
      </c>
      <c r="G39" t="s">
        <v>98</v>
      </c>
      <c r="J39" t="s">
        <v>98</v>
      </c>
      <c r="K39" t="s">
        <v>37</v>
      </c>
      <c r="L39" t="s">
        <v>37</v>
      </c>
      <c r="M39" t="s">
        <v>37</v>
      </c>
      <c r="N39" t="s">
        <v>37</v>
      </c>
      <c r="O39" t="s">
        <v>37</v>
      </c>
      <c r="P39" s="21" t="s">
        <v>37</v>
      </c>
      <c r="R39" t="s">
        <v>98</v>
      </c>
      <c r="BI39" t="s">
        <v>94</v>
      </c>
      <c r="BJ39" t="s">
        <v>94</v>
      </c>
      <c r="BK39" t="s">
        <v>94</v>
      </c>
    </row>
    <row r="40" spans="1:63" x14ac:dyDescent="0.3">
      <c r="A40" t="s">
        <v>517</v>
      </c>
      <c r="B40" t="s">
        <v>94</v>
      </c>
      <c r="C40" s="21" t="s">
        <v>98</v>
      </c>
      <c r="D40" t="s">
        <v>94</v>
      </c>
      <c r="E40" s="21" t="s">
        <v>98</v>
      </c>
      <c r="F40" t="s">
        <v>98</v>
      </c>
      <c r="G40" t="s">
        <v>98</v>
      </c>
      <c r="J40" t="s">
        <v>98</v>
      </c>
      <c r="K40" t="s">
        <v>37</v>
      </c>
      <c r="L40" t="s">
        <v>37</v>
      </c>
      <c r="M40" t="s">
        <v>37</v>
      </c>
      <c r="N40" t="s">
        <v>37</v>
      </c>
      <c r="O40" t="s">
        <v>37</v>
      </c>
      <c r="P40" t="s">
        <v>37</v>
      </c>
      <c r="Q40" t="s">
        <v>37</v>
      </c>
      <c r="R40" t="s">
        <v>98</v>
      </c>
      <c r="BI40" t="s">
        <v>94</v>
      </c>
      <c r="BJ40" t="s">
        <v>94</v>
      </c>
      <c r="BK40" t="s">
        <v>94</v>
      </c>
    </row>
    <row r="41" spans="1:63" x14ac:dyDescent="0.3">
      <c r="A41" t="s">
        <v>518</v>
      </c>
      <c r="B41" t="s">
        <v>94</v>
      </c>
      <c r="C41" s="21" t="s">
        <v>98</v>
      </c>
      <c r="D41" t="s">
        <v>94</v>
      </c>
      <c r="E41" s="21" t="s">
        <v>98</v>
      </c>
      <c r="F41" t="s">
        <v>98</v>
      </c>
      <c r="G41" t="s">
        <v>98</v>
      </c>
      <c r="J41" t="s">
        <v>98</v>
      </c>
      <c r="K41" t="s">
        <v>37</v>
      </c>
      <c r="L41" t="s">
        <v>37</v>
      </c>
      <c r="M41" t="s">
        <v>37</v>
      </c>
      <c r="N41" t="s">
        <v>37</v>
      </c>
      <c r="O41" t="s">
        <v>37</v>
      </c>
      <c r="P41" t="s">
        <v>37</v>
      </c>
      <c r="Q41" t="s">
        <v>37</v>
      </c>
      <c r="R41" t="s">
        <v>98</v>
      </c>
      <c r="BI41" t="s">
        <v>94</v>
      </c>
      <c r="BJ41" t="s">
        <v>94</v>
      </c>
      <c r="BK41" t="s">
        <v>94</v>
      </c>
    </row>
    <row r="42" spans="1:63" x14ac:dyDescent="0.3">
      <c r="A42" t="s">
        <v>524</v>
      </c>
      <c r="B42" t="s">
        <v>94</v>
      </c>
      <c r="C42" s="21" t="s">
        <v>98</v>
      </c>
      <c r="D42" t="s">
        <v>94</v>
      </c>
      <c r="E42" s="21" t="s">
        <v>98</v>
      </c>
      <c r="F42" t="s">
        <v>98</v>
      </c>
      <c r="G42" t="s">
        <v>98</v>
      </c>
      <c r="J42" t="s">
        <v>98</v>
      </c>
      <c r="K42" t="s">
        <v>37</v>
      </c>
      <c r="L42" t="s">
        <v>37</v>
      </c>
      <c r="M42" t="s">
        <v>37</v>
      </c>
      <c r="N42" t="s">
        <v>37</v>
      </c>
      <c r="O42" t="s">
        <v>37</v>
      </c>
      <c r="P42" t="s">
        <v>37</v>
      </c>
      <c r="Q42" t="s">
        <v>37</v>
      </c>
      <c r="R42" t="s">
        <v>98</v>
      </c>
      <c r="BI42" t="s">
        <v>94</v>
      </c>
      <c r="BJ42" t="s">
        <v>94</v>
      </c>
      <c r="BK42" t="s">
        <v>94</v>
      </c>
    </row>
    <row r="43" spans="1:63" x14ac:dyDescent="0.3">
      <c r="A43" t="s">
        <v>519</v>
      </c>
      <c r="B43" t="s">
        <v>94</v>
      </c>
      <c r="C43" s="21" t="s">
        <v>98</v>
      </c>
      <c r="D43" s="21" t="s">
        <v>94</v>
      </c>
      <c r="E43" s="21" t="s">
        <v>94</v>
      </c>
      <c r="F43" t="s">
        <v>98</v>
      </c>
      <c r="G43" t="s">
        <v>98</v>
      </c>
      <c r="L43" t="s">
        <v>37</v>
      </c>
      <c r="M43" t="s">
        <v>37</v>
      </c>
      <c r="N43" t="s">
        <v>37</v>
      </c>
      <c r="O43" t="s">
        <v>37</v>
      </c>
      <c r="P43" t="s">
        <v>37</v>
      </c>
      <c r="Q43" s="21" t="s">
        <v>37</v>
      </c>
      <c r="R43" t="s">
        <v>98</v>
      </c>
      <c r="BI43" t="s">
        <v>94</v>
      </c>
      <c r="BJ43" t="s">
        <v>94</v>
      </c>
      <c r="BK43" t="s">
        <v>94</v>
      </c>
    </row>
    <row r="44" spans="1:63" x14ac:dyDescent="0.3">
      <c r="A44" t="s">
        <v>645</v>
      </c>
      <c r="B44" t="s">
        <v>94</v>
      </c>
      <c r="C44" s="21" t="s">
        <v>98</v>
      </c>
      <c r="D44" t="s">
        <v>94</v>
      </c>
      <c r="I44" t="s">
        <v>94</v>
      </c>
      <c r="K44" t="s">
        <v>37</v>
      </c>
      <c r="M44" t="s">
        <v>37</v>
      </c>
      <c r="N44" t="s">
        <v>37</v>
      </c>
      <c r="O44" t="s">
        <v>37</v>
      </c>
      <c r="R44" t="s">
        <v>98</v>
      </c>
      <c r="BI44" t="s">
        <v>94</v>
      </c>
      <c r="BJ44" t="s">
        <v>94</v>
      </c>
      <c r="BK44" t="s">
        <v>94</v>
      </c>
    </row>
    <row r="45" spans="1:63" x14ac:dyDescent="0.3">
      <c r="A45" t="s">
        <v>646</v>
      </c>
      <c r="B45" t="s">
        <v>94</v>
      </c>
      <c r="C45" s="21" t="s">
        <v>98</v>
      </c>
      <c r="D45" t="s">
        <v>94</v>
      </c>
      <c r="I45" t="s">
        <v>94</v>
      </c>
      <c r="K45" t="s">
        <v>37</v>
      </c>
      <c r="M45" t="s">
        <v>37</v>
      </c>
      <c r="N45" t="s">
        <v>37</v>
      </c>
      <c r="O45" t="s">
        <v>37</v>
      </c>
      <c r="R45" t="s">
        <v>98</v>
      </c>
      <c r="BI45" t="s">
        <v>94</v>
      </c>
      <c r="BJ45" t="s">
        <v>94</v>
      </c>
      <c r="BK45" t="s">
        <v>94</v>
      </c>
    </row>
    <row r="46" spans="1:63" x14ac:dyDescent="0.3">
      <c r="A46" t="s">
        <v>647</v>
      </c>
      <c r="B46" t="s">
        <v>94</v>
      </c>
      <c r="C46" s="21" t="s">
        <v>98</v>
      </c>
      <c r="D46" t="s">
        <v>94</v>
      </c>
      <c r="I46" t="s">
        <v>94</v>
      </c>
      <c r="K46" t="s">
        <v>37</v>
      </c>
      <c r="M46" t="s">
        <v>37</v>
      </c>
      <c r="N46" t="s">
        <v>37</v>
      </c>
      <c r="O46" t="s">
        <v>37</v>
      </c>
      <c r="R46" t="s">
        <v>98</v>
      </c>
      <c r="BI46" t="s">
        <v>94</v>
      </c>
      <c r="BJ46" t="s">
        <v>94</v>
      </c>
      <c r="BK46" t="s">
        <v>94</v>
      </c>
    </row>
    <row r="47" spans="1:63" s="21" customFormat="1" x14ac:dyDescent="0.3">
      <c r="A47" s="21" t="s">
        <v>675</v>
      </c>
      <c r="B47" s="21" t="s">
        <v>94</v>
      </c>
      <c r="C47" s="21" t="s">
        <v>98</v>
      </c>
      <c r="D47" s="21" t="s">
        <v>94</v>
      </c>
      <c r="I47" s="21" t="s">
        <v>94</v>
      </c>
      <c r="K47" s="21" t="s">
        <v>37</v>
      </c>
      <c r="M47" s="21" t="s">
        <v>37</v>
      </c>
      <c r="N47" s="21" t="s">
        <v>37</v>
      </c>
      <c r="O47" s="21" t="s">
        <v>37</v>
      </c>
      <c r="R47" s="21" t="s">
        <v>98</v>
      </c>
      <c r="BI47" s="21" t="s">
        <v>94</v>
      </c>
      <c r="BJ47" s="21" t="s">
        <v>94</v>
      </c>
      <c r="BK47" s="21" t="s">
        <v>94</v>
      </c>
    </row>
    <row r="48" spans="1:63" s="21" customFormat="1" x14ac:dyDescent="0.3">
      <c r="A48" s="21" t="s">
        <v>676</v>
      </c>
      <c r="B48" s="21" t="s">
        <v>94</v>
      </c>
      <c r="C48" s="21" t="s">
        <v>98</v>
      </c>
      <c r="D48" s="21" t="s">
        <v>94</v>
      </c>
      <c r="I48" s="21" t="s">
        <v>94</v>
      </c>
      <c r="K48" s="21" t="s">
        <v>37</v>
      </c>
      <c r="M48" s="21" t="s">
        <v>37</v>
      </c>
      <c r="N48" s="21" t="s">
        <v>37</v>
      </c>
      <c r="O48" s="21" t="s">
        <v>37</v>
      </c>
      <c r="R48" s="21" t="s">
        <v>98</v>
      </c>
      <c r="BI48" s="21" t="s">
        <v>94</v>
      </c>
      <c r="BJ48" s="21" t="s">
        <v>94</v>
      </c>
      <c r="BK48" s="21" t="s">
        <v>94</v>
      </c>
    </row>
    <row r="49" spans="1:63" s="21" customFormat="1" x14ac:dyDescent="0.3">
      <c r="A49" s="21" t="s">
        <v>677</v>
      </c>
      <c r="B49" s="21" t="s">
        <v>94</v>
      </c>
      <c r="C49" s="21" t="s">
        <v>98</v>
      </c>
      <c r="D49" s="21" t="s">
        <v>94</v>
      </c>
      <c r="I49" s="21" t="s">
        <v>94</v>
      </c>
      <c r="K49" s="21" t="s">
        <v>37</v>
      </c>
      <c r="M49" s="21" t="s">
        <v>37</v>
      </c>
      <c r="N49" s="21" t="s">
        <v>37</v>
      </c>
      <c r="O49" s="21" t="s">
        <v>37</v>
      </c>
      <c r="R49" s="21" t="s">
        <v>98</v>
      </c>
      <c r="BI49" s="21" t="s">
        <v>94</v>
      </c>
      <c r="BJ49" s="21" t="s">
        <v>94</v>
      </c>
      <c r="BK49" s="21" t="s">
        <v>94</v>
      </c>
    </row>
    <row r="50" spans="1:63" x14ac:dyDescent="0.3">
      <c r="A50" t="s">
        <v>636</v>
      </c>
      <c r="B50" t="s">
        <v>94</v>
      </c>
      <c r="C50" s="21" t="s">
        <v>98</v>
      </c>
      <c r="D50" t="s">
        <v>94</v>
      </c>
      <c r="I50" t="s">
        <v>94</v>
      </c>
      <c r="K50" t="s">
        <v>37</v>
      </c>
      <c r="M50" t="s">
        <v>37</v>
      </c>
      <c r="N50" t="s">
        <v>37</v>
      </c>
      <c r="O50" t="s">
        <v>37</v>
      </c>
      <c r="R50" t="s">
        <v>98</v>
      </c>
      <c r="BI50" t="s">
        <v>94</v>
      </c>
      <c r="BJ50" t="s">
        <v>94</v>
      </c>
      <c r="BK50" t="s">
        <v>94</v>
      </c>
    </row>
    <row r="51" spans="1:63" x14ac:dyDescent="0.3">
      <c r="A51" t="s">
        <v>637</v>
      </c>
      <c r="B51" t="s">
        <v>94</v>
      </c>
      <c r="C51" s="21" t="s">
        <v>98</v>
      </c>
      <c r="D51" t="s">
        <v>94</v>
      </c>
      <c r="I51" t="s">
        <v>94</v>
      </c>
      <c r="K51" t="s">
        <v>37</v>
      </c>
      <c r="M51" t="s">
        <v>37</v>
      </c>
      <c r="N51" t="s">
        <v>37</v>
      </c>
      <c r="O51" t="s">
        <v>37</v>
      </c>
      <c r="R51" t="s">
        <v>98</v>
      </c>
      <c r="BI51" t="s">
        <v>94</v>
      </c>
      <c r="BJ51" t="s">
        <v>94</v>
      </c>
      <c r="BK51" t="s">
        <v>94</v>
      </c>
    </row>
    <row r="52" spans="1:63" x14ac:dyDescent="0.3">
      <c r="A52" t="s">
        <v>638</v>
      </c>
      <c r="B52" t="s">
        <v>94</v>
      </c>
      <c r="C52" s="21" t="s">
        <v>98</v>
      </c>
      <c r="D52" t="s">
        <v>94</v>
      </c>
      <c r="I52" t="s">
        <v>94</v>
      </c>
      <c r="K52" t="s">
        <v>37</v>
      </c>
      <c r="M52" t="s">
        <v>37</v>
      </c>
      <c r="N52" t="s">
        <v>37</v>
      </c>
      <c r="O52" t="s">
        <v>37</v>
      </c>
      <c r="R52" t="s">
        <v>98</v>
      </c>
      <c r="BI52" t="s">
        <v>94</v>
      </c>
      <c r="BJ52" t="s">
        <v>94</v>
      </c>
      <c r="BK52" t="s">
        <v>94</v>
      </c>
    </row>
    <row r="53" spans="1:63" s="21" customFormat="1" x14ac:dyDescent="0.3">
      <c r="A53" s="21" t="s">
        <v>674</v>
      </c>
      <c r="B53" s="21" t="s">
        <v>98</v>
      </c>
      <c r="C53" s="21" t="s">
        <v>98</v>
      </c>
      <c r="D53" s="21" t="s">
        <v>98</v>
      </c>
      <c r="E53" s="21" t="s">
        <v>98</v>
      </c>
      <c r="F53" s="21" t="s">
        <v>98</v>
      </c>
      <c r="G53" s="21" t="s">
        <v>98</v>
      </c>
      <c r="J53" s="21" t="s">
        <v>98</v>
      </c>
      <c r="L53" s="21" t="s">
        <v>37</v>
      </c>
      <c r="M53" s="21" t="s">
        <v>98</v>
      </c>
      <c r="N53" s="21" t="s">
        <v>37</v>
      </c>
      <c r="O53" s="21" t="s">
        <v>37</v>
      </c>
      <c r="P53" s="21" t="s">
        <v>98</v>
      </c>
      <c r="Q53" s="21" t="s">
        <v>98</v>
      </c>
      <c r="R53" s="21" t="s">
        <v>98</v>
      </c>
      <c r="BI53" s="21" t="s">
        <v>94</v>
      </c>
      <c r="BJ53" s="21" t="s">
        <v>94</v>
      </c>
      <c r="BK53" s="21" t="s">
        <v>94</v>
      </c>
    </row>
    <row r="54" spans="1:63" x14ac:dyDescent="0.3">
      <c r="A54" t="s">
        <v>631</v>
      </c>
      <c r="B54" t="s">
        <v>98</v>
      </c>
      <c r="C54" s="21" t="s">
        <v>98</v>
      </c>
      <c r="D54" t="s">
        <v>98</v>
      </c>
      <c r="E54" t="s">
        <v>98</v>
      </c>
      <c r="F54" t="s">
        <v>98</v>
      </c>
      <c r="G54" t="s">
        <v>98</v>
      </c>
      <c r="J54" t="s">
        <v>98</v>
      </c>
      <c r="L54" t="s">
        <v>37</v>
      </c>
      <c r="M54" t="s">
        <v>98</v>
      </c>
      <c r="N54" t="s">
        <v>37</v>
      </c>
      <c r="O54" t="s">
        <v>37</v>
      </c>
      <c r="P54" t="s">
        <v>98</v>
      </c>
      <c r="Q54" t="s">
        <v>98</v>
      </c>
      <c r="R54" t="s">
        <v>98</v>
      </c>
      <c r="BI54" t="s">
        <v>94</v>
      </c>
      <c r="BJ54" t="s">
        <v>94</v>
      </c>
      <c r="BK54" t="s">
        <v>94</v>
      </c>
    </row>
    <row r="55" spans="1:63" x14ac:dyDescent="0.3">
      <c r="A55" t="s">
        <v>712</v>
      </c>
      <c r="B55" t="s">
        <v>94</v>
      </c>
      <c r="C55" s="21" t="s">
        <v>98</v>
      </c>
      <c r="D55" t="s">
        <v>94</v>
      </c>
      <c r="I55" t="s">
        <v>94</v>
      </c>
      <c r="K55" t="s">
        <v>37</v>
      </c>
      <c r="M55" t="s">
        <v>37</v>
      </c>
      <c r="N55" t="s">
        <v>37</v>
      </c>
      <c r="O55" t="s">
        <v>37</v>
      </c>
      <c r="R55" t="s">
        <v>98</v>
      </c>
      <c r="BI55" t="s">
        <v>94</v>
      </c>
      <c r="BJ55" t="s">
        <v>94</v>
      </c>
      <c r="BK55" t="s">
        <v>94</v>
      </c>
    </row>
    <row r="56" spans="1:63" x14ac:dyDescent="0.3">
      <c r="A56" t="s">
        <v>713</v>
      </c>
      <c r="B56" t="s">
        <v>94</v>
      </c>
      <c r="C56" s="21" t="s">
        <v>98</v>
      </c>
      <c r="D56" t="s">
        <v>94</v>
      </c>
      <c r="I56" t="s">
        <v>94</v>
      </c>
      <c r="K56" t="s">
        <v>37</v>
      </c>
      <c r="M56" t="s">
        <v>37</v>
      </c>
      <c r="N56" t="s">
        <v>37</v>
      </c>
      <c r="O56" t="s">
        <v>37</v>
      </c>
      <c r="R56" t="s">
        <v>98</v>
      </c>
      <c r="BI56" t="s">
        <v>94</v>
      </c>
      <c r="BJ56" t="s">
        <v>94</v>
      </c>
      <c r="BK56" t="s">
        <v>94</v>
      </c>
    </row>
    <row r="57" spans="1:63" x14ac:dyDescent="0.3">
      <c r="A57" t="s">
        <v>714</v>
      </c>
      <c r="B57" t="s">
        <v>94</v>
      </c>
      <c r="C57" s="21" t="s">
        <v>98</v>
      </c>
      <c r="D57" t="s">
        <v>94</v>
      </c>
      <c r="I57" t="s">
        <v>94</v>
      </c>
      <c r="K57" t="s">
        <v>37</v>
      </c>
      <c r="M57" t="s">
        <v>37</v>
      </c>
      <c r="N57" t="s">
        <v>37</v>
      </c>
      <c r="O57" t="s">
        <v>37</v>
      </c>
      <c r="R57" t="s">
        <v>98</v>
      </c>
      <c r="BI57" t="s">
        <v>94</v>
      </c>
      <c r="BJ57" t="s">
        <v>94</v>
      </c>
      <c r="BK57" t="s">
        <v>94</v>
      </c>
    </row>
    <row r="58" spans="1:63" x14ac:dyDescent="0.3">
      <c r="A58" t="s">
        <v>694</v>
      </c>
      <c r="B58" t="s">
        <v>94</v>
      </c>
      <c r="C58" s="21" t="s">
        <v>98</v>
      </c>
      <c r="D58" t="s">
        <v>94</v>
      </c>
      <c r="I58" t="s">
        <v>94</v>
      </c>
      <c r="K58" t="s">
        <v>37</v>
      </c>
      <c r="M58" t="s">
        <v>37</v>
      </c>
      <c r="N58" t="s">
        <v>37</v>
      </c>
      <c r="O58" t="s">
        <v>37</v>
      </c>
      <c r="R58" t="s">
        <v>98</v>
      </c>
      <c r="BI58" t="s">
        <v>94</v>
      </c>
      <c r="BJ58" t="s">
        <v>94</v>
      </c>
      <c r="BK58" t="s">
        <v>94</v>
      </c>
    </row>
    <row r="59" spans="1:63" x14ac:dyDescent="0.3">
      <c r="A59" t="s">
        <v>695</v>
      </c>
      <c r="B59" t="s">
        <v>94</v>
      </c>
      <c r="C59" s="21" t="s">
        <v>98</v>
      </c>
      <c r="D59" t="s">
        <v>94</v>
      </c>
      <c r="I59" t="s">
        <v>94</v>
      </c>
      <c r="K59" t="s">
        <v>37</v>
      </c>
      <c r="M59" t="s">
        <v>37</v>
      </c>
      <c r="N59" t="s">
        <v>37</v>
      </c>
      <c r="O59" t="s">
        <v>37</v>
      </c>
      <c r="R59" t="s">
        <v>98</v>
      </c>
      <c r="BI59" t="s">
        <v>94</v>
      </c>
      <c r="BJ59" t="s">
        <v>94</v>
      </c>
      <c r="BK59" t="s">
        <v>94</v>
      </c>
    </row>
    <row r="60" spans="1:63" x14ac:dyDescent="0.3">
      <c r="A60" t="s">
        <v>696</v>
      </c>
      <c r="B60" t="s">
        <v>94</v>
      </c>
      <c r="C60" s="21" t="s">
        <v>98</v>
      </c>
      <c r="D60" t="s">
        <v>94</v>
      </c>
      <c r="I60" t="s">
        <v>94</v>
      </c>
      <c r="K60" t="s">
        <v>37</v>
      </c>
      <c r="M60" t="s">
        <v>37</v>
      </c>
      <c r="N60" t="s">
        <v>37</v>
      </c>
      <c r="O60" t="s">
        <v>37</v>
      </c>
      <c r="R60" t="s">
        <v>98</v>
      </c>
      <c r="BI60" t="s">
        <v>94</v>
      </c>
      <c r="BJ60" t="s">
        <v>94</v>
      </c>
      <c r="BK60" t="s">
        <v>94</v>
      </c>
    </row>
    <row r="61" spans="1:63" x14ac:dyDescent="0.3">
      <c r="A61" t="s">
        <v>703</v>
      </c>
      <c r="B61" t="s">
        <v>94</v>
      </c>
      <c r="C61" s="21" t="s">
        <v>98</v>
      </c>
      <c r="D61" t="s">
        <v>94</v>
      </c>
      <c r="I61" t="s">
        <v>94</v>
      </c>
      <c r="K61" t="s">
        <v>37</v>
      </c>
      <c r="M61" t="s">
        <v>37</v>
      </c>
      <c r="N61" t="s">
        <v>37</v>
      </c>
      <c r="O61" t="s">
        <v>37</v>
      </c>
      <c r="R61" t="s">
        <v>98</v>
      </c>
      <c r="BI61" t="s">
        <v>94</v>
      </c>
      <c r="BJ61" t="s">
        <v>94</v>
      </c>
      <c r="BK61" t="s">
        <v>94</v>
      </c>
    </row>
    <row r="62" spans="1:63" x14ac:dyDescent="0.3">
      <c r="A62" t="s">
        <v>704</v>
      </c>
      <c r="B62" t="s">
        <v>94</v>
      </c>
      <c r="C62" s="21" t="s">
        <v>98</v>
      </c>
      <c r="D62" t="s">
        <v>94</v>
      </c>
      <c r="I62" t="s">
        <v>94</v>
      </c>
      <c r="K62" t="s">
        <v>37</v>
      </c>
      <c r="M62" t="s">
        <v>37</v>
      </c>
      <c r="N62" t="s">
        <v>37</v>
      </c>
      <c r="O62" t="s">
        <v>37</v>
      </c>
      <c r="R62" t="s">
        <v>98</v>
      </c>
      <c r="BI62" t="s">
        <v>94</v>
      </c>
      <c r="BJ62" t="s">
        <v>94</v>
      </c>
      <c r="BK62" t="s">
        <v>94</v>
      </c>
    </row>
    <row r="63" spans="1:63" x14ac:dyDescent="0.3">
      <c r="A63" t="s">
        <v>705</v>
      </c>
      <c r="B63" t="s">
        <v>94</v>
      </c>
      <c r="C63" s="21" t="s">
        <v>98</v>
      </c>
      <c r="D63" t="s">
        <v>94</v>
      </c>
      <c r="I63" t="s">
        <v>94</v>
      </c>
      <c r="K63" t="s">
        <v>37</v>
      </c>
      <c r="M63" t="s">
        <v>37</v>
      </c>
      <c r="N63" t="s">
        <v>37</v>
      </c>
      <c r="O63" t="s">
        <v>37</v>
      </c>
      <c r="R63" t="s">
        <v>98</v>
      </c>
      <c r="BI63" t="s">
        <v>94</v>
      </c>
      <c r="BJ63" t="s">
        <v>94</v>
      </c>
      <c r="BK63" t="s">
        <v>94</v>
      </c>
    </row>
    <row r="64" spans="1:63" x14ac:dyDescent="0.3">
      <c r="A64" t="s">
        <v>520</v>
      </c>
      <c r="B64" t="s">
        <v>98</v>
      </c>
      <c r="C64" s="21" t="s">
        <v>98</v>
      </c>
      <c r="D64" t="s">
        <v>98</v>
      </c>
      <c r="E64" t="s">
        <v>98</v>
      </c>
      <c r="F64" t="s">
        <v>98</v>
      </c>
      <c r="G64" t="s">
        <v>98</v>
      </c>
      <c r="J64" t="s">
        <v>98</v>
      </c>
      <c r="L64" t="s">
        <v>37</v>
      </c>
      <c r="M64" s="21" t="s">
        <v>98</v>
      </c>
      <c r="N64" t="s">
        <v>37</v>
      </c>
      <c r="O64" t="s">
        <v>37</v>
      </c>
      <c r="P64" t="s">
        <v>98</v>
      </c>
      <c r="Q64" t="s">
        <v>98</v>
      </c>
      <c r="R64" t="s">
        <v>98</v>
      </c>
      <c r="BI64" t="s">
        <v>94</v>
      </c>
      <c r="BJ64" t="s">
        <v>94</v>
      </c>
      <c r="BK64" t="s">
        <v>94</v>
      </c>
    </row>
    <row r="65" spans="1:63" x14ac:dyDescent="0.3">
      <c r="A65" t="s">
        <v>521</v>
      </c>
      <c r="B65" t="s">
        <v>98</v>
      </c>
      <c r="C65" s="21" t="s">
        <v>98</v>
      </c>
      <c r="D65" t="s">
        <v>98</v>
      </c>
      <c r="E65" t="s">
        <v>98</v>
      </c>
      <c r="F65" t="s">
        <v>98</v>
      </c>
      <c r="G65" t="s">
        <v>98</v>
      </c>
      <c r="J65" t="s">
        <v>98</v>
      </c>
      <c r="L65" t="s">
        <v>37</v>
      </c>
      <c r="M65" s="21" t="s">
        <v>98</v>
      </c>
      <c r="N65" t="s">
        <v>37</v>
      </c>
      <c r="O65" t="s">
        <v>37</v>
      </c>
      <c r="P65" t="s">
        <v>98</v>
      </c>
      <c r="Q65" t="s">
        <v>98</v>
      </c>
      <c r="R65" t="s">
        <v>98</v>
      </c>
      <c r="BI65" t="s">
        <v>94</v>
      </c>
      <c r="BJ65" t="s">
        <v>94</v>
      </c>
      <c r="BK65" t="s">
        <v>94</v>
      </c>
    </row>
    <row r="66" spans="1:63" x14ac:dyDescent="0.3">
      <c r="A66" t="s">
        <v>522</v>
      </c>
      <c r="B66" t="s">
        <v>98</v>
      </c>
      <c r="C66" s="21" t="s">
        <v>98</v>
      </c>
      <c r="D66" t="s">
        <v>98</v>
      </c>
      <c r="E66" t="s">
        <v>98</v>
      </c>
      <c r="F66" t="s">
        <v>98</v>
      </c>
      <c r="G66" t="s">
        <v>98</v>
      </c>
      <c r="J66" t="s">
        <v>98</v>
      </c>
      <c r="L66" t="s">
        <v>37</v>
      </c>
      <c r="M66" s="21" t="s">
        <v>98</v>
      </c>
      <c r="N66" t="s">
        <v>37</v>
      </c>
      <c r="O66" t="s">
        <v>37</v>
      </c>
      <c r="P66" t="s">
        <v>98</v>
      </c>
      <c r="Q66" t="s">
        <v>98</v>
      </c>
      <c r="R66" t="s">
        <v>98</v>
      </c>
      <c r="BI66" t="s">
        <v>94</v>
      </c>
      <c r="BJ66" t="s">
        <v>94</v>
      </c>
      <c r="BK66" t="s">
        <v>94</v>
      </c>
    </row>
    <row r="67" spans="1:63" x14ac:dyDescent="0.3">
      <c r="A67" t="s">
        <v>523</v>
      </c>
      <c r="B67" t="s">
        <v>98</v>
      </c>
      <c r="C67" s="21" t="s">
        <v>98</v>
      </c>
      <c r="D67" t="s">
        <v>98</v>
      </c>
      <c r="E67" t="s">
        <v>98</v>
      </c>
      <c r="F67" t="s">
        <v>98</v>
      </c>
      <c r="G67" t="s">
        <v>98</v>
      </c>
      <c r="J67" t="s">
        <v>98</v>
      </c>
      <c r="L67" t="s">
        <v>37</v>
      </c>
      <c r="M67" s="21" t="s">
        <v>98</v>
      </c>
      <c r="N67" t="s">
        <v>37</v>
      </c>
      <c r="O67" t="s">
        <v>37</v>
      </c>
      <c r="P67" t="s">
        <v>98</v>
      </c>
      <c r="Q67" t="s">
        <v>98</v>
      </c>
      <c r="R67" t="s">
        <v>98</v>
      </c>
      <c r="BI67" t="s">
        <v>94</v>
      </c>
      <c r="BJ67" t="s">
        <v>94</v>
      </c>
      <c r="BK67" t="s">
        <v>94</v>
      </c>
    </row>
    <row r="69" spans="1:63" x14ac:dyDescent="0.3">
      <c r="A69" t="s">
        <v>74</v>
      </c>
    </row>
    <row r="70" spans="1:63" x14ac:dyDescent="0.3">
      <c r="B70" s="21" t="s">
        <v>15</v>
      </c>
      <c r="C70" s="21" t="s">
        <v>14</v>
      </c>
      <c r="D70" t="s">
        <v>16</v>
      </c>
      <c r="E70" t="s">
        <v>557</v>
      </c>
      <c r="F70" t="s">
        <v>19</v>
      </c>
      <c r="G70" t="s">
        <v>20</v>
      </c>
      <c r="H70" t="s">
        <v>22</v>
      </c>
      <c r="I70" t="s">
        <v>24</v>
      </c>
      <c r="J70" t="s">
        <v>53</v>
      </c>
      <c r="K70" t="s">
        <v>27</v>
      </c>
      <c r="L70" t="s">
        <v>28</v>
      </c>
      <c r="M70" s="12" t="s">
        <v>123</v>
      </c>
      <c r="N70" t="s">
        <v>108</v>
      </c>
      <c r="O70" t="s">
        <v>117</v>
      </c>
      <c r="P70" t="s">
        <v>150</v>
      </c>
      <c r="Q70" t="s">
        <v>151</v>
      </c>
      <c r="R70" t="s">
        <v>152</v>
      </c>
      <c r="S70" t="s">
        <v>67</v>
      </c>
      <c r="T70" t="s">
        <v>68</v>
      </c>
      <c r="U70" t="s">
        <v>56</v>
      </c>
      <c r="V70" t="s">
        <v>57</v>
      </c>
      <c r="W70" t="s">
        <v>58</v>
      </c>
      <c r="X70" t="s">
        <v>59</v>
      </c>
      <c r="Y70" t="s">
        <v>60</v>
      </c>
      <c r="Z70" t="s">
        <v>62</v>
      </c>
      <c r="AA70" t="s">
        <v>61</v>
      </c>
      <c r="AB70" t="s">
        <v>63</v>
      </c>
      <c r="AC70" s="21" t="s">
        <v>659</v>
      </c>
      <c r="AD70" s="21" t="s">
        <v>603</v>
      </c>
      <c r="AE70" s="21" t="s">
        <v>604</v>
      </c>
      <c r="AF70" s="21" t="s">
        <v>605</v>
      </c>
      <c r="AG70" s="21" t="s">
        <v>606</v>
      </c>
      <c r="AH70" s="21" t="s">
        <v>607</v>
      </c>
      <c r="AI70" s="21" t="s">
        <v>608</v>
      </c>
      <c r="AJ70" s="21" t="s">
        <v>609</v>
      </c>
      <c r="AK70" s="21" t="s">
        <v>610</v>
      </c>
      <c r="AL70" s="21" t="s">
        <v>611</v>
      </c>
      <c r="AM70" s="21" t="s">
        <v>612</v>
      </c>
      <c r="AN70" s="21" t="s">
        <v>56</v>
      </c>
      <c r="AO70" s="21" t="s">
        <v>613</v>
      </c>
      <c r="AP70" s="21" t="s">
        <v>614</v>
      </c>
      <c r="AQ70" s="21" t="s">
        <v>615</v>
      </c>
      <c r="AR70" s="21" t="s">
        <v>616</v>
      </c>
      <c r="AS70" s="21" t="s">
        <v>617</v>
      </c>
      <c r="AT70" s="21" t="s">
        <v>618</v>
      </c>
      <c r="AU70" s="21" t="s">
        <v>619</v>
      </c>
      <c r="AV70" s="21" t="s">
        <v>622</v>
      </c>
      <c r="AW70" s="21" t="s">
        <v>620</v>
      </c>
      <c r="AX70" s="21" t="s">
        <v>621</v>
      </c>
      <c r="AY70" s="21" t="s">
        <v>623</v>
      </c>
      <c r="AZ70" s="21" t="s">
        <v>624</v>
      </c>
      <c r="BA70" s="21" t="s">
        <v>625</v>
      </c>
      <c r="BB70" s="21" t="s">
        <v>626</v>
      </c>
      <c r="BC70" s="21" t="s">
        <v>581</v>
      </c>
      <c r="BD70" s="21" t="s">
        <v>583</v>
      </c>
      <c r="BE70" s="21" t="s">
        <v>582</v>
      </c>
      <c r="BF70" s="21" t="s">
        <v>629</v>
      </c>
      <c r="BG70" s="21" t="s">
        <v>627</v>
      </c>
      <c r="BH70" s="21" t="s">
        <v>628</v>
      </c>
      <c r="BI70" t="s">
        <v>29</v>
      </c>
      <c r="BJ70" t="s">
        <v>30</v>
      </c>
      <c r="BK70" t="s">
        <v>31</v>
      </c>
    </row>
    <row r="71" spans="1:63" x14ac:dyDescent="0.3">
      <c r="A71" t="s">
        <v>688</v>
      </c>
      <c r="B71" t="s">
        <v>95</v>
      </c>
      <c r="C71" s="21" t="s">
        <v>144</v>
      </c>
      <c r="D71" t="s">
        <v>95</v>
      </c>
      <c r="E71" s="21" t="s">
        <v>479</v>
      </c>
      <c r="F71" t="s">
        <v>99</v>
      </c>
      <c r="G71" t="s">
        <v>100</v>
      </c>
      <c r="J71" s="21" t="s">
        <v>657</v>
      </c>
      <c r="K71" t="s">
        <v>104</v>
      </c>
      <c r="L71" t="s">
        <v>105</v>
      </c>
      <c r="M71" t="s">
        <v>124</v>
      </c>
      <c r="N71" t="s">
        <v>113</v>
      </c>
      <c r="O71" t="s">
        <v>118</v>
      </c>
      <c r="P71" t="s">
        <v>574</v>
      </c>
      <c r="Q71" t="s">
        <v>156</v>
      </c>
      <c r="R71" t="s">
        <v>154</v>
      </c>
      <c r="BI71" t="s">
        <v>167</v>
      </c>
      <c r="BJ71" t="s">
        <v>168</v>
      </c>
      <c r="BK71" s="13" t="s">
        <v>169</v>
      </c>
    </row>
    <row r="72" spans="1:63" x14ac:dyDescent="0.3">
      <c r="A72" t="s">
        <v>33</v>
      </c>
      <c r="B72" t="s">
        <v>95</v>
      </c>
      <c r="C72" s="21" t="s">
        <v>144</v>
      </c>
      <c r="D72" t="s">
        <v>95</v>
      </c>
      <c r="E72" s="22"/>
      <c r="F72" t="s">
        <v>99</v>
      </c>
      <c r="G72" t="s">
        <v>100</v>
      </c>
      <c r="J72" s="21" t="s">
        <v>196</v>
      </c>
      <c r="K72" t="s">
        <v>104</v>
      </c>
      <c r="L72" t="s">
        <v>105</v>
      </c>
      <c r="M72" t="s">
        <v>124</v>
      </c>
      <c r="N72" t="s">
        <v>113</v>
      </c>
      <c r="O72" t="s">
        <v>118</v>
      </c>
      <c r="P72" s="21" t="s">
        <v>574</v>
      </c>
      <c r="R72" t="s">
        <v>154</v>
      </c>
      <c r="BI72" t="s">
        <v>167</v>
      </c>
      <c r="BJ72" t="s">
        <v>168</v>
      </c>
      <c r="BK72" s="13" t="s">
        <v>169</v>
      </c>
    </row>
    <row r="73" spans="1:63" x14ac:dyDescent="0.3">
      <c r="A73" t="s">
        <v>517</v>
      </c>
      <c r="B73" s="22" t="s">
        <v>501</v>
      </c>
      <c r="C73" s="21" t="s">
        <v>144</v>
      </c>
      <c r="D73" s="22" t="s">
        <v>501</v>
      </c>
      <c r="E73" s="21" t="s">
        <v>479</v>
      </c>
      <c r="F73" t="s">
        <v>99</v>
      </c>
      <c r="G73" t="s">
        <v>100</v>
      </c>
      <c r="J73" s="21" t="s">
        <v>196</v>
      </c>
      <c r="K73" t="s">
        <v>104</v>
      </c>
      <c r="L73" t="s">
        <v>105</v>
      </c>
      <c r="M73" s="21" t="s">
        <v>503</v>
      </c>
      <c r="N73" t="s">
        <v>113</v>
      </c>
      <c r="O73" t="s">
        <v>118</v>
      </c>
      <c r="P73" t="s">
        <v>156</v>
      </c>
      <c r="Q73" t="s">
        <v>156</v>
      </c>
      <c r="R73" t="s">
        <v>154</v>
      </c>
      <c r="BI73" t="s">
        <v>167</v>
      </c>
      <c r="BJ73" t="s">
        <v>168</v>
      </c>
      <c r="BK73" s="13" t="s">
        <v>169</v>
      </c>
    </row>
    <row r="74" spans="1:63" x14ac:dyDescent="0.3">
      <c r="A74" t="s">
        <v>518</v>
      </c>
      <c r="B74" s="22" t="s">
        <v>501</v>
      </c>
      <c r="C74" s="21" t="s">
        <v>144</v>
      </c>
      <c r="D74" s="22" t="s">
        <v>501</v>
      </c>
      <c r="E74" s="21" t="s">
        <v>479</v>
      </c>
      <c r="F74" t="s">
        <v>99</v>
      </c>
      <c r="G74" t="s">
        <v>100</v>
      </c>
      <c r="J74" s="21" t="s">
        <v>196</v>
      </c>
      <c r="K74" t="s">
        <v>104</v>
      </c>
      <c r="L74" t="s">
        <v>105</v>
      </c>
      <c r="M74" s="21" t="s">
        <v>503</v>
      </c>
      <c r="N74" t="s">
        <v>113</v>
      </c>
      <c r="O74" t="s">
        <v>118</v>
      </c>
      <c r="P74" t="s">
        <v>156</v>
      </c>
      <c r="Q74" t="s">
        <v>156</v>
      </c>
      <c r="R74" t="s">
        <v>154</v>
      </c>
      <c r="BI74" t="s">
        <v>167</v>
      </c>
      <c r="BJ74" t="s">
        <v>168</v>
      </c>
      <c r="BK74" s="13" t="s">
        <v>169</v>
      </c>
    </row>
    <row r="75" spans="1:63" x14ac:dyDescent="0.3">
      <c r="A75" t="s">
        <v>524</v>
      </c>
      <c r="B75" s="22" t="s">
        <v>501</v>
      </c>
      <c r="C75" s="21" t="s">
        <v>144</v>
      </c>
      <c r="D75" s="22" t="s">
        <v>501</v>
      </c>
      <c r="E75" s="21" t="s">
        <v>479</v>
      </c>
      <c r="F75" t="s">
        <v>99</v>
      </c>
      <c r="G75" t="s">
        <v>100</v>
      </c>
      <c r="J75" s="21" t="s">
        <v>196</v>
      </c>
      <c r="K75" t="s">
        <v>104</v>
      </c>
      <c r="L75" t="s">
        <v>105</v>
      </c>
      <c r="M75" s="21" t="s">
        <v>503</v>
      </c>
      <c r="N75" t="s">
        <v>113</v>
      </c>
      <c r="O75" t="s">
        <v>118</v>
      </c>
      <c r="P75" t="s">
        <v>156</v>
      </c>
      <c r="Q75" t="s">
        <v>156</v>
      </c>
      <c r="R75" t="s">
        <v>154</v>
      </c>
      <c r="BI75" t="s">
        <v>167</v>
      </c>
      <c r="BJ75" t="s">
        <v>168</v>
      </c>
      <c r="BK75" s="13" t="s">
        <v>169</v>
      </c>
    </row>
    <row r="76" spans="1:63" x14ac:dyDescent="0.3">
      <c r="A76" t="s">
        <v>519</v>
      </c>
      <c r="B76" t="s">
        <v>106</v>
      </c>
      <c r="C76" s="21" t="s">
        <v>144</v>
      </c>
      <c r="D76" t="s">
        <v>106</v>
      </c>
      <c r="E76" t="s">
        <v>106</v>
      </c>
      <c r="F76" t="s">
        <v>99</v>
      </c>
      <c r="G76" t="s">
        <v>100</v>
      </c>
      <c r="L76" t="s">
        <v>129</v>
      </c>
      <c r="M76" t="s">
        <v>125</v>
      </c>
      <c r="N76" t="s">
        <v>111</v>
      </c>
      <c r="P76" t="s">
        <v>569</v>
      </c>
      <c r="Q76" s="21" t="s">
        <v>569</v>
      </c>
      <c r="R76" t="s">
        <v>154</v>
      </c>
      <c r="BI76" t="s">
        <v>167</v>
      </c>
      <c r="BJ76" t="s">
        <v>168</v>
      </c>
      <c r="BK76" s="13" t="s">
        <v>169</v>
      </c>
    </row>
    <row r="77" spans="1:63" x14ac:dyDescent="0.3">
      <c r="A77" t="s">
        <v>645</v>
      </c>
      <c r="B77" t="s">
        <v>120</v>
      </c>
      <c r="C77" s="21" t="s">
        <v>144</v>
      </c>
      <c r="D77" t="s">
        <v>120</v>
      </c>
      <c r="I77" t="s">
        <v>122</v>
      </c>
      <c r="K77" t="s">
        <v>656</v>
      </c>
      <c r="M77" t="s">
        <v>126</v>
      </c>
      <c r="N77" t="s">
        <v>113</v>
      </c>
      <c r="O77" t="s">
        <v>118</v>
      </c>
      <c r="R77" t="s">
        <v>154</v>
      </c>
      <c r="BI77" t="s">
        <v>167</v>
      </c>
      <c r="BJ77" t="s">
        <v>168</v>
      </c>
      <c r="BK77" s="13" t="s">
        <v>169</v>
      </c>
    </row>
    <row r="78" spans="1:63" x14ac:dyDescent="0.3">
      <c r="A78" t="s">
        <v>646</v>
      </c>
      <c r="B78" t="s">
        <v>120</v>
      </c>
      <c r="C78" s="21" t="s">
        <v>144</v>
      </c>
      <c r="D78" t="s">
        <v>120</v>
      </c>
      <c r="I78" t="s">
        <v>122</v>
      </c>
      <c r="K78" s="21" t="s">
        <v>656</v>
      </c>
      <c r="M78" t="s">
        <v>126</v>
      </c>
      <c r="N78" t="s">
        <v>113</v>
      </c>
      <c r="O78" t="s">
        <v>118</v>
      </c>
      <c r="R78" t="s">
        <v>154</v>
      </c>
      <c r="BI78" t="s">
        <v>167</v>
      </c>
      <c r="BJ78" t="s">
        <v>168</v>
      </c>
      <c r="BK78" s="13" t="s">
        <v>169</v>
      </c>
    </row>
    <row r="79" spans="1:63" x14ac:dyDescent="0.3">
      <c r="A79" t="s">
        <v>647</v>
      </c>
      <c r="B79" t="s">
        <v>120</v>
      </c>
      <c r="C79" s="21" t="s">
        <v>144</v>
      </c>
      <c r="D79" t="s">
        <v>120</v>
      </c>
      <c r="I79" t="s">
        <v>122</v>
      </c>
      <c r="K79" s="21" t="s">
        <v>656</v>
      </c>
      <c r="M79" t="s">
        <v>126</v>
      </c>
      <c r="N79" t="s">
        <v>113</v>
      </c>
      <c r="O79" t="s">
        <v>118</v>
      </c>
      <c r="R79" t="s">
        <v>154</v>
      </c>
      <c r="BI79" t="s">
        <v>167</v>
      </c>
      <c r="BJ79" t="s">
        <v>168</v>
      </c>
      <c r="BK79" s="13" t="s">
        <v>169</v>
      </c>
    </row>
    <row r="80" spans="1:63" s="21" customFormat="1" x14ac:dyDescent="0.3">
      <c r="A80" s="21" t="s">
        <v>675</v>
      </c>
      <c r="B80" s="21" t="s">
        <v>120</v>
      </c>
      <c r="C80" s="21" t="s">
        <v>144</v>
      </c>
      <c r="D80" s="21" t="s">
        <v>120</v>
      </c>
      <c r="I80" s="21" t="s">
        <v>122</v>
      </c>
      <c r="K80" s="21" t="s">
        <v>656</v>
      </c>
      <c r="M80" s="21" t="s">
        <v>126</v>
      </c>
      <c r="N80" s="21" t="s">
        <v>113</v>
      </c>
      <c r="O80" s="21" t="s">
        <v>118</v>
      </c>
      <c r="R80" s="21" t="s">
        <v>154</v>
      </c>
      <c r="BI80" s="21" t="s">
        <v>167</v>
      </c>
      <c r="BJ80" s="21" t="s">
        <v>168</v>
      </c>
      <c r="BK80" s="13" t="s">
        <v>169</v>
      </c>
    </row>
    <row r="81" spans="1:63" s="21" customFormat="1" x14ac:dyDescent="0.3">
      <c r="A81" s="21" t="s">
        <v>676</v>
      </c>
      <c r="B81" s="21" t="s">
        <v>120</v>
      </c>
      <c r="C81" s="21" t="s">
        <v>144</v>
      </c>
      <c r="D81" s="21" t="s">
        <v>120</v>
      </c>
      <c r="I81" s="21" t="s">
        <v>122</v>
      </c>
      <c r="K81" s="21" t="s">
        <v>656</v>
      </c>
      <c r="M81" s="21" t="s">
        <v>126</v>
      </c>
      <c r="N81" s="21" t="s">
        <v>113</v>
      </c>
      <c r="O81" s="21" t="s">
        <v>118</v>
      </c>
      <c r="R81" s="21" t="s">
        <v>154</v>
      </c>
      <c r="BI81" s="21" t="s">
        <v>167</v>
      </c>
      <c r="BJ81" s="21" t="s">
        <v>168</v>
      </c>
      <c r="BK81" s="13" t="s">
        <v>169</v>
      </c>
    </row>
    <row r="82" spans="1:63" s="21" customFormat="1" x14ac:dyDescent="0.3">
      <c r="A82" s="21" t="s">
        <v>677</v>
      </c>
      <c r="B82" s="21" t="s">
        <v>120</v>
      </c>
      <c r="C82" s="21" t="s">
        <v>144</v>
      </c>
      <c r="D82" s="21" t="s">
        <v>120</v>
      </c>
      <c r="I82" s="21" t="s">
        <v>122</v>
      </c>
      <c r="K82" s="21" t="s">
        <v>656</v>
      </c>
      <c r="M82" s="21" t="s">
        <v>126</v>
      </c>
      <c r="N82" s="21" t="s">
        <v>113</v>
      </c>
      <c r="O82" s="21" t="s">
        <v>118</v>
      </c>
      <c r="R82" s="21" t="s">
        <v>154</v>
      </c>
      <c r="BI82" s="21" t="s">
        <v>167</v>
      </c>
      <c r="BJ82" s="21" t="s">
        <v>168</v>
      </c>
      <c r="BK82" s="13" t="s">
        <v>169</v>
      </c>
    </row>
    <row r="83" spans="1:63" x14ac:dyDescent="0.3">
      <c r="A83" t="s">
        <v>636</v>
      </c>
      <c r="B83" t="s">
        <v>120</v>
      </c>
      <c r="C83" s="21" t="s">
        <v>144</v>
      </c>
      <c r="D83" t="s">
        <v>120</v>
      </c>
      <c r="I83" t="s">
        <v>122</v>
      </c>
      <c r="K83" s="21" t="s">
        <v>656</v>
      </c>
      <c r="M83" t="s">
        <v>126</v>
      </c>
      <c r="N83" t="s">
        <v>113</v>
      </c>
      <c r="O83" t="s">
        <v>118</v>
      </c>
      <c r="R83" t="s">
        <v>154</v>
      </c>
      <c r="BI83" t="s">
        <v>167</v>
      </c>
      <c r="BJ83" t="s">
        <v>168</v>
      </c>
      <c r="BK83" s="13" t="s">
        <v>169</v>
      </c>
    </row>
    <row r="84" spans="1:63" x14ac:dyDescent="0.3">
      <c r="A84" t="s">
        <v>637</v>
      </c>
      <c r="B84" t="s">
        <v>120</v>
      </c>
      <c r="C84" s="21" t="s">
        <v>144</v>
      </c>
      <c r="D84" t="s">
        <v>120</v>
      </c>
      <c r="I84" t="s">
        <v>122</v>
      </c>
      <c r="K84" s="21" t="s">
        <v>656</v>
      </c>
      <c r="M84" t="s">
        <v>126</v>
      </c>
      <c r="N84" t="s">
        <v>113</v>
      </c>
      <c r="O84" t="s">
        <v>118</v>
      </c>
      <c r="R84" t="s">
        <v>154</v>
      </c>
      <c r="BI84" t="s">
        <v>167</v>
      </c>
      <c r="BJ84" t="s">
        <v>168</v>
      </c>
      <c r="BK84" s="13" t="s">
        <v>169</v>
      </c>
    </row>
    <row r="85" spans="1:63" x14ac:dyDescent="0.3">
      <c r="A85" t="s">
        <v>638</v>
      </c>
      <c r="B85" t="s">
        <v>120</v>
      </c>
      <c r="C85" s="21" t="s">
        <v>144</v>
      </c>
      <c r="D85" t="s">
        <v>120</v>
      </c>
      <c r="I85" t="s">
        <v>122</v>
      </c>
      <c r="K85" s="21" t="s">
        <v>656</v>
      </c>
      <c r="M85" t="s">
        <v>126</v>
      </c>
      <c r="N85" t="s">
        <v>113</v>
      </c>
      <c r="O85" t="s">
        <v>118</v>
      </c>
      <c r="R85" t="s">
        <v>154</v>
      </c>
      <c r="BI85" t="s">
        <v>167</v>
      </c>
      <c r="BJ85" t="s">
        <v>168</v>
      </c>
      <c r="BK85" s="13" t="s">
        <v>169</v>
      </c>
    </row>
    <row r="86" spans="1:63" s="21" customFormat="1" x14ac:dyDescent="0.3">
      <c r="A86" s="21" t="s">
        <v>674</v>
      </c>
      <c r="B86" s="21" t="s">
        <v>128</v>
      </c>
      <c r="C86" s="21" t="s">
        <v>144</v>
      </c>
      <c r="D86" s="21" t="s">
        <v>128</v>
      </c>
      <c r="E86" s="21" t="s">
        <v>157</v>
      </c>
      <c r="F86" s="21" t="s">
        <v>99</v>
      </c>
      <c r="G86" s="21" t="s">
        <v>100</v>
      </c>
      <c r="J86" s="21" t="s">
        <v>197</v>
      </c>
      <c r="L86" s="21" t="s">
        <v>105</v>
      </c>
      <c r="M86" s="21" t="s">
        <v>127</v>
      </c>
      <c r="N86" s="21" t="s">
        <v>113</v>
      </c>
      <c r="O86" s="21" t="s">
        <v>118</v>
      </c>
      <c r="P86" s="21" t="s">
        <v>158</v>
      </c>
      <c r="Q86" s="21" t="s">
        <v>158</v>
      </c>
      <c r="R86" s="21" t="s">
        <v>154</v>
      </c>
      <c r="BI86" s="21" t="s">
        <v>167</v>
      </c>
      <c r="BJ86" s="21" t="s">
        <v>168</v>
      </c>
      <c r="BK86" s="13" t="s">
        <v>169</v>
      </c>
    </row>
    <row r="87" spans="1:63" x14ac:dyDescent="0.3">
      <c r="A87" t="s">
        <v>631</v>
      </c>
      <c r="B87" t="s">
        <v>128</v>
      </c>
      <c r="C87" s="21" t="s">
        <v>144</v>
      </c>
      <c r="D87" s="21" t="s">
        <v>128</v>
      </c>
      <c r="E87" t="s">
        <v>157</v>
      </c>
      <c r="F87" t="s">
        <v>99</v>
      </c>
      <c r="G87" t="s">
        <v>100</v>
      </c>
      <c r="J87" t="s">
        <v>197</v>
      </c>
      <c r="L87" s="21" t="s">
        <v>105</v>
      </c>
      <c r="M87" t="s">
        <v>127</v>
      </c>
      <c r="N87" t="s">
        <v>113</v>
      </c>
      <c r="O87" t="s">
        <v>118</v>
      </c>
      <c r="P87" t="s">
        <v>158</v>
      </c>
      <c r="Q87" t="s">
        <v>158</v>
      </c>
      <c r="R87" t="s">
        <v>154</v>
      </c>
      <c r="BI87" t="s">
        <v>167</v>
      </c>
      <c r="BJ87" t="s">
        <v>168</v>
      </c>
      <c r="BK87" s="13" t="s">
        <v>169</v>
      </c>
    </row>
    <row r="88" spans="1:63" x14ac:dyDescent="0.3">
      <c r="A88" t="s">
        <v>712</v>
      </c>
      <c r="B88" t="s">
        <v>120</v>
      </c>
      <c r="C88" s="21" t="s">
        <v>144</v>
      </c>
      <c r="D88" t="s">
        <v>120</v>
      </c>
      <c r="I88" t="s">
        <v>122</v>
      </c>
      <c r="K88" t="s">
        <v>104</v>
      </c>
      <c r="M88" t="s">
        <v>126</v>
      </c>
      <c r="N88" t="s">
        <v>113</v>
      </c>
      <c r="O88" t="s">
        <v>118</v>
      </c>
      <c r="R88" t="s">
        <v>154</v>
      </c>
      <c r="BI88" t="s">
        <v>167</v>
      </c>
      <c r="BJ88" t="s">
        <v>168</v>
      </c>
      <c r="BK88" s="13" t="s">
        <v>169</v>
      </c>
    </row>
    <row r="89" spans="1:63" x14ac:dyDescent="0.3">
      <c r="A89" t="s">
        <v>713</v>
      </c>
      <c r="B89" t="s">
        <v>120</v>
      </c>
      <c r="C89" s="21" t="s">
        <v>144</v>
      </c>
      <c r="D89" t="s">
        <v>120</v>
      </c>
      <c r="I89" t="s">
        <v>122</v>
      </c>
      <c r="K89" t="s">
        <v>104</v>
      </c>
      <c r="M89" t="s">
        <v>126</v>
      </c>
      <c r="N89" t="s">
        <v>113</v>
      </c>
      <c r="O89" t="s">
        <v>118</v>
      </c>
      <c r="R89" t="s">
        <v>154</v>
      </c>
      <c r="BI89" t="s">
        <v>167</v>
      </c>
      <c r="BJ89" t="s">
        <v>168</v>
      </c>
      <c r="BK89" s="13" t="s">
        <v>169</v>
      </c>
    </row>
    <row r="90" spans="1:63" x14ac:dyDescent="0.3">
      <c r="A90" t="s">
        <v>714</v>
      </c>
      <c r="B90" t="s">
        <v>120</v>
      </c>
      <c r="C90" s="21" t="s">
        <v>144</v>
      </c>
      <c r="D90" t="s">
        <v>120</v>
      </c>
      <c r="I90" t="s">
        <v>122</v>
      </c>
      <c r="K90" t="s">
        <v>104</v>
      </c>
      <c r="M90" t="s">
        <v>126</v>
      </c>
      <c r="N90" t="s">
        <v>113</v>
      </c>
      <c r="O90" t="s">
        <v>118</v>
      </c>
      <c r="R90" t="s">
        <v>154</v>
      </c>
      <c r="BI90" t="s">
        <v>167</v>
      </c>
      <c r="BJ90" t="s">
        <v>168</v>
      </c>
      <c r="BK90" s="13" t="s">
        <v>169</v>
      </c>
    </row>
    <row r="91" spans="1:63" x14ac:dyDescent="0.3">
      <c r="A91" t="s">
        <v>694</v>
      </c>
      <c r="B91" t="s">
        <v>120</v>
      </c>
      <c r="C91" s="21" t="s">
        <v>144</v>
      </c>
      <c r="D91" t="s">
        <v>120</v>
      </c>
      <c r="I91" t="s">
        <v>122</v>
      </c>
      <c r="K91" t="s">
        <v>104</v>
      </c>
      <c r="M91" t="s">
        <v>126</v>
      </c>
      <c r="N91" t="s">
        <v>113</v>
      </c>
      <c r="O91" t="s">
        <v>118</v>
      </c>
      <c r="R91" t="s">
        <v>154</v>
      </c>
      <c r="BI91" t="s">
        <v>167</v>
      </c>
      <c r="BJ91" t="s">
        <v>168</v>
      </c>
      <c r="BK91" s="13" t="s">
        <v>169</v>
      </c>
    </row>
    <row r="92" spans="1:63" x14ac:dyDescent="0.3">
      <c r="A92" t="s">
        <v>695</v>
      </c>
      <c r="B92" t="s">
        <v>120</v>
      </c>
      <c r="C92" s="21" t="s">
        <v>144</v>
      </c>
      <c r="D92" t="s">
        <v>120</v>
      </c>
      <c r="I92" t="s">
        <v>122</v>
      </c>
      <c r="K92" t="s">
        <v>104</v>
      </c>
      <c r="M92" t="s">
        <v>126</v>
      </c>
      <c r="N92" t="s">
        <v>113</v>
      </c>
      <c r="O92" t="s">
        <v>118</v>
      </c>
      <c r="R92" t="s">
        <v>154</v>
      </c>
      <c r="BI92" t="s">
        <v>167</v>
      </c>
      <c r="BJ92" t="s">
        <v>168</v>
      </c>
      <c r="BK92" s="13" t="s">
        <v>169</v>
      </c>
    </row>
    <row r="93" spans="1:63" x14ac:dyDescent="0.3">
      <c r="A93" t="s">
        <v>696</v>
      </c>
      <c r="B93" t="s">
        <v>120</v>
      </c>
      <c r="C93" s="21" t="s">
        <v>144</v>
      </c>
      <c r="D93" t="s">
        <v>120</v>
      </c>
      <c r="I93" t="s">
        <v>122</v>
      </c>
      <c r="K93" t="s">
        <v>104</v>
      </c>
      <c r="M93" t="s">
        <v>126</v>
      </c>
      <c r="N93" t="s">
        <v>113</v>
      </c>
      <c r="O93" t="s">
        <v>118</v>
      </c>
      <c r="R93" t="s">
        <v>154</v>
      </c>
      <c r="BI93" t="s">
        <v>167</v>
      </c>
      <c r="BJ93" t="s">
        <v>168</v>
      </c>
      <c r="BK93" s="13" t="s">
        <v>169</v>
      </c>
    </row>
    <row r="94" spans="1:63" x14ac:dyDescent="0.3">
      <c r="A94" t="s">
        <v>703</v>
      </c>
      <c r="B94" t="s">
        <v>120</v>
      </c>
      <c r="C94" s="21" t="s">
        <v>144</v>
      </c>
      <c r="D94" t="s">
        <v>120</v>
      </c>
      <c r="I94" t="s">
        <v>122</v>
      </c>
      <c r="K94" t="s">
        <v>104</v>
      </c>
      <c r="M94" t="s">
        <v>126</v>
      </c>
      <c r="N94" t="s">
        <v>113</v>
      </c>
      <c r="O94" t="s">
        <v>118</v>
      </c>
      <c r="R94" t="s">
        <v>154</v>
      </c>
      <c r="BI94" t="s">
        <v>167</v>
      </c>
      <c r="BJ94" t="s">
        <v>168</v>
      </c>
      <c r="BK94" s="13" t="s">
        <v>169</v>
      </c>
    </row>
    <row r="95" spans="1:63" x14ac:dyDescent="0.3">
      <c r="A95" t="s">
        <v>704</v>
      </c>
      <c r="B95" t="s">
        <v>120</v>
      </c>
      <c r="C95" s="21" t="s">
        <v>144</v>
      </c>
      <c r="D95" t="s">
        <v>120</v>
      </c>
      <c r="I95" t="s">
        <v>122</v>
      </c>
      <c r="K95" t="s">
        <v>104</v>
      </c>
      <c r="M95" t="s">
        <v>126</v>
      </c>
      <c r="N95" t="s">
        <v>113</v>
      </c>
      <c r="O95" t="s">
        <v>118</v>
      </c>
      <c r="R95" t="s">
        <v>154</v>
      </c>
      <c r="BI95" t="s">
        <v>167</v>
      </c>
      <c r="BJ95" t="s">
        <v>168</v>
      </c>
      <c r="BK95" s="13" t="s">
        <v>169</v>
      </c>
    </row>
    <row r="96" spans="1:63" x14ac:dyDescent="0.3">
      <c r="A96" t="s">
        <v>705</v>
      </c>
      <c r="B96" t="s">
        <v>120</v>
      </c>
      <c r="C96" s="21" t="s">
        <v>144</v>
      </c>
      <c r="D96" t="s">
        <v>120</v>
      </c>
      <c r="I96" t="s">
        <v>122</v>
      </c>
      <c r="K96" t="s">
        <v>104</v>
      </c>
      <c r="M96" t="s">
        <v>126</v>
      </c>
      <c r="N96" t="s">
        <v>113</v>
      </c>
      <c r="O96" t="s">
        <v>118</v>
      </c>
      <c r="R96" t="s">
        <v>154</v>
      </c>
      <c r="BI96" t="s">
        <v>167</v>
      </c>
      <c r="BJ96" t="s">
        <v>168</v>
      </c>
      <c r="BK96" s="13" t="s">
        <v>169</v>
      </c>
    </row>
    <row r="97" spans="1:63" x14ac:dyDescent="0.3">
      <c r="A97" t="s">
        <v>520</v>
      </c>
      <c r="B97" t="s">
        <v>128</v>
      </c>
      <c r="C97" s="21" t="s">
        <v>144</v>
      </c>
      <c r="D97" s="21" t="s">
        <v>128</v>
      </c>
      <c r="E97" t="s">
        <v>157</v>
      </c>
      <c r="F97" t="s">
        <v>99</v>
      </c>
      <c r="G97" t="s">
        <v>100</v>
      </c>
      <c r="J97" s="21" t="s">
        <v>197</v>
      </c>
      <c r="L97" s="21" t="s">
        <v>105</v>
      </c>
      <c r="M97" t="s">
        <v>127</v>
      </c>
      <c r="N97" t="s">
        <v>113</v>
      </c>
      <c r="O97" t="s">
        <v>118</v>
      </c>
      <c r="P97" t="s">
        <v>158</v>
      </c>
      <c r="Q97" t="s">
        <v>158</v>
      </c>
      <c r="R97" t="s">
        <v>154</v>
      </c>
      <c r="BI97" t="s">
        <v>167</v>
      </c>
      <c r="BJ97" t="s">
        <v>168</v>
      </c>
      <c r="BK97" s="13" t="s">
        <v>169</v>
      </c>
    </row>
    <row r="98" spans="1:63" x14ac:dyDescent="0.3">
      <c r="A98" t="s">
        <v>521</v>
      </c>
      <c r="B98" t="s">
        <v>128</v>
      </c>
      <c r="C98" s="21" t="s">
        <v>144</v>
      </c>
      <c r="D98" s="21" t="s">
        <v>128</v>
      </c>
      <c r="E98" t="s">
        <v>157</v>
      </c>
      <c r="F98" t="s">
        <v>99</v>
      </c>
      <c r="G98" t="s">
        <v>100</v>
      </c>
      <c r="J98" s="21" t="s">
        <v>197</v>
      </c>
      <c r="L98" s="21" t="s">
        <v>105</v>
      </c>
      <c r="M98" t="s">
        <v>127</v>
      </c>
      <c r="N98" t="s">
        <v>113</v>
      </c>
      <c r="O98" t="s">
        <v>118</v>
      </c>
      <c r="P98" t="s">
        <v>158</v>
      </c>
      <c r="Q98" t="s">
        <v>158</v>
      </c>
      <c r="R98" t="s">
        <v>154</v>
      </c>
      <c r="BI98" t="s">
        <v>167</v>
      </c>
      <c r="BJ98" t="s">
        <v>168</v>
      </c>
      <c r="BK98" s="13" t="s">
        <v>169</v>
      </c>
    </row>
    <row r="99" spans="1:63" x14ac:dyDescent="0.3">
      <c r="A99" t="s">
        <v>522</v>
      </c>
      <c r="B99" t="s">
        <v>128</v>
      </c>
      <c r="C99" s="21" t="s">
        <v>144</v>
      </c>
      <c r="D99" s="21" t="s">
        <v>128</v>
      </c>
      <c r="E99" t="s">
        <v>157</v>
      </c>
      <c r="F99" t="s">
        <v>99</v>
      </c>
      <c r="G99" t="s">
        <v>100</v>
      </c>
      <c r="J99" s="21" t="s">
        <v>197</v>
      </c>
      <c r="L99" s="21" t="s">
        <v>105</v>
      </c>
      <c r="M99" t="s">
        <v>127</v>
      </c>
      <c r="N99" t="s">
        <v>113</v>
      </c>
      <c r="O99" t="s">
        <v>118</v>
      </c>
      <c r="P99" t="s">
        <v>158</v>
      </c>
      <c r="Q99" t="s">
        <v>158</v>
      </c>
      <c r="R99" t="s">
        <v>154</v>
      </c>
      <c r="BI99" t="s">
        <v>167</v>
      </c>
      <c r="BJ99" t="s">
        <v>168</v>
      </c>
      <c r="BK99" s="13" t="s">
        <v>169</v>
      </c>
    </row>
    <row r="100" spans="1:63" x14ac:dyDescent="0.3">
      <c r="A100" t="s">
        <v>523</v>
      </c>
      <c r="B100" t="s">
        <v>128</v>
      </c>
      <c r="C100" s="21" t="s">
        <v>144</v>
      </c>
      <c r="D100" s="21" t="s">
        <v>128</v>
      </c>
      <c r="E100" t="s">
        <v>157</v>
      </c>
      <c r="F100" t="s">
        <v>99</v>
      </c>
      <c r="G100" t="s">
        <v>100</v>
      </c>
      <c r="J100" s="21" t="s">
        <v>197</v>
      </c>
      <c r="L100" s="21" t="s">
        <v>105</v>
      </c>
      <c r="M100" t="s">
        <v>127</v>
      </c>
      <c r="N100" t="s">
        <v>113</v>
      </c>
      <c r="O100" t="s">
        <v>118</v>
      </c>
      <c r="P100" t="s">
        <v>158</v>
      </c>
      <c r="Q100" t="s">
        <v>158</v>
      </c>
      <c r="R100" t="s">
        <v>154</v>
      </c>
      <c r="BI100" t="s">
        <v>167</v>
      </c>
      <c r="BJ100" t="s">
        <v>168</v>
      </c>
      <c r="BK100" s="13" t="s">
        <v>169</v>
      </c>
    </row>
    <row r="102" spans="1:63" x14ac:dyDescent="0.3">
      <c r="A102" t="s">
        <v>77</v>
      </c>
    </row>
    <row r="103" spans="1:63" x14ac:dyDescent="0.3">
      <c r="B103" s="21" t="s">
        <v>15</v>
      </c>
      <c r="C103" s="21" t="s">
        <v>14</v>
      </c>
      <c r="D103" t="s">
        <v>16</v>
      </c>
      <c r="E103" t="s">
        <v>557</v>
      </c>
      <c r="F103" t="s">
        <v>19</v>
      </c>
      <c r="G103" t="s">
        <v>20</v>
      </c>
      <c r="H103" t="s">
        <v>22</v>
      </c>
      <c r="I103" t="s">
        <v>24</v>
      </c>
      <c r="J103" t="s">
        <v>53</v>
      </c>
      <c r="K103" t="s">
        <v>27</v>
      </c>
      <c r="L103" t="s">
        <v>28</v>
      </c>
      <c r="M103" s="12" t="s">
        <v>123</v>
      </c>
      <c r="N103" t="s">
        <v>108</v>
      </c>
      <c r="O103" t="s">
        <v>117</v>
      </c>
      <c r="P103" t="s">
        <v>150</v>
      </c>
      <c r="Q103" t="s">
        <v>151</v>
      </c>
      <c r="R103" t="s">
        <v>152</v>
      </c>
      <c r="S103" t="s">
        <v>67</v>
      </c>
      <c r="T103" t="s">
        <v>68</v>
      </c>
      <c r="U103" t="s">
        <v>56</v>
      </c>
      <c r="V103" t="s">
        <v>57</v>
      </c>
      <c r="W103" t="s">
        <v>58</v>
      </c>
      <c r="X103" t="s">
        <v>59</v>
      </c>
      <c r="Y103" t="s">
        <v>60</v>
      </c>
      <c r="Z103" t="s">
        <v>62</v>
      </c>
      <c r="AA103" t="s">
        <v>61</v>
      </c>
      <c r="AB103" t="s">
        <v>63</v>
      </c>
      <c r="AC103" s="21" t="s">
        <v>659</v>
      </c>
      <c r="AD103" s="21" t="s">
        <v>603</v>
      </c>
      <c r="AE103" s="21" t="s">
        <v>604</v>
      </c>
      <c r="AF103" s="21" t="s">
        <v>605</v>
      </c>
      <c r="AG103" s="21" t="s">
        <v>606</v>
      </c>
      <c r="AH103" s="21" t="s">
        <v>607</v>
      </c>
      <c r="AI103" s="21" t="s">
        <v>608</v>
      </c>
      <c r="AJ103" s="21" t="s">
        <v>609</v>
      </c>
      <c r="AK103" s="21" t="s">
        <v>610</v>
      </c>
      <c r="AL103" s="21" t="s">
        <v>611</v>
      </c>
      <c r="AM103" s="21" t="s">
        <v>612</v>
      </c>
      <c r="AN103" s="21" t="s">
        <v>56</v>
      </c>
      <c r="AO103" s="21" t="s">
        <v>613</v>
      </c>
      <c r="AP103" s="21" t="s">
        <v>614</v>
      </c>
      <c r="AQ103" s="21" t="s">
        <v>615</v>
      </c>
      <c r="AR103" s="21" t="s">
        <v>616</v>
      </c>
      <c r="AS103" s="21" t="s">
        <v>617</v>
      </c>
      <c r="AT103" s="21" t="s">
        <v>618</v>
      </c>
      <c r="AU103" s="21" t="s">
        <v>619</v>
      </c>
      <c r="AV103" s="21" t="s">
        <v>622</v>
      </c>
      <c r="AW103" s="21" t="s">
        <v>620</v>
      </c>
      <c r="AX103" s="21" t="s">
        <v>621</v>
      </c>
      <c r="AY103" s="21" t="s">
        <v>623</v>
      </c>
      <c r="AZ103" s="21" t="s">
        <v>624</v>
      </c>
      <c r="BA103" s="21" t="s">
        <v>625</v>
      </c>
      <c r="BB103" s="21" t="s">
        <v>626</v>
      </c>
      <c r="BC103" s="21" t="s">
        <v>581</v>
      </c>
      <c r="BD103" s="21" t="s">
        <v>583</v>
      </c>
      <c r="BE103" s="21" t="s">
        <v>582</v>
      </c>
      <c r="BF103" s="21" t="s">
        <v>629</v>
      </c>
      <c r="BG103" s="21" t="s">
        <v>627</v>
      </c>
      <c r="BH103" s="21" t="s">
        <v>628</v>
      </c>
      <c r="BI103" t="s">
        <v>29</v>
      </c>
      <c r="BJ103" t="s">
        <v>30</v>
      </c>
      <c r="BK103" t="s">
        <v>31</v>
      </c>
    </row>
    <row r="104" spans="1:63" x14ac:dyDescent="0.3">
      <c r="A104" t="s">
        <v>688</v>
      </c>
      <c r="B104" t="s">
        <v>77</v>
      </c>
      <c r="C104" s="21" t="s">
        <v>78</v>
      </c>
      <c r="D104" t="s">
        <v>77</v>
      </c>
      <c r="E104" t="s">
        <v>78</v>
      </c>
      <c r="F104" t="s">
        <v>78</v>
      </c>
      <c r="G104" t="s">
        <v>78</v>
      </c>
      <c r="J104" t="s">
        <v>77</v>
      </c>
      <c r="K104" t="s">
        <v>78</v>
      </c>
      <c r="L104" t="s">
        <v>101</v>
      </c>
      <c r="M104" t="s">
        <v>77</v>
      </c>
      <c r="N104" t="s">
        <v>110</v>
      </c>
      <c r="O104" t="s">
        <v>110</v>
      </c>
      <c r="P104" t="s">
        <v>77</v>
      </c>
      <c r="Q104" t="s">
        <v>77</v>
      </c>
      <c r="R104" t="s">
        <v>78</v>
      </c>
      <c r="S104" t="s">
        <v>78</v>
      </c>
      <c r="T104" t="s">
        <v>78</v>
      </c>
      <c r="U104" t="s">
        <v>78</v>
      </c>
      <c r="V104" t="s">
        <v>78</v>
      </c>
      <c r="W104" t="s">
        <v>78</v>
      </c>
      <c r="X104" t="s">
        <v>78</v>
      </c>
      <c r="Y104" t="s">
        <v>78</v>
      </c>
      <c r="Z104" t="s">
        <v>78</v>
      </c>
      <c r="AA104" t="s">
        <v>78</v>
      </c>
      <c r="AB104" t="s">
        <v>78</v>
      </c>
      <c r="AC104" s="21" t="s">
        <v>78</v>
      </c>
      <c r="AD104" s="21" t="s">
        <v>78</v>
      </c>
      <c r="AE104" s="21" t="s">
        <v>78</v>
      </c>
      <c r="AF104" s="21" t="s">
        <v>78</v>
      </c>
      <c r="AG104" s="21" t="s">
        <v>78</v>
      </c>
      <c r="AH104" s="21" t="s">
        <v>78</v>
      </c>
      <c r="AI104" s="21" t="s">
        <v>78</v>
      </c>
      <c r="AJ104" s="21" t="s">
        <v>78</v>
      </c>
      <c r="AK104" s="21" t="s">
        <v>78</v>
      </c>
      <c r="AL104" s="21" t="s">
        <v>78</v>
      </c>
      <c r="AM104" s="21" t="s">
        <v>78</v>
      </c>
      <c r="AN104" s="21" t="s">
        <v>78</v>
      </c>
      <c r="AO104" s="21" t="s">
        <v>78</v>
      </c>
      <c r="AP104" s="21" t="s">
        <v>78</v>
      </c>
      <c r="AQ104" s="21" t="s">
        <v>78</v>
      </c>
      <c r="AR104" s="21" t="s">
        <v>78</v>
      </c>
      <c r="AS104" s="21" t="s">
        <v>78</v>
      </c>
      <c r="AT104" s="21" t="s">
        <v>78</v>
      </c>
      <c r="AU104" s="21" t="s">
        <v>78</v>
      </c>
      <c r="AV104" s="21" t="s">
        <v>78</v>
      </c>
      <c r="AW104" s="21" t="s">
        <v>78</v>
      </c>
      <c r="AX104" s="21" t="s">
        <v>78</v>
      </c>
      <c r="AY104" s="21" t="s">
        <v>78</v>
      </c>
      <c r="AZ104" s="21" t="s">
        <v>78</v>
      </c>
      <c r="BA104" s="21" t="s">
        <v>78</v>
      </c>
      <c r="BB104" s="21" t="s">
        <v>78</v>
      </c>
      <c r="BC104" s="21" t="s">
        <v>78</v>
      </c>
      <c r="BD104" s="21" t="s">
        <v>78</v>
      </c>
      <c r="BE104" s="21" t="s">
        <v>78</v>
      </c>
      <c r="BF104" s="21" t="s">
        <v>78</v>
      </c>
      <c r="BG104" s="21" t="s">
        <v>78</v>
      </c>
      <c r="BH104" s="21" t="s">
        <v>78</v>
      </c>
      <c r="BI104" t="s">
        <v>78</v>
      </c>
      <c r="BJ104" t="s">
        <v>78</v>
      </c>
      <c r="BK104" t="s">
        <v>78</v>
      </c>
    </row>
    <row r="105" spans="1:63" x14ac:dyDescent="0.3">
      <c r="A105" t="s">
        <v>33</v>
      </c>
      <c r="B105" t="s">
        <v>77</v>
      </c>
      <c r="C105" s="21" t="s">
        <v>78</v>
      </c>
      <c r="D105" t="s">
        <v>77</v>
      </c>
      <c r="F105" t="s">
        <v>78</v>
      </c>
      <c r="G105" t="s">
        <v>78</v>
      </c>
      <c r="J105" t="s">
        <v>77</v>
      </c>
      <c r="K105" t="s">
        <v>78</v>
      </c>
      <c r="L105" t="s">
        <v>101</v>
      </c>
      <c r="M105" t="s">
        <v>77</v>
      </c>
      <c r="N105" t="s">
        <v>110</v>
      </c>
      <c r="O105" t="s">
        <v>110</v>
      </c>
      <c r="P105" t="s">
        <v>77</v>
      </c>
      <c r="R105" t="s">
        <v>78</v>
      </c>
      <c r="S105" t="s">
        <v>78</v>
      </c>
      <c r="T105" t="s">
        <v>78</v>
      </c>
      <c r="U105" t="s">
        <v>78</v>
      </c>
      <c r="V105" t="s">
        <v>78</v>
      </c>
      <c r="W105" t="s">
        <v>78</v>
      </c>
      <c r="X105" t="s">
        <v>78</v>
      </c>
      <c r="Y105" t="s">
        <v>78</v>
      </c>
      <c r="Z105" t="s">
        <v>78</v>
      </c>
      <c r="AA105" t="s">
        <v>78</v>
      </c>
      <c r="AB105" t="s">
        <v>78</v>
      </c>
      <c r="AC105" s="21" t="s">
        <v>78</v>
      </c>
      <c r="AD105" s="21" t="s">
        <v>78</v>
      </c>
      <c r="AE105" s="21" t="s">
        <v>78</v>
      </c>
      <c r="AF105" s="21" t="s">
        <v>78</v>
      </c>
      <c r="AG105" s="21" t="s">
        <v>78</v>
      </c>
      <c r="AH105" s="21" t="s">
        <v>78</v>
      </c>
      <c r="AI105" s="21" t="s">
        <v>78</v>
      </c>
      <c r="AJ105" s="21" t="s">
        <v>78</v>
      </c>
      <c r="AK105" s="21" t="s">
        <v>78</v>
      </c>
      <c r="AL105" s="21" t="s">
        <v>78</v>
      </c>
      <c r="AM105" s="21" t="s">
        <v>78</v>
      </c>
      <c r="AN105" s="21" t="s">
        <v>78</v>
      </c>
      <c r="AO105" s="21" t="s">
        <v>78</v>
      </c>
      <c r="AP105" s="21" t="s">
        <v>78</v>
      </c>
      <c r="AQ105" s="21" t="s">
        <v>78</v>
      </c>
      <c r="AR105" s="21" t="s">
        <v>78</v>
      </c>
      <c r="AS105" s="21" t="s">
        <v>78</v>
      </c>
      <c r="AT105" s="21" t="s">
        <v>78</v>
      </c>
      <c r="AU105" s="21" t="s">
        <v>78</v>
      </c>
      <c r="AV105" s="21" t="s">
        <v>78</v>
      </c>
      <c r="AW105" s="21" t="s">
        <v>78</v>
      </c>
      <c r="AX105" s="21" t="s">
        <v>78</v>
      </c>
      <c r="AY105" s="21" t="s">
        <v>78</v>
      </c>
      <c r="AZ105" s="21" t="s">
        <v>78</v>
      </c>
      <c r="BA105" s="21" t="s">
        <v>78</v>
      </c>
      <c r="BB105" s="21" t="s">
        <v>78</v>
      </c>
      <c r="BC105" s="21" t="s">
        <v>78</v>
      </c>
      <c r="BD105" s="21" t="s">
        <v>78</v>
      </c>
      <c r="BE105" s="21" t="s">
        <v>78</v>
      </c>
      <c r="BF105" s="21" t="s">
        <v>78</v>
      </c>
      <c r="BG105" s="21" t="s">
        <v>78</v>
      </c>
      <c r="BH105" s="21" t="s">
        <v>78</v>
      </c>
      <c r="BI105" t="s">
        <v>78</v>
      </c>
      <c r="BJ105" t="s">
        <v>78</v>
      </c>
      <c r="BK105" t="s">
        <v>78</v>
      </c>
    </row>
    <row r="106" spans="1:63" x14ac:dyDescent="0.3">
      <c r="A106" t="s">
        <v>517</v>
      </c>
      <c r="B106" t="s">
        <v>77</v>
      </c>
      <c r="C106" s="21" t="s">
        <v>78</v>
      </c>
      <c r="D106" t="s">
        <v>77</v>
      </c>
      <c r="E106" s="21" t="s">
        <v>78</v>
      </c>
      <c r="F106" t="s">
        <v>78</v>
      </c>
      <c r="G106" t="s">
        <v>78</v>
      </c>
      <c r="J106" t="s">
        <v>77</v>
      </c>
      <c r="K106" t="s">
        <v>78</v>
      </c>
      <c r="L106" t="s">
        <v>101</v>
      </c>
      <c r="M106" t="s">
        <v>77</v>
      </c>
      <c r="N106" t="s">
        <v>110</v>
      </c>
      <c r="O106" t="s">
        <v>110</v>
      </c>
      <c r="P106" t="s">
        <v>77</v>
      </c>
      <c r="Q106" t="s">
        <v>77</v>
      </c>
      <c r="R106" t="s">
        <v>78</v>
      </c>
      <c r="S106" t="s">
        <v>78</v>
      </c>
      <c r="T106" t="s">
        <v>78</v>
      </c>
      <c r="U106" t="s">
        <v>78</v>
      </c>
      <c r="V106" t="s">
        <v>78</v>
      </c>
      <c r="W106" t="s">
        <v>78</v>
      </c>
      <c r="X106" t="s">
        <v>78</v>
      </c>
      <c r="Y106" t="s">
        <v>78</v>
      </c>
      <c r="Z106" t="s">
        <v>78</v>
      </c>
      <c r="AA106" t="s">
        <v>78</v>
      </c>
      <c r="AB106" t="s">
        <v>78</v>
      </c>
      <c r="AC106" s="21" t="s">
        <v>78</v>
      </c>
      <c r="AD106" s="21" t="s">
        <v>78</v>
      </c>
      <c r="AE106" s="21" t="s">
        <v>78</v>
      </c>
      <c r="AF106" s="21" t="s">
        <v>78</v>
      </c>
      <c r="AG106" s="21" t="s">
        <v>78</v>
      </c>
      <c r="AH106" s="21" t="s">
        <v>78</v>
      </c>
      <c r="AI106" s="21" t="s">
        <v>78</v>
      </c>
      <c r="AJ106" s="21" t="s">
        <v>78</v>
      </c>
      <c r="AK106" s="21" t="s">
        <v>78</v>
      </c>
      <c r="AL106" s="21" t="s">
        <v>78</v>
      </c>
      <c r="AM106" s="21" t="s">
        <v>78</v>
      </c>
      <c r="AN106" s="21" t="s">
        <v>78</v>
      </c>
      <c r="AO106" s="21" t="s">
        <v>78</v>
      </c>
      <c r="AP106" s="21" t="s">
        <v>78</v>
      </c>
      <c r="AQ106" s="21" t="s">
        <v>78</v>
      </c>
      <c r="AR106" s="21" t="s">
        <v>78</v>
      </c>
      <c r="AS106" s="21" t="s">
        <v>78</v>
      </c>
      <c r="AT106" s="21" t="s">
        <v>78</v>
      </c>
      <c r="AU106" s="21" t="s">
        <v>78</v>
      </c>
      <c r="AV106" s="21" t="s">
        <v>78</v>
      </c>
      <c r="AW106" s="21" t="s">
        <v>78</v>
      </c>
      <c r="AX106" s="21" t="s">
        <v>78</v>
      </c>
      <c r="AY106" s="21" t="s">
        <v>78</v>
      </c>
      <c r="AZ106" s="21" t="s">
        <v>78</v>
      </c>
      <c r="BA106" s="21" t="s">
        <v>78</v>
      </c>
      <c r="BB106" s="21" t="s">
        <v>78</v>
      </c>
      <c r="BC106" s="21" t="s">
        <v>78</v>
      </c>
      <c r="BD106" s="21" t="s">
        <v>78</v>
      </c>
      <c r="BE106" s="21" t="s">
        <v>78</v>
      </c>
      <c r="BF106" s="21" t="s">
        <v>78</v>
      </c>
      <c r="BG106" s="21" t="s">
        <v>78</v>
      </c>
      <c r="BH106" s="21" t="s">
        <v>78</v>
      </c>
      <c r="BI106" t="s">
        <v>78</v>
      </c>
      <c r="BJ106" t="s">
        <v>78</v>
      </c>
      <c r="BK106" t="s">
        <v>78</v>
      </c>
    </row>
    <row r="107" spans="1:63" x14ac:dyDescent="0.3">
      <c r="A107" t="s">
        <v>518</v>
      </c>
      <c r="B107" t="s">
        <v>77</v>
      </c>
      <c r="C107" s="21" t="s">
        <v>78</v>
      </c>
      <c r="D107" t="s">
        <v>77</v>
      </c>
      <c r="E107" s="21" t="s">
        <v>78</v>
      </c>
      <c r="F107" t="s">
        <v>78</v>
      </c>
      <c r="G107" t="s">
        <v>78</v>
      </c>
      <c r="J107" t="s">
        <v>77</v>
      </c>
      <c r="K107" t="s">
        <v>78</v>
      </c>
      <c r="L107" t="s">
        <v>101</v>
      </c>
      <c r="M107" t="s">
        <v>77</v>
      </c>
      <c r="N107" t="s">
        <v>110</v>
      </c>
      <c r="O107" t="s">
        <v>110</v>
      </c>
      <c r="P107" t="s">
        <v>77</v>
      </c>
      <c r="Q107" t="s">
        <v>77</v>
      </c>
      <c r="R107" t="s">
        <v>78</v>
      </c>
      <c r="S107" t="s">
        <v>78</v>
      </c>
      <c r="T107" t="s">
        <v>78</v>
      </c>
      <c r="U107" t="s">
        <v>78</v>
      </c>
      <c r="V107" t="s">
        <v>78</v>
      </c>
      <c r="W107" t="s">
        <v>78</v>
      </c>
      <c r="X107" t="s">
        <v>78</v>
      </c>
      <c r="Y107" t="s">
        <v>78</v>
      </c>
      <c r="Z107" t="s">
        <v>78</v>
      </c>
      <c r="AA107" t="s">
        <v>78</v>
      </c>
      <c r="AB107" t="s">
        <v>78</v>
      </c>
      <c r="AC107" s="21" t="s">
        <v>78</v>
      </c>
      <c r="AD107" s="21" t="s">
        <v>78</v>
      </c>
      <c r="AE107" s="21" t="s">
        <v>78</v>
      </c>
      <c r="AF107" s="21" t="s">
        <v>78</v>
      </c>
      <c r="AG107" s="21" t="s">
        <v>78</v>
      </c>
      <c r="AH107" s="21" t="s">
        <v>78</v>
      </c>
      <c r="AI107" s="21" t="s">
        <v>78</v>
      </c>
      <c r="AJ107" s="21" t="s">
        <v>78</v>
      </c>
      <c r="AK107" s="21" t="s">
        <v>78</v>
      </c>
      <c r="AL107" s="21" t="s">
        <v>78</v>
      </c>
      <c r="AM107" s="21" t="s">
        <v>78</v>
      </c>
      <c r="AN107" s="21" t="s">
        <v>78</v>
      </c>
      <c r="AO107" s="21" t="s">
        <v>78</v>
      </c>
      <c r="AP107" s="21" t="s">
        <v>78</v>
      </c>
      <c r="AQ107" s="21" t="s">
        <v>78</v>
      </c>
      <c r="AR107" s="21" t="s">
        <v>78</v>
      </c>
      <c r="AS107" s="21" t="s">
        <v>78</v>
      </c>
      <c r="AT107" s="21" t="s">
        <v>78</v>
      </c>
      <c r="AU107" s="21" t="s">
        <v>78</v>
      </c>
      <c r="AV107" s="21" t="s">
        <v>78</v>
      </c>
      <c r="AW107" s="21" t="s">
        <v>78</v>
      </c>
      <c r="AX107" s="21" t="s">
        <v>78</v>
      </c>
      <c r="AY107" s="21" t="s">
        <v>78</v>
      </c>
      <c r="AZ107" s="21" t="s">
        <v>78</v>
      </c>
      <c r="BA107" s="21" t="s">
        <v>78</v>
      </c>
      <c r="BB107" s="21" t="s">
        <v>78</v>
      </c>
      <c r="BC107" s="21" t="s">
        <v>78</v>
      </c>
      <c r="BD107" s="21" t="s">
        <v>78</v>
      </c>
      <c r="BE107" s="21" t="s">
        <v>78</v>
      </c>
      <c r="BF107" s="21" t="s">
        <v>78</v>
      </c>
      <c r="BG107" s="21" t="s">
        <v>78</v>
      </c>
      <c r="BH107" s="21" t="s">
        <v>78</v>
      </c>
      <c r="BI107" t="s">
        <v>78</v>
      </c>
      <c r="BJ107" t="s">
        <v>78</v>
      </c>
      <c r="BK107" t="s">
        <v>78</v>
      </c>
    </row>
    <row r="108" spans="1:63" x14ac:dyDescent="0.3">
      <c r="A108" t="s">
        <v>524</v>
      </c>
      <c r="B108" t="s">
        <v>77</v>
      </c>
      <c r="C108" s="21" t="s">
        <v>78</v>
      </c>
      <c r="D108" t="s">
        <v>77</v>
      </c>
      <c r="E108" s="21" t="s">
        <v>78</v>
      </c>
      <c r="F108" t="s">
        <v>78</v>
      </c>
      <c r="G108" t="s">
        <v>78</v>
      </c>
      <c r="J108" t="s">
        <v>77</v>
      </c>
      <c r="K108" t="s">
        <v>78</v>
      </c>
      <c r="L108" t="s">
        <v>101</v>
      </c>
      <c r="M108" t="s">
        <v>77</v>
      </c>
      <c r="N108" t="s">
        <v>110</v>
      </c>
      <c r="O108" t="s">
        <v>110</v>
      </c>
      <c r="P108" t="s">
        <v>77</v>
      </c>
      <c r="Q108" t="s">
        <v>77</v>
      </c>
      <c r="R108" t="s">
        <v>78</v>
      </c>
      <c r="S108" t="s">
        <v>78</v>
      </c>
      <c r="T108" t="s">
        <v>78</v>
      </c>
      <c r="U108" t="s">
        <v>78</v>
      </c>
      <c r="V108" t="s">
        <v>78</v>
      </c>
      <c r="W108" t="s">
        <v>78</v>
      </c>
      <c r="X108" t="s">
        <v>78</v>
      </c>
      <c r="Y108" t="s">
        <v>78</v>
      </c>
      <c r="Z108" t="s">
        <v>78</v>
      </c>
      <c r="AA108" t="s">
        <v>78</v>
      </c>
      <c r="AB108" t="s">
        <v>78</v>
      </c>
      <c r="AC108" s="21" t="s">
        <v>78</v>
      </c>
      <c r="AD108" s="21" t="s">
        <v>78</v>
      </c>
      <c r="AE108" s="21" t="s">
        <v>78</v>
      </c>
      <c r="AF108" s="21" t="s">
        <v>78</v>
      </c>
      <c r="AG108" s="21" t="s">
        <v>78</v>
      </c>
      <c r="AH108" s="21" t="s">
        <v>78</v>
      </c>
      <c r="AI108" s="21" t="s">
        <v>78</v>
      </c>
      <c r="AJ108" s="21" t="s">
        <v>78</v>
      </c>
      <c r="AK108" s="21" t="s">
        <v>78</v>
      </c>
      <c r="AL108" s="21" t="s">
        <v>78</v>
      </c>
      <c r="AM108" s="21" t="s">
        <v>78</v>
      </c>
      <c r="AN108" s="21" t="s">
        <v>78</v>
      </c>
      <c r="AO108" s="21" t="s">
        <v>78</v>
      </c>
      <c r="AP108" s="21" t="s">
        <v>78</v>
      </c>
      <c r="AQ108" s="21" t="s">
        <v>78</v>
      </c>
      <c r="AR108" s="21" t="s">
        <v>78</v>
      </c>
      <c r="AS108" s="21" t="s">
        <v>78</v>
      </c>
      <c r="AT108" s="21" t="s">
        <v>78</v>
      </c>
      <c r="AU108" s="21" t="s">
        <v>78</v>
      </c>
      <c r="AV108" s="21" t="s">
        <v>78</v>
      </c>
      <c r="AW108" s="21" t="s">
        <v>78</v>
      </c>
      <c r="AX108" s="21" t="s">
        <v>78</v>
      </c>
      <c r="AY108" s="21" t="s">
        <v>78</v>
      </c>
      <c r="AZ108" s="21" t="s">
        <v>78</v>
      </c>
      <c r="BA108" s="21" t="s">
        <v>78</v>
      </c>
      <c r="BB108" s="21" t="s">
        <v>78</v>
      </c>
      <c r="BC108" s="21" t="s">
        <v>78</v>
      </c>
      <c r="BD108" s="21" t="s">
        <v>78</v>
      </c>
      <c r="BE108" s="21" t="s">
        <v>78</v>
      </c>
      <c r="BF108" s="21" t="s">
        <v>78</v>
      </c>
      <c r="BG108" s="21" t="s">
        <v>78</v>
      </c>
      <c r="BH108" s="21" t="s">
        <v>78</v>
      </c>
      <c r="BI108" t="s">
        <v>78</v>
      </c>
      <c r="BJ108" t="s">
        <v>78</v>
      </c>
      <c r="BK108" t="s">
        <v>78</v>
      </c>
    </row>
    <row r="109" spans="1:63" x14ac:dyDescent="0.3">
      <c r="A109" t="s">
        <v>519</v>
      </c>
      <c r="B109" t="s">
        <v>77</v>
      </c>
      <c r="C109" s="21" t="s">
        <v>78</v>
      </c>
      <c r="D109" t="s">
        <v>77</v>
      </c>
      <c r="E109" t="s">
        <v>77</v>
      </c>
      <c r="F109" t="s">
        <v>78</v>
      </c>
      <c r="G109" t="s">
        <v>78</v>
      </c>
      <c r="K109" t="s">
        <v>78</v>
      </c>
      <c r="L109" t="s">
        <v>101</v>
      </c>
      <c r="M109" t="s">
        <v>77</v>
      </c>
      <c r="N109" t="s">
        <v>110</v>
      </c>
      <c r="P109" t="s">
        <v>77</v>
      </c>
      <c r="Q109" s="21" t="s">
        <v>77</v>
      </c>
      <c r="R109" t="s">
        <v>78</v>
      </c>
      <c r="S109" t="s">
        <v>78</v>
      </c>
      <c r="T109" t="s">
        <v>78</v>
      </c>
      <c r="U109" t="s">
        <v>78</v>
      </c>
      <c r="V109" t="s">
        <v>78</v>
      </c>
      <c r="W109" t="s">
        <v>78</v>
      </c>
      <c r="X109" t="s">
        <v>78</v>
      </c>
      <c r="Y109" t="s">
        <v>78</v>
      </c>
      <c r="Z109" t="s">
        <v>78</v>
      </c>
      <c r="AA109" t="s">
        <v>78</v>
      </c>
      <c r="AB109" t="s">
        <v>78</v>
      </c>
      <c r="AC109" s="21" t="s">
        <v>78</v>
      </c>
      <c r="AD109" s="21" t="s">
        <v>78</v>
      </c>
      <c r="AE109" s="21" t="s">
        <v>78</v>
      </c>
      <c r="AF109" s="21" t="s">
        <v>78</v>
      </c>
      <c r="AG109" s="21" t="s">
        <v>78</v>
      </c>
      <c r="AH109" s="21" t="s">
        <v>78</v>
      </c>
      <c r="AI109" s="21" t="s">
        <v>78</v>
      </c>
      <c r="AJ109" s="21" t="s">
        <v>78</v>
      </c>
      <c r="AK109" s="21" t="s">
        <v>78</v>
      </c>
      <c r="AL109" s="21" t="s">
        <v>78</v>
      </c>
      <c r="AM109" s="21" t="s">
        <v>78</v>
      </c>
      <c r="AN109" s="21" t="s">
        <v>78</v>
      </c>
      <c r="AO109" s="21" t="s">
        <v>78</v>
      </c>
      <c r="AP109" s="21" t="s">
        <v>78</v>
      </c>
      <c r="AQ109" s="21" t="s">
        <v>78</v>
      </c>
      <c r="AR109" s="21" t="s">
        <v>78</v>
      </c>
      <c r="AS109" s="21" t="s">
        <v>78</v>
      </c>
      <c r="AT109" s="21" t="s">
        <v>78</v>
      </c>
      <c r="AU109" s="21" t="s">
        <v>78</v>
      </c>
      <c r="AV109" s="21" t="s">
        <v>78</v>
      </c>
      <c r="AW109" s="21" t="s">
        <v>78</v>
      </c>
      <c r="AX109" s="21" t="s">
        <v>78</v>
      </c>
      <c r="AY109" s="21" t="s">
        <v>78</v>
      </c>
      <c r="AZ109" s="21" t="s">
        <v>78</v>
      </c>
      <c r="BA109" s="21" t="s">
        <v>78</v>
      </c>
      <c r="BB109" s="21" t="s">
        <v>78</v>
      </c>
      <c r="BC109" s="21" t="s">
        <v>78</v>
      </c>
      <c r="BD109" s="21" t="s">
        <v>78</v>
      </c>
      <c r="BE109" s="21" t="s">
        <v>78</v>
      </c>
      <c r="BF109" s="21" t="s">
        <v>78</v>
      </c>
      <c r="BG109" s="21" t="s">
        <v>78</v>
      </c>
      <c r="BH109" s="21" t="s">
        <v>78</v>
      </c>
      <c r="BI109" t="s">
        <v>78</v>
      </c>
      <c r="BJ109" t="s">
        <v>78</v>
      </c>
      <c r="BK109" t="s">
        <v>78</v>
      </c>
    </row>
    <row r="110" spans="1:63" x14ac:dyDescent="0.3">
      <c r="A110" t="s">
        <v>645</v>
      </c>
      <c r="B110" t="s">
        <v>77</v>
      </c>
      <c r="C110" s="21" t="s">
        <v>78</v>
      </c>
      <c r="D110" t="s">
        <v>77</v>
      </c>
      <c r="I110" t="s">
        <v>78</v>
      </c>
      <c r="K110" t="s">
        <v>78</v>
      </c>
      <c r="L110" s="21" t="s">
        <v>101</v>
      </c>
      <c r="M110" t="s">
        <v>77</v>
      </c>
      <c r="N110" t="s">
        <v>110</v>
      </c>
      <c r="O110" t="s">
        <v>110</v>
      </c>
      <c r="R110" t="s">
        <v>78</v>
      </c>
      <c r="S110" t="s">
        <v>78</v>
      </c>
      <c r="T110" t="s">
        <v>78</v>
      </c>
      <c r="U110" t="s">
        <v>78</v>
      </c>
      <c r="V110" t="s">
        <v>78</v>
      </c>
      <c r="W110" t="s">
        <v>78</v>
      </c>
      <c r="X110" t="s">
        <v>78</v>
      </c>
      <c r="Y110" t="s">
        <v>78</v>
      </c>
      <c r="Z110" t="s">
        <v>78</v>
      </c>
      <c r="AA110" t="s">
        <v>78</v>
      </c>
      <c r="AB110" t="s">
        <v>78</v>
      </c>
      <c r="AC110" s="21" t="s">
        <v>78</v>
      </c>
      <c r="AD110" s="21" t="s">
        <v>78</v>
      </c>
      <c r="AE110" s="21" t="s">
        <v>78</v>
      </c>
      <c r="AF110" s="21" t="s">
        <v>78</v>
      </c>
      <c r="AG110" s="21" t="s">
        <v>78</v>
      </c>
      <c r="AH110" s="21" t="s">
        <v>78</v>
      </c>
      <c r="AI110" s="21" t="s">
        <v>78</v>
      </c>
      <c r="AJ110" s="21" t="s">
        <v>78</v>
      </c>
      <c r="AK110" s="21" t="s">
        <v>78</v>
      </c>
      <c r="AL110" s="21" t="s">
        <v>78</v>
      </c>
      <c r="AM110" s="21" t="s">
        <v>78</v>
      </c>
      <c r="AN110" s="21" t="s">
        <v>78</v>
      </c>
      <c r="AO110" s="21" t="s">
        <v>78</v>
      </c>
      <c r="AP110" s="21" t="s">
        <v>78</v>
      </c>
      <c r="AQ110" s="21" t="s">
        <v>78</v>
      </c>
      <c r="AR110" s="21" t="s">
        <v>78</v>
      </c>
      <c r="AS110" s="21" t="s">
        <v>78</v>
      </c>
      <c r="AT110" s="21" t="s">
        <v>78</v>
      </c>
      <c r="AU110" s="21" t="s">
        <v>78</v>
      </c>
      <c r="AV110" s="21" t="s">
        <v>78</v>
      </c>
      <c r="AW110" s="21" t="s">
        <v>78</v>
      </c>
      <c r="AX110" s="21" t="s">
        <v>78</v>
      </c>
      <c r="AY110" s="21" t="s">
        <v>78</v>
      </c>
      <c r="AZ110" s="21" t="s">
        <v>78</v>
      </c>
      <c r="BA110" s="21" t="s">
        <v>78</v>
      </c>
      <c r="BB110" s="21" t="s">
        <v>78</v>
      </c>
      <c r="BC110" s="21" t="s">
        <v>78</v>
      </c>
      <c r="BD110" s="21" t="s">
        <v>78</v>
      </c>
      <c r="BE110" s="21" t="s">
        <v>78</v>
      </c>
      <c r="BF110" s="21" t="s">
        <v>78</v>
      </c>
      <c r="BG110" s="21" t="s">
        <v>78</v>
      </c>
      <c r="BH110" s="21" t="s">
        <v>78</v>
      </c>
      <c r="BI110" t="s">
        <v>78</v>
      </c>
      <c r="BJ110" t="s">
        <v>78</v>
      </c>
      <c r="BK110" t="s">
        <v>78</v>
      </c>
    </row>
    <row r="111" spans="1:63" x14ac:dyDescent="0.3">
      <c r="A111" t="s">
        <v>646</v>
      </c>
      <c r="B111" t="s">
        <v>77</v>
      </c>
      <c r="C111" s="21" t="s">
        <v>78</v>
      </c>
      <c r="D111" t="s">
        <v>77</v>
      </c>
      <c r="I111" t="s">
        <v>78</v>
      </c>
      <c r="K111" t="s">
        <v>78</v>
      </c>
      <c r="L111" s="21" t="s">
        <v>101</v>
      </c>
      <c r="M111" t="s">
        <v>77</v>
      </c>
      <c r="N111" t="s">
        <v>110</v>
      </c>
      <c r="O111" t="s">
        <v>110</v>
      </c>
      <c r="R111" t="s">
        <v>78</v>
      </c>
      <c r="S111" t="s">
        <v>78</v>
      </c>
      <c r="T111" t="s">
        <v>78</v>
      </c>
      <c r="U111" t="s">
        <v>78</v>
      </c>
      <c r="V111" t="s">
        <v>78</v>
      </c>
      <c r="W111" t="s">
        <v>78</v>
      </c>
      <c r="X111" t="s">
        <v>78</v>
      </c>
      <c r="Y111" t="s">
        <v>78</v>
      </c>
      <c r="Z111" t="s">
        <v>78</v>
      </c>
      <c r="AA111" t="s">
        <v>78</v>
      </c>
      <c r="AB111" t="s">
        <v>78</v>
      </c>
      <c r="AC111" s="21" t="s">
        <v>78</v>
      </c>
      <c r="AD111" s="21" t="s">
        <v>78</v>
      </c>
      <c r="AE111" s="21" t="s">
        <v>78</v>
      </c>
      <c r="AF111" s="21" t="s">
        <v>78</v>
      </c>
      <c r="AG111" s="21" t="s">
        <v>78</v>
      </c>
      <c r="AH111" s="21" t="s">
        <v>78</v>
      </c>
      <c r="AI111" s="21" t="s">
        <v>78</v>
      </c>
      <c r="AJ111" s="21" t="s">
        <v>78</v>
      </c>
      <c r="AK111" s="21" t="s">
        <v>78</v>
      </c>
      <c r="AL111" s="21" t="s">
        <v>78</v>
      </c>
      <c r="AM111" s="21" t="s">
        <v>78</v>
      </c>
      <c r="AN111" s="21" t="s">
        <v>78</v>
      </c>
      <c r="AO111" s="21" t="s">
        <v>78</v>
      </c>
      <c r="AP111" s="21" t="s">
        <v>78</v>
      </c>
      <c r="AQ111" s="21" t="s">
        <v>78</v>
      </c>
      <c r="AR111" s="21" t="s">
        <v>78</v>
      </c>
      <c r="AS111" s="21" t="s">
        <v>78</v>
      </c>
      <c r="AT111" s="21" t="s">
        <v>78</v>
      </c>
      <c r="AU111" s="21" t="s">
        <v>78</v>
      </c>
      <c r="AV111" s="21" t="s">
        <v>78</v>
      </c>
      <c r="AW111" s="21" t="s">
        <v>78</v>
      </c>
      <c r="AX111" s="21" t="s">
        <v>78</v>
      </c>
      <c r="AY111" s="21" t="s">
        <v>78</v>
      </c>
      <c r="AZ111" s="21" t="s">
        <v>78</v>
      </c>
      <c r="BA111" s="21" t="s">
        <v>78</v>
      </c>
      <c r="BB111" s="21" t="s">
        <v>78</v>
      </c>
      <c r="BC111" s="21" t="s">
        <v>78</v>
      </c>
      <c r="BD111" s="21" t="s">
        <v>78</v>
      </c>
      <c r="BE111" s="21" t="s">
        <v>78</v>
      </c>
      <c r="BF111" s="21" t="s">
        <v>78</v>
      </c>
      <c r="BG111" s="21" t="s">
        <v>78</v>
      </c>
      <c r="BH111" s="21" t="s">
        <v>78</v>
      </c>
      <c r="BI111" t="s">
        <v>78</v>
      </c>
      <c r="BJ111" t="s">
        <v>78</v>
      </c>
      <c r="BK111" t="s">
        <v>78</v>
      </c>
    </row>
    <row r="112" spans="1:63" x14ac:dyDescent="0.3">
      <c r="A112" t="s">
        <v>647</v>
      </c>
      <c r="B112" t="s">
        <v>77</v>
      </c>
      <c r="C112" s="21" t="s">
        <v>78</v>
      </c>
      <c r="D112" t="s">
        <v>77</v>
      </c>
      <c r="I112" t="s">
        <v>78</v>
      </c>
      <c r="K112" t="s">
        <v>78</v>
      </c>
      <c r="L112" s="21" t="s">
        <v>101</v>
      </c>
      <c r="M112" t="s">
        <v>77</v>
      </c>
      <c r="N112" t="s">
        <v>110</v>
      </c>
      <c r="O112" t="s">
        <v>110</v>
      </c>
      <c r="R112" t="s">
        <v>78</v>
      </c>
      <c r="S112" t="s">
        <v>78</v>
      </c>
      <c r="T112" t="s">
        <v>78</v>
      </c>
      <c r="U112" t="s">
        <v>78</v>
      </c>
      <c r="V112" t="s">
        <v>78</v>
      </c>
      <c r="W112" t="s">
        <v>78</v>
      </c>
      <c r="X112" t="s">
        <v>78</v>
      </c>
      <c r="Y112" t="s">
        <v>78</v>
      </c>
      <c r="Z112" t="s">
        <v>78</v>
      </c>
      <c r="AA112" t="s">
        <v>78</v>
      </c>
      <c r="AB112" t="s">
        <v>78</v>
      </c>
      <c r="AC112" s="21" t="s">
        <v>78</v>
      </c>
      <c r="AD112" s="21" t="s">
        <v>78</v>
      </c>
      <c r="AE112" s="21" t="s">
        <v>78</v>
      </c>
      <c r="AF112" s="21" t="s">
        <v>78</v>
      </c>
      <c r="AG112" s="21" t="s">
        <v>78</v>
      </c>
      <c r="AH112" s="21" t="s">
        <v>78</v>
      </c>
      <c r="AI112" s="21" t="s">
        <v>78</v>
      </c>
      <c r="AJ112" s="21" t="s">
        <v>78</v>
      </c>
      <c r="AK112" s="21" t="s">
        <v>78</v>
      </c>
      <c r="AL112" s="21" t="s">
        <v>78</v>
      </c>
      <c r="AM112" s="21" t="s">
        <v>78</v>
      </c>
      <c r="AN112" s="21" t="s">
        <v>78</v>
      </c>
      <c r="AO112" s="21" t="s">
        <v>78</v>
      </c>
      <c r="AP112" s="21" t="s">
        <v>78</v>
      </c>
      <c r="AQ112" s="21" t="s">
        <v>78</v>
      </c>
      <c r="AR112" s="21" t="s">
        <v>78</v>
      </c>
      <c r="AS112" s="21" t="s">
        <v>78</v>
      </c>
      <c r="AT112" s="21" t="s">
        <v>78</v>
      </c>
      <c r="AU112" s="21" t="s">
        <v>78</v>
      </c>
      <c r="AV112" s="21" t="s">
        <v>78</v>
      </c>
      <c r="AW112" s="21" t="s">
        <v>78</v>
      </c>
      <c r="AX112" s="21" t="s">
        <v>78</v>
      </c>
      <c r="AY112" s="21" t="s">
        <v>78</v>
      </c>
      <c r="AZ112" s="21" t="s">
        <v>78</v>
      </c>
      <c r="BA112" s="21" t="s">
        <v>78</v>
      </c>
      <c r="BB112" s="21" t="s">
        <v>78</v>
      </c>
      <c r="BC112" s="21" t="s">
        <v>78</v>
      </c>
      <c r="BD112" s="21" t="s">
        <v>78</v>
      </c>
      <c r="BE112" s="21" t="s">
        <v>78</v>
      </c>
      <c r="BF112" s="21" t="s">
        <v>78</v>
      </c>
      <c r="BG112" s="21" t="s">
        <v>78</v>
      </c>
      <c r="BH112" s="21" t="s">
        <v>78</v>
      </c>
      <c r="BI112" t="s">
        <v>78</v>
      </c>
      <c r="BJ112" t="s">
        <v>78</v>
      </c>
      <c r="BK112" t="s">
        <v>78</v>
      </c>
    </row>
    <row r="113" spans="1:63" s="21" customFormat="1" x14ac:dyDescent="0.3">
      <c r="A113" s="21" t="s">
        <v>675</v>
      </c>
      <c r="B113" s="21" t="s">
        <v>77</v>
      </c>
      <c r="C113" s="21" t="s">
        <v>78</v>
      </c>
      <c r="D113" s="21" t="s">
        <v>77</v>
      </c>
      <c r="I113" s="21" t="s">
        <v>78</v>
      </c>
      <c r="K113" s="21" t="s">
        <v>78</v>
      </c>
      <c r="L113" s="21" t="s">
        <v>101</v>
      </c>
      <c r="M113" s="21" t="s">
        <v>77</v>
      </c>
      <c r="N113" s="21" t="s">
        <v>110</v>
      </c>
      <c r="O113" s="21" t="s">
        <v>110</v>
      </c>
      <c r="R113" s="21" t="s">
        <v>78</v>
      </c>
      <c r="S113" s="21" t="s">
        <v>78</v>
      </c>
      <c r="T113" s="21" t="s">
        <v>78</v>
      </c>
      <c r="U113" s="21" t="s">
        <v>78</v>
      </c>
      <c r="V113" s="21" t="s">
        <v>78</v>
      </c>
      <c r="W113" s="21" t="s">
        <v>78</v>
      </c>
      <c r="X113" s="21" t="s">
        <v>78</v>
      </c>
      <c r="Y113" s="21" t="s">
        <v>78</v>
      </c>
      <c r="Z113" s="21" t="s">
        <v>78</v>
      </c>
      <c r="AA113" s="21" t="s">
        <v>78</v>
      </c>
      <c r="AB113" s="21" t="s">
        <v>78</v>
      </c>
      <c r="AC113" s="21" t="s">
        <v>78</v>
      </c>
      <c r="AD113" s="21" t="s">
        <v>78</v>
      </c>
      <c r="AE113" s="21" t="s">
        <v>78</v>
      </c>
      <c r="AF113" s="21" t="s">
        <v>78</v>
      </c>
      <c r="AG113" s="21" t="s">
        <v>78</v>
      </c>
      <c r="AH113" s="21" t="s">
        <v>78</v>
      </c>
      <c r="AI113" s="21" t="s">
        <v>78</v>
      </c>
      <c r="AJ113" s="21" t="s">
        <v>78</v>
      </c>
      <c r="AK113" s="21" t="s">
        <v>78</v>
      </c>
      <c r="AL113" s="21" t="s">
        <v>78</v>
      </c>
      <c r="AM113" s="21" t="s">
        <v>78</v>
      </c>
      <c r="AN113" s="21" t="s">
        <v>78</v>
      </c>
      <c r="AO113" s="21" t="s">
        <v>78</v>
      </c>
      <c r="AP113" s="21" t="s">
        <v>78</v>
      </c>
      <c r="AQ113" s="21" t="s">
        <v>78</v>
      </c>
      <c r="AR113" s="21" t="s">
        <v>78</v>
      </c>
      <c r="AS113" s="21" t="s">
        <v>78</v>
      </c>
      <c r="AT113" s="21" t="s">
        <v>78</v>
      </c>
      <c r="AU113" s="21" t="s">
        <v>78</v>
      </c>
      <c r="AV113" s="21" t="s">
        <v>78</v>
      </c>
      <c r="AW113" s="21" t="s">
        <v>78</v>
      </c>
      <c r="AX113" s="21" t="s">
        <v>78</v>
      </c>
      <c r="AY113" s="21" t="s">
        <v>78</v>
      </c>
      <c r="AZ113" s="21" t="s">
        <v>78</v>
      </c>
      <c r="BA113" s="21" t="s">
        <v>78</v>
      </c>
      <c r="BB113" s="21" t="s">
        <v>78</v>
      </c>
      <c r="BC113" s="21" t="s">
        <v>78</v>
      </c>
      <c r="BD113" s="21" t="s">
        <v>78</v>
      </c>
      <c r="BE113" s="21" t="s">
        <v>78</v>
      </c>
      <c r="BF113" s="21" t="s">
        <v>78</v>
      </c>
      <c r="BG113" s="21" t="s">
        <v>78</v>
      </c>
      <c r="BH113" s="21" t="s">
        <v>78</v>
      </c>
      <c r="BI113" s="21" t="s">
        <v>78</v>
      </c>
      <c r="BJ113" s="21" t="s">
        <v>78</v>
      </c>
      <c r="BK113" s="21" t="s">
        <v>78</v>
      </c>
    </row>
    <row r="114" spans="1:63" s="21" customFormat="1" x14ac:dyDescent="0.3">
      <c r="A114" s="21" t="s">
        <v>676</v>
      </c>
      <c r="B114" s="21" t="s">
        <v>77</v>
      </c>
      <c r="C114" s="21" t="s">
        <v>78</v>
      </c>
      <c r="D114" s="21" t="s">
        <v>77</v>
      </c>
      <c r="I114" s="21" t="s">
        <v>78</v>
      </c>
      <c r="K114" s="21" t="s">
        <v>78</v>
      </c>
      <c r="L114" s="21" t="s">
        <v>101</v>
      </c>
      <c r="M114" s="21" t="s">
        <v>77</v>
      </c>
      <c r="N114" s="21" t="s">
        <v>110</v>
      </c>
      <c r="O114" s="21" t="s">
        <v>110</v>
      </c>
      <c r="R114" s="21" t="s">
        <v>78</v>
      </c>
      <c r="S114" s="21" t="s">
        <v>78</v>
      </c>
      <c r="T114" s="21" t="s">
        <v>78</v>
      </c>
      <c r="U114" s="21" t="s">
        <v>78</v>
      </c>
      <c r="V114" s="21" t="s">
        <v>78</v>
      </c>
      <c r="W114" s="21" t="s">
        <v>78</v>
      </c>
      <c r="X114" s="21" t="s">
        <v>78</v>
      </c>
      <c r="Y114" s="21" t="s">
        <v>78</v>
      </c>
      <c r="Z114" s="21" t="s">
        <v>78</v>
      </c>
      <c r="AA114" s="21" t="s">
        <v>78</v>
      </c>
      <c r="AB114" s="21" t="s">
        <v>78</v>
      </c>
      <c r="AC114" s="21" t="s">
        <v>78</v>
      </c>
      <c r="AD114" s="21" t="s">
        <v>78</v>
      </c>
      <c r="AE114" s="21" t="s">
        <v>78</v>
      </c>
      <c r="AF114" s="21" t="s">
        <v>78</v>
      </c>
      <c r="AG114" s="21" t="s">
        <v>78</v>
      </c>
      <c r="AH114" s="21" t="s">
        <v>78</v>
      </c>
      <c r="AI114" s="21" t="s">
        <v>78</v>
      </c>
      <c r="AJ114" s="21" t="s">
        <v>78</v>
      </c>
      <c r="AK114" s="21" t="s">
        <v>78</v>
      </c>
      <c r="AL114" s="21" t="s">
        <v>78</v>
      </c>
      <c r="AM114" s="21" t="s">
        <v>78</v>
      </c>
      <c r="AN114" s="21" t="s">
        <v>78</v>
      </c>
      <c r="AO114" s="21" t="s">
        <v>78</v>
      </c>
      <c r="AP114" s="21" t="s">
        <v>78</v>
      </c>
      <c r="AQ114" s="21" t="s">
        <v>78</v>
      </c>
      <c r="AR114" s="21" t="s">
        <v>78</v>
      </c>
      <c r="AS114" s="21" t="s">
        <v>78</v>
      </c>
      <c r="AT114" s="21" t="s">
        <v>78</v>
      </c>
      <c r="AU114" s="21" t="s">
        <v>78</v>
      </c>
      <c r="AV114" s="21" t="s">
        <v>78</v>
      </c>
      <c r="AW114" s="21" t="s">
        <v>78</v>
      </c>
      <c r="AX114" s="21" t="s">
        <v>78</v>
      </c>
      <c r="AY114" s="21" t="s">
        <v>78</v>
      </c>
      <c r="AZ114" s="21" t="s">
        <v>78</v>
      </c>
      <c r="BA114" s="21" t="s">
        <v>78</v>
      </c>
      <c r="BB114" s="21" t="s">
        <v>78</v>
      </c>
      <c r="BC114" s="21" t="s">
        <v>78</v>
      </c>
      <c r="BD114" s="21" t="s">
        <v>78</v>
      </c>
      <c r="BE114" s="21" t="s">
        <v>78</v>
      </c>
      <c r="BF114" s="21" t="s">
        <v>78</v>
      </c>
      <c r="BG114" s="21" t="s">
        <v>78</v>
      </c>
      <c r="BH114" s="21" t="s">
        <v>78</v>
      </c>
      <c r="BI114" s="21" t="s">
        <v>78</v>
      </c>
      <c r="BJ114" s="21" t="s">
        <v>78</v>
      </c>
      <c r="BK114" s="21" t="s">
        <v>78</v>
      </c>
    </row>
    <row r="115" spans="1:63" s="21" customFormat="1" x14ac:dyDescent="0.3">
      <c r="A115" s="21" t="s">
        <v>677</v>
      </c>
      <c r="B115" s="21" t="s">
        <v>77</v>
      </c>
      <c r="C115" s="21" t="s">
        <v>78</v>
      </c>
      <c r="D115" s="21" t="s">
        <v>77</v>
      </c>
      <c r="I115" s="21" t="s">
        <v>78</v>
      </c>
      <c r="K115" s="21" t="s">
        <v>78</v>
      </c>
      <c r="L115" s="21" t="s">
        <v>101</v>
      </c>
      <c r="M115" s="21" t="s">
        <v>77</v>
      </c>
      <c r="N115" s="21" t="s">
        <v>110</v>
      </c>
      <c r="O115" s="21" t="s">
        <v>110</v>
      </c>
      <c r="R115" s="21" t="s">
        <v>78</v>
      </c>
      <c r="S115" s="21" t="s">
        <v>78</v>
      </c>
      <c r="T115" s="21" t="s">
        <v>78</v>
      </c>
      <c r="U115" s="21" t="s">
        <v>78</v>
      </c>
      <c r="V115" s="21" t="s">
        <v>78</v>
      </c>
      <c r="W115" s="21" t="s">
        <v>78</v>
      </c>
      <c r="X115" s="21" t="s">
        <v>78</v>
      </c>
      <c r="Y115" s="21" t="s">
        <v>78</v>
      </c>
      <c r="Z115" s="21" t="s">
        <v>78</v>
      </c>
      <c r="AA115" s="21" t="s">
        <v>78</v>
      </c>
      <c r="AB115" s="21" t="s">
        <v>78</v>
      </c>
      <c r="AC115" s="21" t="s">
        <v>78</v>
      </c>
      <c r="AD115" s="21" t="s">
        <v>78</v>
      </c>
      <c r="AE115" s="21" t="s">
        <v>78</v>
      </c>
      <c r="AF115" s="21" t="s">
        <v>78</v>
      </c>
      <c r="AG115" s="21" t="s">
        <v>78</v>
      </c>
      <c r="AH115" s="21" t="s">
        <v>78</v>
      </c>
      <c r="AI115" s="21" t="s">
        <v>78</v>
      </c>
      <c r="AJ115" s="21" t="s">
        <v>78</v>
      </c>
      <c r="AK115" s="21" t="s">
        <v>78</v>
      </c>
      <c r="AL115" s="21" t="s">
        <v>78</v>
      </c>
      <c r="AM115" s="21" t="s">
        <v>78</v>
      </c>
      <c r="AN115" s="21" t="s">
        <v>78</v>
      </c>
      <c r="AO115" s="21" t="s">
        <v>78</v>
      </c>
      <c r="AP115" s="21" t="s">
        <v>78</v>
      </c>
      <c r="AQ115" s="21" t="s">
        <v>78</v>
      </c>
      <c r="AR115" s="21" t="s">
        <v>78</v>
      </c>
      <c r="AS115" s="21" t="s">
        <v>78</v>
      </c>
      <c r="AT115" s="21" t="s">
        <v>78</v>
      </c>
      <c r="AU115" s="21" t="s">
        <v>78</v>
      </c>
      <c r="AV115" s="21" t="s">
        <v>78</v>
      </c>
      <c r="AW115" s="21" t="s">
        <v>78</v>
      </c>
      <c r="AX115" s="21" t="s">
        <v>78</v>
      </c>
      <c r="AY115" s="21" t="s">
        <v>78</v>
      </c>
      <c r="AZ115" s="21" t="s">
        <v>78</v>
      </c>
      <c r="BA115" s="21" t="s">
        <v>78</v>
      </c>
      <c r="BB115" s="21" t="s">
        <v>78</v>
      </c>
      <c r="BC115" s="21" t="s">
        <v>78</v>
      </c>
      <c r="BD115" s="21" t="s">
        <v>78</v>
      </c>
      <c r="BE115" s="21" t="s">
        <v>78</v>
      </c>
      <c r="BF115" s="21" t="s">
        <v>78</v>
      </c>
      <c r="BG115" s="21" t="s">
        <v>78</v>
      </c>
      <c r="BH115" s="21" t="s">
        <v>78</v>
      </c>
      <c r="BI115" s="21" t="s">
        <v>78</v>
      </c>
      <c r="BJ115" s="21" t="s">
        <v>78</v>
      </c>
      <c r="BK115" s="21" t="s">
        <v>78</v>
      </c>
    </row>
    <row r="116" spans="1:63" x14ac:dyDescent="0.3">
      <c r="A116" t="s">
        <v>636</v>
      </c>
      <c r="B116" t="s">
        <v>77</v>
      </c>
      <c r="C116" s="21" t="s">
        <v>78</v>
      </c>
      <c r="D116" t="s">
        <v>77</v>
      </c>
      <c r="I116" t="s">
        <v>78</v>
      </c>
      <c r="K116" t="s">
        <v>78</v>
      </c>
      <c r="L116" s="21" t="s">
        <v>101</v>
      </c>
      <c r="M116" t="s">
        <v>77</v>
      </c>
      <c r="N116" t="s">
        <v>110</v>
      </c>
      <c r="O116" t="s">
        <v>110</v>
      </c>
      <c r="R116" t="s">
        <v>78</v>
      </c>
      <c r="S116" t="s">
        <v>78</v>
      </c>
      <c r="T116" t="s">
        <v>78</v>
      </c>
      <c r="U116" t="s">
        <v>78</v>
      </c>
      <c r="V116" t="s">
        <v>78</v>
      </c>
      <c r="W116" t="s">
        <v>78</v>
      </c>
      <c r="X116" t="s">
        <v>78</v>
      </c>
      <c r="Y116" t="s">
        <v>78</v>
      </c>
      <c r="Z116" t="s">
        <v>78</v>
      </c>
      <c r="AA116" t="s">
        <v>78</v>
      </c>
      <c r="AB116" t="s">
        <v>78</v>
      </c>
      <c r="AC116" s="21" t="s">
        <v>78</v>
      </c>
      <c r="AD116" s="21" t="s">
        <v>78</v>
      </c>
      <c r="AE116" s="21" t="s">
        <v>78</v>
      </c>
      <c r="AF116" s="21" t="s">
        <v>78</v>
      </c>
      <c r="AG116" s="21" t="s">
        <v>78</v>
      </c>
      <c r="AH116" s="21" t="s">
        <v>78</v>
      </c>
      <c r="AI116" s="21" t="s">
        <v>78</v>
      </c>
      <c r="AJ116" s="21" t="s">
        <v>78</v>
      </c>
      <c r="AK116" s="21" t="s">
        <v>78</v>
      </c>
      <c r="AL116" s="21" t="s">
        <v>78</v>
      </c>
      <c r="AM116" s="21" t="s">
        <v>78</v>
      </c>
      <c r="AN116" s="21" t="s">
        <v>78</v>
      </c>
      <c r="AO116" s="21" t="s">
        <v>78</v>
      </c>
      <c r="AP116" s="21" t="s">
        <v>78</v>
      </c>
      <c r="AQ116" s="21" t="s">
        <v>78</v>
      </c>
      <c r="AR116" s="21" t="s">
        <v>78</v>
      </c>
      <c r="AS116" s="21" t="s">
        <v>78</v>
      </c>
      <c r="AT116" s="21" t="s">
        <v>78</v>
      </c>
      <c r="AU116" s="21" t="s">
        <v>78</v>
      </c>
      <c r="AV116" s="21" t="s">
        <v>78</v>
      </c>
      <c r="AW116" s="21" t="s">
        <v>78</v>
      </c>
      <c r="AX116" s="21" t="s">
        <v>78</v>
      </c>
      <c r="AY116" s="21" t="s">
        <v>78</v>
      </c>
      <c r="AZ116" s="21" t="s">
        <v>78</v>
      </c>
      <c r="BA116" s="21" t="s">
        <v>78</v>
      </c>
      <c r="BB116" s="21" t="s">
        <v>78</v>
      </c>
      <c r="BC116" s="21" t="s">
        <v>78</v>
      </c>
      <c r="BD116" s="21" t="s">
        <v>78</v>
      </c>
      <c r="BE116" s="21" t="s">
        <v>78</v>
      </c>
      <c r="BF116" s="21" t="s">
        <v>78</v>
      </c>
      <c r="BG116" s="21" t="s">
        <v>78</v>
      </c>
      <c r="BH116" s="21" t="s">
        <v>78</v>
      </c>
      <c r="BI116" t="s">
        <v>78</v>
      </c>
      <c r="BJ116" t="s">
        <v>78</v>
      </c>
      <c r="BK116" t="s">
        <v>78</v>
      </c>
    </row>
    <row r="117" spans="1:63" x14ac:dyDescent="0.3">
      <c r="A117" t="s">
        <v>637</v>
      </c>
      <c r="B117" t="s">
        <v>77</v>
      </c>
      <c r="C117" s="21" t="s">
        <v>78</v>
      </c>
      <c r="D117" t="s">
        <v>77</v>
      </c>
      <c r="I117" t="s">
        <v>78</v>
      </c>
      <c r="K117" t="s">
        <v>78</v>
      </c>
      <c r="L117" s="21" t="s">
        <v>101</v>
      </c>
      <c r="M117" t="s">
        <v>77</v>
      </c>
      <c r="N117" t="s">
        <v>110</v>
      </c>
      <c r="O117" t="s">
        <v>110</v>
      </c>
      <c r="R117" t="s">
        <v>78</v>
      </c>
      <c r="S117" t="s">
        <v>78</v>
      </c>
      <c r="T117" t="s">
        <v>78</v>
      </c>
      <c r="U117" t="s">
        <v>78</v>
      </c>
      <c r="V117" t="s">
        <v>78</v>
      </c>
      <c r="W117" t="s">
        <v>78</v>
      </c>
      <c r="X117" t="s">
        <v>78</v>
      </c>
      <c r="Y117" t="s">
        <v>78</v>
      </c>
      <c r="Z117" t="s">
        <v>78</v>
      </c>
      <c r="AA117" t="s">
        <v>78</v>
      </c>
      <c r="AB117" t="s">
        <v>78</v>
      </c>
      <c r="AC117" s="21" t="s">
        <v>78</v>
      </c>
      <c r="AD117" s="21" t="s">
        <v>78</v>
      </c>
      <c r="AE117" s="21" t="s">
        <v>78</v>
      </c>
      <c r="AF117" s="21" t="s">
        <v>78</v>
      </c>
      <c r="AG117" s="21" t="s">
        <v>78</v>
      </c>
      <c r="AH117" s="21" t="s">
        <v>78</v>
      </c>
      <c r="AI117" s="21" t="s">
        <v>78</v>
      </c>
      <c r="AJ117" s="21" t="s">
        <v>78</v>
      </c>
      <c r="AK117" s="21" t="s">
        <v>78</v>
      </c>
      <c r="AL117" s="21" t="s">
        <v>78</v>
      </c>
      <c r="AM117" s="21" t="s">
        <v>78</v>
      </c>
      <c r="AN117" s="21" t="s">
        <v>78</v>
      </c>
      <c r="AO117" s="21" t="s">
        <v>78</v>
      </c>
      <c r="AP117" s="21" t="s">
        <v>78</v>
      </c>
      <c r="AQ117" s="21" t="s">
        <v>78</v>
      </c>
      <c r="AR117" s="21" t="s">
        <v>78</v>
      </c>
      <c r="AS117" s="21" t="s">
        <v>78</v>
      </c>
      <c r="AT117" s="21" t="s">
        <v>78</v>
      </c>
      <c r="AU117" s="21" t="s">
        <v>78</v>
      </c>
      <c r="AV117" s="21" t="s">
        <v>78</v>
      </c>
      <c r="AW117" s="21" t="s">
        <v>78</v>
      </c>
      <c r="AX117" s="21" t="s">
        <v>78</v>
      </c>
      <c r="AY117" s="21" t="s">
        <v>78</v>
      </c>
      <c r="AZ117" s="21" t="s">
        <v>78</v>
      </c>
      <c r="BA117" s="21" t="s">
        <v>78</v>
      </c>
      <c r="BB117" s="21" t="s">
        <v>78</v>
      </c>
      <c r="BC117" s="21" t="s">
        <v>78</v>
      </c>
      <c r="BD117" s="21" t="s">
        <v>78</v>
      </c>
      <c r="BE117" s="21" t="s">
        <v>78</v>
      </c>
      <c r="BF117" s="21" t="s">
        <v>78</v>
      </c>
      <c r="BG117" s="21" t="s">
        <v>78</v>
      </c>
      <c r="BH117" s="21" t="s">
        <v>78</v>
      </c>
      <c r="BI117" t="s">
        <v>78</v>
      </c>
      <c r="BJ117" t="s">
        <v>78</v>
      </c>
      <c r="BK117" t="s">
        <v>78</v>
      </c>
    </row>
    <row r="118" spans="1:63" x14ac:dyDescent="0.3">
      <c r="A118" t="s">
        <v>638</v>
      </c>
      <c r="B118" t="s">
        <v>77</v>
      </c>
      <c r="C118" s="21" t="s">
        <v>78</v>
      </c>
      <c r="D118" t="s">
        <v>77</v>
      </c>
      <c r="I118" t="s">
        <v>78</v>
      </c>
      <c r="K118" t="s">
        <v>78</v>
      </c>
      <c r="L118" s="21" t="s">
        <v>101</v>
      </c>
      <c r="M118" t="s">
        <v>77</v>
      </c>
      <c r="N118" t="s">
        <v>110</v>
      </c>
      <c r="O118" t="s">
        <v>110</v>
      </c>
      <c r="R118" t="s">
        <v>78</v>
      </c>
      <c r="S118" t="s">
        <v>78</v>
      </c>
      <c r="T118" t="s">
        <v>78</v>
      </c>
      <c r="U118" t="s">
        <v>78</v>
      </c>
      <c r="V118" t="s">
        <v>78</v>
      </c>
      <c r="W118" t="s">
        <v>78</v>
      </c>
      <c r="X118" t="s">
        <v>78</v>
      </c>
      <c r="Y118" t="s">
        <v>78</v>
      </c>
      <c r="Z118" t="s">
        <v>78</v>
      </c>
      <c r="AA118" t="s">
        <v>78</v>
      </c>
      <c r="AB118" t="s">
        <v>78</v>
      </c>
      <c r="AC118" s="21" t="s">
        <v>78</v>
      </c>
      <c r="AD118" s="21" t="s">
        <v>78</v>
      </c>
      <c r="AE118" s="21" t="s">
        <v>78</v>
      </c>
      <c r="AF118" s="21" t="s">
        <v>78</v>
      </c>
      <c r="AG118" s="21" t="s">
        <v>78</v>
      </c>
      <c r="AH118" s="21" t="s">
        <v>78</v>
      </c>
      <c r="AI118" s="21" t="s">
        <v>78</v>
      </c>
      <c r="AJ118" s="21" t="s">
        <v>78</v>
      </c>
      <c r="AK118" s="21" t="s">
        <v>78</v>
      </c>
      <c r="AL118" s="21" t="s">
        <v>78</v>
      </c>
      <c r="AM118" s="21" t="s">
        <v>78</v>
      </c>
      <c r="AN118" s="21" t="s">
        <v>78</v>
      </c>
      <c r="AO118" s="21" t="s">
        <v>78</v>
      </c>
      <c r="AP118" s="21" t="s">
        <v>78</v>
      </c>
      <c r="AQ118" s="21" t="s">
        <v>78</v>
      </c>
      <c r="AR118" s="21" t="s">
        <v>78</v>
      </c>
      <c r="AS118" s="21" t="s">
        <v>78</v>
      </c>
      <c r="AT118" s="21" t="s">
        <v>78</v>
      </c>
      <c r="AU118" s="21" t="s">
        <v>78</v>
      </c>
      <c r="AV118" s="21" t="s">
        <v>78</v>
      </c>
      <c r="AW118" s="21" t="s">
        <v>78</v>
      </c>
      <c r="AX118" s="21" t="s">
        <v>78</v>
      </c>
      <c r="AY118" s="21" t="s">
        <v>78</v>
      </c>
      <c r="AZ118" s="21" t="s">
        <v>78</v>
      </c>
      <c r="BA118" s="21" t="s">
        <v>78</v>
      </c>
      <c r="BB118" s="21" t="s">
        <v>78</v>
      </c>
      <c r="BC118" s="21" t="s">
        <v>78</v>
      </c>
      <c r="BD118" s="21" t="s">
        <v>78</v>
      </c>
      <c r="BE118" s="21" t="s">
        <v>78</v>
      </c>
      <c r="BF118" s="21" t="s">
        <v>78</v>
      </c>
      <c r="BG118" s="21" t="s">
        <v>78</v>
      </c>
      <c r="BH118" s="21" t="s">
        <v>78</v>
      </c>
      <c r="BI118" t="s">
        <v>78</v>
      </c>
      <c r="BJ118" t="s">
        <v>78</v>
      </c>
      <c r="BK118" t="s">
        <v>78</v>
      </c>
    </row>
    <row r="119" spans="1:63" s="21" customFormat="1" x14ac:dyDescent="0.3">
      <c r="A119" s="21" t="s">
        <v>674</v>
      </c>
      <c r="B119" s="21" t="s">
        <v>78</v>
      </c>
      <c r="C119" s="21" t="s">
        <v>78</v>
      </c>
      <c r="D119" s="21" t="s">
        <v>78</v>
      </c>
      <c r="E119" s="21" t="s">
        <v>78</v>
      </c>
      <c r="F119" s="21" t="s">
        <v>78</v>
      </c>
      <c r="G119" s="21" t="s">
        <v>78</v>
      </c>
      <c r="J119" s="21" t="s">
        <v>77</v>
      </c>
      <c r="K119" s="21" t="s">
        <v>78</v>
      </c>
      <c r="L119" s="21" t="s">
        <v>101</v>
      </c>
      <c r="M119" s="21" t="s">
        <v>77</v>
      </c>
      <c r="N119" s="21" t="s">
        <v>110</v>
      </c>
      <c r="O119" s="21" t="s">
        <v>110</v>
      </c>
      <c r="P119" s="21" t="s">
        <v>77</v>
      </c>
      <c r="Q119" s="21" t="s">
        <v>77</v>
      </c>
      <c r="R119" s="21" t="s">
        <v>78</v>
      </c>
      <c r="S119" s="21" t="s">
        <v>78</v>
      </c>
      <c r="T119" s="21" t="s">
        <v>78</v>
      </c>
      <c r="U119" s="21" t="s">
        <v>78</v>
      </c>
      <c r="V119" s="21" t="s">
        <v>78</v>
      </c>
      <c r="W119" s="21" t="s">
        <v>78</v>
      </c>
      <c r="X119" s="21" t="s">
        <v>78</v>
      </c>
      <c r="Y119" s="21" t="s">
        <v>78</v>
      </c>
      <c r="Z119" s="21" t="s">
        <v>78</v>
      </c>
      <c r="AA119" s="21" t="s">
        <v>78</v>
      </c>
      <c r="AB119" s="21" t="s">
        <v>78</v>
      </c>
      <c r="AC119" s="21" t="s">
        <v>78</v>
      </c>
      <c r="AD119" s="21" t="s">
        <v>78</v>
      </c>
      <c r="AE119" s="21" t="s">
        <v>78</v>
      </c>
      <c r="AF119" s="21" t="s">
        <v>78</v>
      </c>
      <c r="AG119" s="21" t="s">
        <v>78</v>
      </c>
      <c r="AH119" s="21" t="s">
        <v>78</v>
      </c>
      <c r="AI119" s="21" t="s">
        <v>78</v>
      </c>
      <c r="AJ119" s="21" t="s">
        <v>78</v>
      </c>
      <c r="AK119" s="21" t="s">
        <v>78</v>
      </c>
      <c r="AL119" s="21" t="s">
        <v>78</v>
      </c>
      <c r="AM119" s="21" t="s">
        <v>78</v>
      </c>
      <c r="AN119" s="21" t="s">
        <v>78</v>
      </c>
      <c r="AO119" s="21" t="s">
        <v>78</v>
      </c>
      <c r="AP119" s="21" t="s">
        <v>78</v>
      </c>
      <c r="AQ119" s="21" t="s">
        <v>78</v>
      </c>
      <c r="AR119" s="21" t="s">
        <v>78</v>
      </c>
      <c r="AS119" s="21" t="s">
        <v>78</v>
      </c>
      <c r="AT119" s="21" t="s">
        <v>78</v>
      </c>
      <c r="AU119" s="21" t="s">
        <v>78</v>
      </c>
      <c r="AV119" s="21" t="s">
        <v>78</v>
      </c>
      <c r="AW119" s="21" t="s">
        <v>78</v>
      </c>
      <c r="AX119" s="21" t="s">
        <v>78</v>
      </c>
      <c r="AY119" s="21" t="s">
        <v>78</v>
      </c>
      <c r="AZ119" s="21" t="s">
        <v>78</v>
      </c>
      <c r="BA119" s="21" t="s">
        <v>78</v>
      </c>
      <c r="BB119" s="21" t="s">
        <v>78</v>
      </c>
      <c r="BC119" s="21" t="s">
        <v>78</v>
      </c>
      <c r="BD119" s="21" t="s">
        <v>78</v>
      </c>
      <c r="BE119" s="21" t="s">
        <v>78</v>
      </c>
      <c r="BF119" s="21" t="s">
        <v>78</v>
      </c>
      <c r="BG119" s="21" t="s">
        <v>78</v>
      </c>
      <c r="BH119" s="21" t="s">
        <v>78</v>
      </c>
      <c r="BI119" s="21" t="s">
        <v>78</v>
      </c>
      <c r="BJ119" s="21" t="s">
        <v>78</v>
      </c>
      <c r="BK119" s="21" t="s">
        <v>78</v>
      </c>
    </row>
    <row r="120" spans="1:63" x14ac:dyDescent="0.3">
      <c r="A120" t="s">
        <v>631</v>
      </c>
      <c r="B120" t="s">
        <v>78</v>
      </c>
      <c r="C120" s="21" t="s">
        <v>78</v>
      </c>
      <c r="D120" s="21" t="s">
        <v>78</v>
      </c>
      <c r="E120" s="21" t="s">
        <v>78</v>
      </c>
      <c r="F120" t="s">
        <v>78</v>
      </c>
      <c r="G120" t="s">
        <v>78</v>
      </c>
      <c r="J120" t="s">
        <v>77</v>
      </c>
      <c r="K120" t="s">
        <v>78</v>
      </c>
      <c r="L120" s="21" t="s">
        <v>101</v>
      </c>
      <c r="M120" t="s">
        <v>77</v>
      </c>
      <c r="N120" t="s">
        <v>110</v>
      </c>
      <c r="O120" t="s">
        <v>110</v>
      </c>
      <c r="P120" t="s">
        <v>77</v>
      </c>
      <c r="Q120" t="s">
        <v>77</v>
      </c>
      <c r="R120" t="s">
        <v>78</v>
      </c>
      <c r="S120" t="s">
        <v>78</v>
      </c>
      <c r="T120" t="s">
        <v>78</v>
      </c>
      <c r="U120" t="s">
        <v>78</v>
      </c>
      <c r="V120" t="s">
        <v>78</v>
      </c>
      <c r="W120" t="s">
        <v>78</v>
      </c>
      <c r="X120" t="s">
        <v>78</v>
      </c>
      <c r="Y120" t="s">
        <v>78</v>
      </c>
      <c r="Z120" t="s">
        <v>78</v>
      </c>
      <c r="AA120" t="s">
        <v>78</v>
      </c>
      <c r="AB120" t="s">
        <v>78</v>
      </c>
      <c r="AC120" s="21" t="s">
        <v>78</v>
      </c>
      <c r="AD120" s="21" t="s">
        <v>78</v>
      </c>
      <c r="AE120" s="21" t="s">
        <v>78</v>
      </c>
      <c r="AF120" s="21" t="s">
        <v>78</v>
      </c>
      <c r="AG120" s="21" t="s">
        <v>78</v>
      </c>
      <c r="AH120" s="21" t="s">
        <v>78</v>
      </c>
      <c r="AI120" s="21" t="s">
        <v>78</v>
      </c>
      <c r="AJ120" s="21" t="s">
        <v>78</v>
      </c>
      <c r="AK120" s="21" t="s">
        <v>78</v>
      </c>
      <c r="AL120" s="21" t="s">
        <v>78</v>
      </c>
      <c r="AM120" s="21" t="s">
        <v>78</v>
      </c>
      <c r="AN120" s="21" t="s">
        <v>78</v>
      </c>
      <c r="AO120" s="21" t="s">
        <v>78</v>
      </c>
      <c r="AP120" s="21" t="s">
        <v>78</v>
      </c>
      <c r="AQ120" s="21" t="s">
        <v>78</v>
      </c>
      <c r="AR120" s="21" t="s">
        <v>78</v>
      </c>
      <c r="AS120" s="21" t="s">
        <v>78</v>
      </c>
      <c r="AT120" s="21" t="s">
        <v>78</v>
      </c>
      <c r="AU120" s="21" t="s">
        <v>78</v>
      </c>
      <c r="AV120" s="21" t="s">
        <v>78</v>
      </c>
      <c r="AW120" s="21" t="s">
        <v>78</v>
      </c>
      <c r="AX120" s="21" t="s">
        <v>78</v>
      </c>
      <c r="AY120" s="21" t="s">
        <v>78</v>
      </c>
      <c r="AZ120" s="21" t="s">
        <v>78</v>
      </c>
      <c r="BA120" s="21" t="s">
        <v>78</v>
      </c>
      <c r="BB120" s="21" t="s">
        <v>78</v>
      </c>
      <c r="BC120" s="21" t="s">
        <v>78</v>
      </c>
      <c r="BD120" s="21" t="s">
        <v>78</v>
      </c>
      <c r="BE120" s="21" t="s">
        <v>78</v>
      </c>
      <c r="BF120" s="21" t="s">
        <v>78</v>
      </c>
      <c r="BG120" s="21" t="s">
        <v>78</v>
      </c>
      <c r="BH120" s="21" t="s">
        <v>78</v>
      </c>
      <c r="BI120" t="s">
        <v>78</v>
      </c>
      <c r="BJ120" t="s">
        <v>78</v>
      </c>
      <c r="BK120" t="s">
        <v>78</v>
      </c>
    </row>
    <row r="121" spans="1:63" x14ac:dyDescent="0.3">
      <c r="A121" t="s">
        <v>712</v>
      </c>
      <c r="B121" t="s">
        <v>77</v>
      </c>
      <c r="C121" s="21" t="s">
        <v>78</v>
      </c>
      <c r="D121" t="s">
        <v>77</v>
      </c>
      <c r="I121" t="s">
        <v>78</v>
      </c>
      <c r="K121" t="s">
        <v>78</v>
      </c>
      <c r="L121" s="21" t="s">
        <v>101</v>
      </c>
      <c r="M121" t="s">
        <v>77</v>
      </c>
      <c r="N121" t="s">
        <v>110</v>
      </c>
      <c r="O121" t="s">
        <v>110</v>
      </c>
      <c r="R121" t="s">
        <v>78</v>
      </c>
      <c r="S121" t="s">
        <v>78</v>
      </c>
      <c r="T121" t="s">
        <v>78</v>
      </c>
      <c r="U121" t="s">
        <v>78</v>
      </c>
      <c r="V121" t="s">
        <v>78</v>
      </c>
      <c r="W121" t="s">
        <v>78</v>
      </c>
      <c r="X121" t="s">
        <v>78</v>
      </c>
      <c r="Y121" t="s">
        <v>78</v>
      </c>
      <c r="Z121" t="s">
        <v>78</v>
      </c>
      <c r="AA121" t="s">
        <v>78</v>
      </c>
      <c r="AB121" t="s">
        <v>78</v>
      </c>
      <c r="AC121" s="21" t="s">
        <v>78</v>
      </c>
      <c r="AD121" s="21" t="s">
        <v>78</v>
      </c>
      <c r="AE121" s="21" t="s">
        <v>78</v>
      </c>
      <c r="AF121" s="21" t="s">
        <v>78</v>
      </c>
      <c r="AG121" s="21" t="s">
        <v>78</v>
      </c>
      <c r="AH121" s="21" t="s">
        <v>78</v>
      </c>
      <c r="AI121" s="21" t="s">
        <v>78</v>
      </c>
      <c r="AJ121" s="21" t="s">
        <v>78</v>
      </c>
      <c r="AK121" s="21" t="s">
        <v>78</v>
      </c>
      <c r="AL121" s="21" t="s">
        <v>78</v>
      </c>
      <c r="AM121" s="21" t="s">
        <v>78</v>
      </c>
      <c r="AN121" s="21" t="s">
        <v>78</v>
      </c>
      <c r="AO121" s="21" t="s">
        <v>78</v>
      </c>
      <c r="AP121" s="21" t="s">
        <v>78</v>
      </c>
      <c r="AQ121" s="21" t="s">
        <v>78</v>
      </c>
      <c r="AR121" s="21" t="s">
        <v>78</v>
      </c>
      <c r="AS121" s="21" t="s">
        <v>78</v>
      </c>
      <c r="AT121" s="21" t="s">
        <v>78</v>
      </c>
      <c r="AU121" s="21" t="s">
        <v>78</v>
      </c>
      <c r="AV121" s="21" t="s">
        <v>78</v>
      </c>
      <c r="AW121" s="21" t="s">
        <v>78</v>
      </c>
      <c r="AX121" s="21" t="s">
        <v>78</v>
      </c>
      <c r="AY121" s="21" t="s">
        <v>78</v>
      </c>
      <c r="AZ121" s="21" t="s">
        <v>78</v>
      </c>
      <c r="BA121" s="21" t="s">
        <v>78</v>
      </c>
      <c r="BB121" s="21" t="s">
        <v>78</v>
      </c>
      <c r="BC121" s="21" t="s">
        <v>78</v>
      </c>
      <c r="BD121" s="21" t="s">
        <v>78</v>
      </c>
      <c r="BE121" s="21" t="s">
        <v>78</v>
      </c>
      <c r="BF121" s="21" t="s">
        <v>78</v>
      </c>
      <c r="BG121" s="21" t="s">
        <v>78</v>
      </c>
      <c r="BH121" s="21" t="s">
        <v>78</v>
      </c>
      <c r="BI121" t="s">
        <v>78</v>
      </c>
      <c r="BJ121" t="s">
        <v>78</v>
      </c>
      <c r="BK121" t="s">
        <v>78</v>
      </c>
    </row>
    <row r="122" spans="1:63" x14ac:dyDescent="0.3">
      <c r="A122" t="s">
        <v>713</v>
      </c>
      <c r="B122" t="s">
        <v>77</v>
      </c>
      <c r="C122" s="21" t="s">
        <v>78</v>
      </c>
      <c r="D122" t="s">
        <v>77</v>
      </c>
      <c r="I122" t="s">
        <v>78</v>
      </c>
      <c r="K122" t="s">
        <v>78</v>
      </c>
      <c r="L122" s="21" t="s">
        <v>101</v>
      </c>
      <c r="M122" t="s">
        <v>77</v>
      </c>
      <c r="N122" t="s">
        <v>110</v>
      </c>
      <c r="O122" t="s">
        <v>110</v>
      </c>
      <c r="R122" t="s">
        <v>78</v>
      </c>
      <c r="S122" t="s">
        <v>78</v>
      </c>
      <c r="T122" t="s">
        <v>78</v>
      </c>
      <c r="U122" t="s">
        <v>78</v>
      </c>
      <c r="V122" t="s">
        <v>78</v>
      </c>
      <c r="W122" t="s">
        <v>78</v>
      </c>
      <c r="X122" t="s">
        <v>78</v>
      </c>
      <c r="Y122" t="s">
        <v>78</v>
      </c>
      <c r="Z122" t="s">
        <v>78</v>
      </c>
      <c r="AA122" t="s">
        <v>78</v>
      </c>
      <c r="AB122" t="s">
        <v>78</v>
      </c>
      <c r="AC122" s="21" t="s">
        <v>78</v>
      </c>
      <c r="AD122" s="21" t="s">
        <v>78</v>
      </c>
      <c r="AE122" s="21" t="s">
        <v>78</v>
      </c>
      <c r="AF122" s="21" t="s">
        <v>78</v>
      </c>
      <c r="AG122" s="21" t="s">
        <v>78</v>
      </c>
      <c r="AH122" s="21" t="s">
        <v>78</v>
      </c>
      <c r="AI122" s="21" t="s">
        <v>78</v>
      </c>
      <c r="AJ122" s="21" t="s">
        <v>78</v>
      </c>
      <c r="AK122" s="21" t="s">
        <v>78</v>
      </c>
      <c r="AL122" s="21" t="s">
        <v>78</v>
      </c>
      <c r="AM122" s="21" t="s">
        <v>78</v>
      </c>
      <c r="AN122" s="21" t="s">
        <v>78</v>
      </c>
      <c r="AO122" s="21" t="s">
        <v>78</v>
      </c>
      <c r="AP122" s="21" t="s">
        <v>78</v>
      </c>
      <c r="AQ122" s="21" t="s">
        <v>78</v>
      </c>
      <c r="AR122" s="21" t="s">
        <v>78</v>
      </c>
      <c r="AS122" s="21" t="s">
        <v>78</v>
      </c>
      <c r="AT122" s="21" t="s">
        <v>78</v>
      </c>
      <c r="AU122" s="21" t="s">
        <v>78</v>
      </c>
      <c r="AV122" s="21" t="s">
        <v>78</v>
      </c>
      <c r="AW122" s="21" t="s">
        <v>78</v>
      </c>
      <c r="AX122" s="21" t="s">
        <v>78</v>
      </c>
      <c r="AY122" s="21" t="s">
        <v>78</v>
      </c>
      <c r="AZ122" s="21" t="s">
        <v>78</v>
      </c>
      <c r="BA122" s="21" t="s">
        <v>78</v>
      </c>
      <c r="BB122" s="21" t="s">
        <v>78</v>
      </c>
      <c r="BC122" s="21" t="s">
        <v>78</v>
      </c>
      <c r="BD122" s="21" t="s">
        <v>78</v>
      </c>
      <c r="BE122" s="21" t="s">
        <v>78</v>
      </c>
      <c r="BF122" s="21" t="s">
        <v>78</v>
      </c>
      <c r="BG122" s="21" t="s">
        <v>78</v>
      </c>
      <c r="BH122" s="21" t="s">
        <v>78</v>
      </c>
      <c r="BI122" t="s">
        <v>78</v>
      </c>
      <c r="BJ122" t="s">
        <v>78</v>
      </c>
      <c r="BK122" t="s">
        <v>78</v>
      </c>
    </row>
    <row r="123" spans="1:63" x14ac:dyDescent="0.3">
      <c r="A123" t="s">
        <v>714</v>
      </c>
      <c r="B123" t="s">
        <v>77</v>
      </c>
      <c r="C123" s="21" t="s">
        <v>78</v>
      </c>
      <c r="D123" t="s">
        <v>77</v>
      </c>
      <c r="I123" t="s">
        <v>78</v>
      </c>
      <c r="K123" t="s">
        <v>78</v>
      </c>
      <c r="L123" s="21" t="s">
        <v>101</v>
      </c>
      <c r="M123" t="s">
        <v>77</v>
      </c>
      <c r="N123" t="s">
        <v>110</v>
      </c>
      <c r="O123" t="s">
        <v>110</v>
      </c>
      <c r="R123" t="s">
        <v>78</v>
      </c>
      <c r="S123" t="s">
        <v>78</v>
      </c>
      <c r="T123" t="s">
        <v>78</v>
      </c>
      <c r="U123" t="s">
        <v>78</v>
      </c>
      <c r="V123" t="s">
        <v>78</v>
      </c>
      <c r="W123" t="s">
        <v>78</v>
      </c>
      <c r="X123" t="s">
        <v>78</v>
      </c>
      <c r="Y123" t="s">
        <v>78</v>
      </c>
      <c r="Z123" t="s">
        <v>78</v>
      </c>
      <c r="AA123" t="s">
        <v>78</v>
      </c>
      <c r="AB123" t="s">
        <v>78</v>
      </c>
      <c r="AC123" s="21" t="s">
        <v>78</v>
      </c>
      <c r="AD123" s="21" t="s">
        <v>78</v>
      </c>
      <c r="AE123" s="21" t="s">
        <v>78</v>
      </c>
      <c r="AF123" s="21" t="s">
        <v>78</v>
      </c>
      <c r="AG123" s="21" t="s">
        <v>78</v>
      </c>
      <c r="AH123" s="21" t="s">
        <v>78</v>
      </c>
      <c r="AI123" s="21" t="s">
        <v>78</v>
      </c>
      <c r="AJ123" s="21" t="s">
        <v>78</v>
      </c>
      <c r="AK123" s="21" t="s">
        <v>78</v>
      </c>
      <c r="AL123" s="21" t="s">
        <v>78</v>
      </c>
      <c r="AM123" s="21" t="s">
        <v>78</v>
      </c>
      <c r="AN123" s="21" t="s">
        <v>78</v>
      </c>
      <c r="AO123" s="21" t="s">
        <v>78</v>
      </c>
      <c r="AP123" s="21" t="s">
        <v>78</v>
      </c>
      <c r="AQ123" s="21" t="s">
        <v>78</v>
      </c>
      <c r="AR123" s="21" t="s">
        <v>78</v>
      </c>
      <c r="AS123" s="21" t="s">
        <v>78</v>
      </c>
      <c r="AT123" s="21" t="s">
        <v>78</v>
      </c>
      <c r="AU123" s="21" t="s">
        <v>78</v>
      </c>
      <c r="AV123" s="21" t="s">
        <v>78</v>
      </c>
      <c r="AW123" s="21" t="s">
        <v>78</v>
      </c>
      <c r="AX123" s="21" t="s">
        <v>78</v>
      </c>
      <c r="AY123" s="21" t="s">
        <v>78</v>
      </c>
      <c r="AZ123" s="21" t="s">
        <v>78</v>
      </c>
      <c r="BA123" s="21" t="s">
        <v>78</v>
      </c>
      <c r="BB123" s="21" t="s">
        <v>78</v>
      </c>
      <c r="BC123" s="21" t="s">
        <v>78</v>
      </c>
      <c r="BD123" s="21" t="s">
        <v>78</v>
      </c>
      <c r="BE123" s="21" t="s">
        <v>78</v>
      </c>
      <c r="BF123" s="21" t="s">
        <v>78</v>
      </c>
      <c r="BG123" s="21" t="s">
        <v>78</v>
      </c>
      <c r="BH123" s="21" t="s">
        <v>78</v>
      </c>
      <c r="BI123" t="s">
        <v>78</v>
      </c>
      <c r="BJ123" t="s">
        <v>78</v>
      </c>
      <c r="BK123" t="s">
        <v>78</v>
      </c>
    </row>
    <row r="124" spans="1:63" x14ac:dyDescent="0.3">
      <c r="A124" t="s">
        <v>694</v>
      </c>
      <c r="B124" t="s">
        <v>77</v>
      </c>
      <c r="C124" s="21" t="s">
        <v>78</v>
      </c>
      <c r="D124" t="s">
        <v>77</v>
      </c>
      <c r="I124" t="s">
        <v>78</v>
      </c>
      <c r="K124" t="s">
        <v>78</v>
      </c>
      <c r="L124" s="21" t="s">
        <v>101</v>
      </c>
      <c r="M124" t="s">
        <v>77</v>
      </c>
      <c r="N124" t="s">
        <v>110</v>
      </c>
      <c r="O124" t="s">
        <v>110</v>
      </c>
      <c r="R124" t="s">
        <v>78</v>
      </c>
      <c r="S124" t="s">
        <v>78</v>
      </c>
      <c r="T124" t="s">
        <v>78</v>
      </c>
      <c r="U124" t="s">
        <v>78</v>
      </c>
      <c r="V124" t="s">
        <v>78</v>
      </c>
      <c r="W124" t="s">
        <v>78</v>
      </c>
      <c r="X124" t="s">
        <v>78</v>
      </c>
      <c r="Y124" t="s">
        <v>78</v>
      </c>
      <c r="Z124" t="s">
        <v>78</v>
      </c>
      <c r="AA124" t="s">
        <v>78</v>
      </c>
      <c r="AB124" t="s">
        <v>78</v>
      </c>
      <c r="AC124" s="21" t="s">
        <v>78</v>
      </c>
      <c r="AD124" s="21" t="s">
        <v>78</v>
      </c>
      <c r="AE124" s="21" t="s">
        <v>78</v>
      </c>
      <c r="AF124" s="21" t="s">
        <v>78</v>
      </c>
      <c r="AG124" s="21" t="s">
        <v>78</v>
      </c>
      <c r="AH124" s="21" t="s">
        <v>78</v>
      </c>
      <c r="AI124" s="21" t="s">
        <v>78</v>
      </c>
      <c r="AJ124" s="21" t="s">
        <v>78</v>
      </c>
      <c r="AK124" s="21" t="s">
        <v>78</v>
      </c>
      <c r="AL124" s="21" t="s">
        <v>78</v>
      </c>
      <c r="AM124" s="21" t="s">
        <v>78</v>
      </c>
      <c r="AN124" s="21" t="s">
        <v>78</v>
      </c>
      <c r="AO124" s="21" t="s">
        <v>78</v>
      </c>
      <c r="AP124" s="21" t="s">
        <v>78</v>
      </c>
      <c r="AQ124" s="21" t="s">
        <v>78</v>
      </c>
      <c r="AR124" s="21" t="s">
        <v>78</v>
      </c>
      <c r="AS124" s="21" t="s">
        <v>78</v>
      </c>
      <c r="AT124" s="21" t="s">
        <v>78</v>
      </c>
      <c r="AU124" s="21" t="s">
        <v>78</v>
      </c>
      <c r="AV124" s="21" t="s">
        <v>78</v>
      </c>
      <c r="AW124" s="21" t="s">
        <v>78</v>
      </c>
      <c r="AX124" s="21" t="s">
        <v>78</v>
      </c>
      <c r="AY124" s="21" t="s">
        <v>78</v>
      </c>
      <c r="AZ124" s="21" t="s">
        <v>78</v>
      </c>
      <c r="BA124" s="21" t="s">
        <v>78</v>
      </c>
      <c r="BB124" s="21" t="s">
        <v>78</v>
      </c>
      <c r="BC124" s="21" t="s">
        <v>78</v>
      </c>
      <c r="BD124" s="21" t="s">
        <v>78</v>
      </c>
      <c r="BE124" s="21" t="s">
        <v>78</v>
      </c>
      <c r="BF124" s="21" t="s">
        <v>78</v>
      </c>
      <c r="BG124" s="21" t="s">
        <v>78</v>
      </c>
      <c r="BH124" s="21" t="s">
        <v>78</v>
      </c>
      <c r="BI124" t="s">
        <v>78</v>
      </c>
      <c r="BJ124" t="s">
        <v>78</v>
      </c>
      <c r="BK124" t="s">
        <v>78</v>
      </c>
    </row>
    <row r="125" spans="1:63" x14ac:dyDescent="0.3">
      <c r="A125" t="s">
        <v>695</v>
      </c>
      <c r="B125" t="s">
        <v>77</v>
      </c>
      <c r="C125" s="21" t="s">
        <v>78</v>
      </c>
      <c r="D125" t="s">
        <v>77</v>
      </c>
      <c r="I125" t="s">
        <v>78</v>
      </c>
      <c r="K125" t="s">
        <v>78</v>
      </c>
      <c r="L125" s="21" t="s">
        <v>101</v>
      </c>
      <c r="M125" t="s">
        <v>77</v>
      </c>
      <c r="N125" t="s">
        <v>110</v>
      </c>
      <c r="O125" t="s">
        <v>110</v>
      </c>
      <c r="R125" t="s">
        <v>78</v>
      </c>
      <c r="S125" t="s">
        <v>78</v>
      </c>
      <c r="T125" t="s">
        <v>78</v>
      </c>
      <c r="U125" t="s">
        <v>78</v>
      </c>
      <c r="V125" t="s">
        <v>78</v>
      </c>
      <c r="W125" t="s">
        <v>78</v>
      </c>
      <c r="X125" t="s">
        <v>78</v>
      </c>
      <c r="Y125" t="s">
        <v>78</v>
      </c>
      <c r="Z125" t="s">
        <v>78</v>
      </c>
      <c r="AA125" t="s">
        <v>78</v>
      </c>
      <c r="AB125" t="s">
        <v>78</v>
      </c>
      <c r="AC125" s="21" t="s">
        <v>78</v>
      </c>
      <c r="AD125" s="21" t="s">
        <v>78</v>
      </c>
      <c r="AE125" s="21" t="s">
        <v>78</v>
      </c>
      <c r="AF125" s="21" t="s">
        <v>78</v>
      </c>
      <c r="AG125" s="21" t="s">
        <v>78</v>
      </c>
      <c r="AH125" s="21" t="s">
        <v>78</v>
      </c>
      <c r="AI125" s="21" t="s">
        <v>78</v>
      </c>
      <c r="AJ125" s="21" t="s">
        <v>78</v>
      </c>
      <c r="AK125" s="21" t="s">
        <v>78</v>
      </c>
      <c r="AL125" s="21" t="s">
        <v>78</v>
      </c>
      <c r="AM125" s="21" t="s">
        <v>78</v>
      </c>
      <c r="AN125" s="21" t="s">
        <v>78</v>
      </c>
      <c r="AO125" s="21" t="s">
        <v>78</v>
      </c>
      <c r="AP125" s="21" t="s">
        <v>78</v>
      </c>
      <c r="AQ125" s="21" t="s">
        <v>78</v>
      </c>
      <c r="AR125" s="21" t="s">
        <v>78</v>
      </c>
      <c r="AS125" s="21" t="s">
        <v>78</v>
      </c>
      <c r="AT125" s="21" t="s">
        <v>78</v>
      </c>
      <c r="AU125" s="21" t="s">
        <v>78</v>
      </c>
      <c r="AV125" s="21" t="s">
        <v>78</v>
      </c>
      <c r="AW125" s="21" t="s">
        <v>78</v>
      </c>
      <c r="AX125" s="21" t="s">
        <v>78</v>
      </c>
      <c r="AY125" s="21" t="s">
        <v>78</v>
      </c>
      <c r="AZ125" s="21" t="s">
        <v>78</v>
      </c>
      <c r="BA125" s="21" t="s">
        <v>78</v>
      </c>
      <c r="BB125" s="21" t="s">
        <v>78</v>
      </c>
      <c r="BC125" s="21" t="s">
        <v>78</v>
      </c>
      <c r="BD125" s="21" t="s">
        <v>78</v>
      </c>
      <c r="BE125" s="21" t="s">
        <v>78</v>
      </c>
      <c r="BF125" s="21" t="s">
        <v>78</v>
      </c>
      <c r="BG125" s="21" t="s">
        <v>78</v>
      </c>
      <c r="BH125" s="21" t="s">
        <v>78</v>
      </c>
      <c r="BI125" t="s">
        <v>78</v>
      </c>
      <c r="BJ125" t="s">
        <v>78</v>
      </c>
      <c r="BK125" t="s">
        <v>78</v>
      </c>
    </row>
    <row r="126" spans="1:63" x14ac:dyDescent="0.3">
      <c r="A126" t="s">
        <v>696</v>
      </c>
      <c r="B126" t="s">
        <v>77</v>
      </c>
      <c r="C126" s="21" t="s">
        <v>78</v>
      </c>
      <c r="D126" t="s">
        <v>77</v>
      </c>
      <c r="I126" t="s">
        <v>78</v>
      </c>
      <c r="K126" t="s">
        <v>78</v>
      </c>
      <c r="L126" s="21" t="s">
        <v>101</v>
      </c>
      <c r="M126" t="s">
        <v>77</v>
      </c>
      <c r="N126" t="s">
        <v>110</v>
      </c>
      <c r="O126" t="s">
        <v>110</v>
      </c>
      <c r="R126" t="s">
        <v>78</v>
      </c>
      <c r="S126" t="s">
        <v>78</v>
      </c>
      <c r="T126" t="s">
        <v>78</v>
      </c>
      <c r="U126" t="s">
        <v>78</v>
      </c>
      <c r="V126" t="s">
        <v>78</v>
      </c>
      <c r="W126" t="s">
        <v>78</v>
      </c>
      <c r="X126" t="s">
        <v>78</v>
      </c>
      <c r="Y126" t="s">
        <v>78</v>
      </c>
      <c r="Z126" t="s">
        <v>78</v>
      </c>
      <c r="AA126" t="s">
        <v>78</v>
      </c>
      <c r="AB126" t="s">
        <v>78</v>
      </c>
      <c r="AC126" s="21" t="s">
        <v>78</v>
      </c>
      <c r="AD126" s="21" t="s">
        <v>78</v>
      </c>
      <c r="AE126" s="21" t="s">
        <v>78</v>
      </c>
      <c r="AF126" s="21" t="s">
        <v>78</v>
      </c>
      <c r="AG126" s="21" t="s">
        <v>78</v>
      </c>
      <c r="AH126" s="21" t="s">
        <v>78</v>
      </c>
      <c r="AI126" s="21" t="s">
        <v>78</v>
      </c>
      <c r="AJ126" s="21" t="s">
        <v>78</v>
      </c>
      <c r="AK126" s="21" t="s">
        <v>78</v>
      </c>
      <c r="AL126" s="21" t="s">
        <v>78</v>
      </c>
      <c r="AM126" s="21" t="s">
        <v>78</v>
      </c>
      <c r="AN126" s="21" t="s">
        <v>78</v>
      </c>
      <c r="AO126" s="21" t="s">
        <v>78</v>
      </c>
      <c r="AP126" s="21" t="s">
        <v>78</v>
      </c>
      <c r="AQ126" s="21" t="s">
        <v>78</v>
      </c>
      <c r="AR126" s="21" t="s">
        <v>78</v>
      </c>
      <c r="AS126" s="21" t="s">
        <v>78</v>
      </c>
      <c r="AT126" s="21" t="s">
        <v>78</v>
      </c>
      <c r="AU126" s="21" t="s">
        <v>78</v>
      </c>
      <c r="AV126" s="21" t="s">
        <v>78</v>
      </c>
      <c r="AW126" s="21" t="s">
        <v>78</v>
      </c>
      <c r="AX126" s="21" t="s">
        <v>78</v>
      </c>
      <c r="AY126" s="21" t="s">
        <v>78</v>
      </c>
      <c r="AZ126" s="21" t="s">
        <v>78</v>
      </c>
      <c r="BA126" s="21" t="s">
        <v>78</v>
      </c>
      <c r="BB126" s="21" t="s">
        <v>78</v>
      </c>
      <c r="BC126" s="21" t="s">
        <v>78</v>
      </c>
      <c r="BD126" s="21" t="s">
        <v>78</v>
      </c>
      <c r="BE126" s="21" t="s">
        <v>78</v>
      </c>
      <c r="BF126" s="21" t="s">
        <v>78</v>
      </c>
      <c r="BG126" s="21" t="s">
        <v>78</v>
      </c>
      <c r="BH126" s="21" t="s">
        <v>78</v>
      </c>
      <c r="BI126" t="s">
        <v>78</v>
      </c>
      <c r="BJ126" t="s">
        <v>78</v>
      </c>
      <c r="BK126" t="s">
        <v>78</v>
      </c>
    </row>
    <row r="127" spans="1:63" x14ac:dyDescent="0.3">
      <c r="A127" t="s">
        <v>703</v>
      </c>
      <c r="B127" t="s">
        <v>77</v>
      </c>
      <c r="C127" s="21" t="s">
        <v>78</v>
      </c>
      <c r="D127" t="s">
        <v>77</v>
      </c>
      <c r="I127" t="s">
        <v>78</v>
      </c>
      <c r="K127" t="s">
        <v>78</v>
      </c>
      <c r="L127" s="21" t="s">
        <v>101</v>
      </c>
      <c r="M127" t="s">
        <v>77</v>
      </c>
      <c r="N127" t="s">
        <v>110</v>
      </c>
      <c r="O127" t="s">
        <v>110</v>
      </c>
      <c r="R127" t="s">
        <v>78</v>
      </c>
      <c r="S127" t="s">
        <v>78</v>
      </c>
      <c r="T127" t="s">
        <v>78</v>
      </c>
      <c r="U127" t="s">
        <v>78</v>
      </c>
      <c r="V127" t="s">
        <v>78</v>
      </c>
      <c r="W127" t="s">
        <v>78</v>
      </c>
      <c r="X127" t="s">
        <v>78</v>
      </c>
      <c r="Y127" t="s">
        <v>78</v>
      </c>
      <c r="Z127" t="s">
        <v>78</v>
      </c>
      <c r="AA127" t="s">
        <v>78</v>
      </c>
      <c r="AB127" t="s">
        <v>78</v>
      </c>
      <c r="AC127" s="21" t="s">
        <v>78</v>
      </c>
      <c r="AD127" s="21" t="s">
        <v>78</v>
      </c>
      <c r="AE127" s="21" t="s">
        <v>78</v>
      </c>
      <c r="AF127" s="21" t="s">
        <v>78</v>
      </c>
      <c r="AG127" s="21" t="s">
        <v>78</v>
      </c>
      <c r="AH127" s="21" t="s">
        <v>78</v>
      </c>
      <c r="AI127" s="21" t="s">
        <v>78</v>
      </c>
      <c r="AJ127" s="21" t="s">
        <v>78</v>
      </c>
      <c r="AK127" s="21" t="s">
        <v>78</v>
      </c>
      <c r="AL127" s="21" t="s">
        <v>78</v>
      </c>
      <c r="AM127" s="21" t="s">
        <v>78</v>
      </c>
      <c r="AN127" s="21" t="s">
        <v>78</v>
      </c>
      <c r="AO127" s="21" t="s">
        <v>78</v>
      </c>
      <c r="AP127" s="21" t="s">
        <v>78</v>
      </c>
      <c r="AQ127" s="21" t="s">
        <v>78</v>
      </c>
      <c r="AR127" s="21" t="s">
        <v>78</v>
      </c>
      <c r="AS127" s="21" t="s">
        <v>78</v>
      </c>
      <c r="AT127" s="21" t="s">
        <v>78</v>
      </c>
      <c r="AU127" s="21" t="s">
        <v>78</v>
      </c>
      <c r="AV127" s="21" t="s">
        <v>78</v>
      </c>
      <c r="AW127" s="21" t="s">
        <v>78</v>
      </c>
      <c r="AX127" s="21" t="s">
        <v>78</v>
      </c>
      <c r="AY127" s="21" t="s">
        <v>78</v>
      </c>
      <c r="AZ127" s="21" t="s">
        <v>78</v>
      </c>
      <c r="BA127" s="21" t="s">
        <v>78</v>
      </c>
      <c r="BB127" s="21" t="s">
        <v>78</v>
      </c>
      <c r="BC127" s="21" t="s">
        <v>78</v>
      </c>
      <c r="BD127" s="21" t="s">
        <v>78</v>
      </c>
      <c r="BE127" s="21" t="s">
        <v>78</v>
      </c>
      <c r="BF127" s="21" t="s">
        <v>78</v>
      </c>
      <c r="BG127" s="21" t="s">
        <v>78</v>
      </c>
      <c r="BH127" s="21" t="s">
        <v>78</v>
      </c>
      <c r="BI127" t="s">
        <v>78</v>
      </c>
      <c r="BJ127" t="s">
        <v>78</v>
      </c>
      <c r="BK127" t="s">
        <v>78</v>
      </c>
    </row>
    <row r="128" spans="1:63" x14ac:dyDescent="0.3">
      <c r="A128" t="s">
        <v>704</v>
      </c>
      <c r="B128" t="s">
        <v>77</v>
      </c>
      <c r="C128" s="21" t="s">
        <v>78</v>
      </c>
      <c r="D128" t="s">
        <v>77</v>
      </c>
      <c r="I128" t="s">
        <v>78</v>
      </c>
      <c r="K128" t="s">
        <v>78</v>
      </c>
      <c r="L128" s="21" t="s">
        <v>101</v>
      </c>
      <c r="M128" t="s">
        <v>77</v>
      </c>
      <c r="N128" t="s">
        <v>110</v>
      </c>
      <c r="O128" t="s">
        <v>110</v>
      </c>
      <c r="R128" t="s">
        <v>78</v>
      </c>
      <c r="S128" t="s">
        <v>78</v>
      </c>
      <c r="T128" t="s">
        <v>78</v>
      </c>
      <c r="U128" t="s">
        <v>78</v>
      </c>
      <c r="V128" t="s">
        <v>78</v>
      </c>
      <c r="W128" t="s">
        <v>78</v>
      </c>
      <c r="X128" t="s">
        <v>78</v>
      </c>
      <c r="Y128" t="s">
        <v>78</v>
      </c>
      <c r="Z128" t="s">
        <v>78</v>
      </c>
      <c r="AA128" t="s">
        <v>78</v>
      </c>
      <c r="AB128" t="s">
        <v>78</v>
      </c>
      <c r="AC128" s="21" t="s">
        <v>78</v>
      </c>
      <c r="AD128" s="21" t="s">
        <v>78</v>
      </c>
      <c r="AE128" s="21" t="s">
        <v>78</v>
      </c>
      <c r="AF128" s="21" t="s">
        <v>78</v>
      </c>
      <c r="AG128" s="21" t="s">
        <v>78</v>
      </c>
      <c r="AH128" s="21" t="s">
        <v>78</v>
      </c>
      <c r="AI128" s="21" t="s">
        <v>78</v>
      </c>
      <c r="AJ128" s="21" t="s">
        <v>78</v>
      </c>
      <c r="AK128" s="21" t="s">
        <v>78</v>
      </c>
      <c r="AL128" s="21" t="s">
        <v>78</v>
      </c>
      <c r="AM128" s="21" t="s">
        <v>78</v>
      </c>
      <c r="AN128" s="21" t="s">
        <v>78</v>
      </c>
      <c r="AO128" s="21" t="s">
        <v>78</v>
      </c>
      <c r="AP128" s="21" t="s">
        <v>78</v>
      </c>
      <c r="AQ128" s="21" t="s">
        <v>78</v>
      </c>
      <c r="AR128" s="21" t="s">
        <v>78</v>
      </c>
      <c r="AS128" s="21" t="s">
        <v>78</v>
      </c>
      <c r="AT128" s="21" t="s">
        <v>78</v>
      </c>
      <c r="AU128" s="21" t="s">
        <v>78</v>
      </c>
      <c r="AV128" s="21" t="s">
        <v>78</v>
      </c>
      <c r="AW128" s="21" t="s">
        <v>78</v>
      </c>
      <c r="AX128" s="21" t="s">
        <v>78</v>
      </c>
      <c r="AY128" s="21" t="s">
        <v>78</v>
      </c>
      <c r="AZ128" s="21" t="s">
        <v>78</v>
      </c>
      <c r="BA128" s="21" t="s">
        <v>78</v>
      </c>
      <c r="BB128" s="21" t="s">
        <v>78</v>
      </c>
      <c r="BC128" s="21" t="s">
        <v>78</v>
      </c>
      <c r="BD128" s="21" t="s">
        <v>78</v>
      </c>
      <c r="BE128" s="21" t="s">
        <v>78</v>
      </c>
      <c r="BF128" s="21" t="s">
        <v>78</v>
      </c>
      <c r="BG128" s="21" t="s">
        <v>78</v>
      </c>
      <c r="BH128" s="21" t="s">
        <v>78</v>
      </c>
      <c r="BI128" t="s">
        <v>78</v>
      </c>
      <c r="BJ128" t="s">
        <v>78</v>
      </c>
      <c r="BK128" t="s">
        <v>78</v>
      </c>
    </row>
    <row r="129" spans="1:63" x14ac:dyDescent="0.3">
      <c r="A129" t="s">
        <v>705</v>
      </c>
      <c r="B129" t="s">
        <v>77</v>
      </c>
      <c r="C129" s="21" t="s">
        <v>78</v>
      </c>
      <c r="D129" t="s">
        <v>77</v>
      </c>
      <c r="I129" t="s">
        <v>78</v>
      </c>
      <c r="K129" t="s">
        <v>78</v>
      </c>
      <c r="L129" s="21" t="s">
        <v>101</v>
      </c>
      <c r="M129" t="s">
        <v>77</v>
      </c>
      <c r="N129" t="s">
        <v>110</v>
      </c>
      <c r="O129" t="s">
        <v>110</v>
      </c>
      <c r="R129" t="s">
        <v>78</v>
      </c>
      <c r="S129" t="s">
        <v>78</v>
      </c>
      <c r="T129" t="s">
        <v>78</v>
      </c>
      <c r="U129" t="s">
        <v>78</v>
      </c>
      <c r="V129" t="s">
        <v>78</v>
      </c>
      <c r="W129" t="s">
        <v>78</v>
      </c>
      <c r="X129" t="s">
        <v>78</v>
      </c>
      <c r="Y129" t="s">
        <v>78</v>
      </c>
      <c r="Z129" t="s">
        <v>78</v>
      </c>
      <c r="AA129" t="s">
        <v>78</v>
      </c>
      <c r="AB129" t="s">
        <v>78</v>
      </c>
      <c r="AC129" s="21" t="s">
        <v>78</v>
      </c>
      <c r="AD129" s="21" t="s">
        <v>78</v>
      </c>
      <c r="AE129" s="21" t="s">
        <v>78</v>
      </c>
      <c r="AF129" s="21" t="s">
        <v>78</v>
      </c>
      <c r="AG129" s="21" t="s">
        <v>78</v>
      </c>
      <c r="AH129" s="21" t="s">
        <v>78</v>
      </c>
      <c r="AI129" s="21" t="s">
        <v>78</v>
      </c>
      <c r="AJ129" s="21" t="s">
        <v>78</v>
      </c>
      <c r="AK129" s="21" t="s">
        <v>78</v>
      </c>
      <c r="AL129" s="21" t="s">
        <v>78</v>
      </c>
      <c r="AM129" s="21" t="s">
        <v>78</v>
      </c>
      <c r="AN129" s="21" t="s">
        <v>78</v>
      </c>
      <c r="AO129" s="21" t="s">
        <v>78</v>
      </c>
      <c r="AP129" s="21" t="s">
        <v>78</v>
      </c>
      <c r="AQ129" s="21" t="s">
        <v>78</v>
      </c>
      <c r="AR129" s="21" t="s">
        <v>78</v>
      </c>
      <c r="AS129" s="21" t="s">
        <v>78</v>
      </c>
      <c r="AT129" s="21" t="s">
        <v>78</v>
      </c>
      <c r="AU129" s="21" t="s">
        <v>78</v>
      </c>
      <c r="AV129" s="21" t="s">
        <v>78</v>
      </c>
      <c r="AW129" s="21" t="s">
        <v>78</v>
      </c>
      <c r="AX129" s="21" t="s">
        <v>78</v>
      </c>
      <c r="AY129" s="21" t="s">
        <v>78</v>
      </c>
      <c r="AZ129" s="21" t="s">
        <v>78</v>
      </c>
      <c r="BA129" s="21" t="s">
        <v>78</v>
      </c>
      <c r="BB129" s="21" t="s">
        <v>78</v>
      </c>
      <c r="BC129" s="21" t="s">
        <v>78</v>
      </c>
      <c r="BD129" s="21" t="s">
        <v>78</v>
      </c>
      <c r="BE129" s="21" t="s">
        <v>78</v>
      </c>
      <c r="BF129" s="21" t="s">
        <v>78</v>
      </c>
      <c r="BG129" s="21" t="s">
        <v>78</v>
      </c>
      <c r="BH129" s="21" t="s">
        <v>78</v>
      </c>
      <c r="BI129" t="s">
        <v>78</v>
      </c>
      <c r="BJ129" t="s">
        <v>78</v>
      </c>
      <c r="BK129" t="s">
        <v>78</v>
      </c>
    </row>
    <row r="130" spans="1:63" x14ac:dyDescent="0.3">
      <c r="A130" t="s">
        <v>520</v>
      </c>
      <c r="B130" s="21" t="s">
        <v>78</v>
      </c>
      <c r="C130" s="21" t="s">
        <v>78</v>
      </c>
      <c r="D130" s="21" t="s">
        <v>78</v>
      </c>
      <c r="E130" s="21" t="s">
        <v>78</v>
      </c>
      <c r="F130" t="s">
        <v>78</v>
      </c>
      <c r="G130" t="s">
        <v>78</v>
      </c>
      <c r="J130" t="s">
        <v>77</v>
      </c>
      <c r="K130" t="s">
        <v>78</v>
      </c>
      <c r="L130" t="s">
        <v>101</v>
      </c>
      <c r="M130" t="s">
        <v>77</v>
      </c>
      <c r="N130" t="s">
        <v>110</v>
      </c>
      <c r="O130" t="s">
        <v>110</v>
      </c>
      <c r="P130" s="21" t="s">
        <v>77</v>
      </c>
      <c r="Q130" t="s">
        <v>77</v>
      </c>
      <c r="R130" t="s">
        <v>78</v>
      </c>
      <c r="S130" t="s">
        <v>78</v>
      </c>
      <c r="T130" t="s">
        <v>78</v>
      </c>
      <c r="U130" t="s">
        <v>78</v>
      </c>
      <c r="V130" t="s">
        <v>78</v>
      </c>
      <c r="W130" t="s">
        <v>78</v>
      </c>
      <c r="X130" t="s">
        <v>78</v>
      </c>
      <c r="Y130" t="s">
        <v>78</v>
      </c>
      <c r="Z130" t="s">
        <v>78</v>
      </c>
      <c r="AA130" t="s">
        <v>78</v>
      </c>
      <c r="AB130" t="s">
        <v>78</v>
      </c>
      <c r="AC130" s="21" t="s">
        <v>78</v>
      </c>
      <c r="AD130" s="21" t="s">
        <v>78</v>
      </c>
      <c r="AE130" s="21" t="s">
        <v>78</v>
      </c>
      <c r="AF130" s="21" t="s">
        <v>78</v>
      </c>
      <c r="AG130" s="21" t="s">
        <v>78</v>
      </c>
      <c r="AH130" s="21" t="s">
        <v>78</v>
      </c>
      <c r="AI130" s="21" t="s">
        <v>78</v>
      </c>
      <c r="AJ130" s="21" t="s">
        <v>78</v>
      </c>
      <c r="AK130" s="21" t="s">
        <v>78</v>
      </c>
      <c r="AL130" s="21" t="s">
        <v>78</v>
      </c>
      <c r="AM130" s="21" t="s">
        <v>78</v>
      </c>
      <c r="AN130" s="21" t="s">
        <v>78</v>
      </c>
      <c r="AO130" s="21" t="s">
        <v>78</v>
      </c>
      <c r="AP130" s="21" t="s">
        <v>78</v>
      </c>
      <c r="AQ130" s="21" t="s">
        <v>78</v>
      </c>
      <c r="AR130" s="21" t="s">
        <v>78</v>
      </c>
      <c r="AS130" s="21" t="s">
        <v>78</v>
      </c>
      <c r="AT130" s="21" t="s">
        <v>78</v>
      </c>
      <c r="AU130" s="21" t="s">
        <v>78</v>
      </c>
      <c r="AV130" s="21" t="s">
        <v>78</v>
      </c>
      <c r="AW130" s="21" t="s">
        <v>78</v>
      </c>
      <c r="AX130" s="21" t="s">
        <v>78</v>
      </c>
      <c r="AY130" s="21" t="s">
        <v>78</v>
      </c>
      <c r="AZ130" s="21" t="s">
        <v>78</v>
      </c>
      <c r="BA130" s="21" t="s">
        <v>78</v>
      </c>
      <c r="BB130" s="21" t="s">
        <v>78</v>
      </c>
      <c r="BC130" s="21" t="s">
        <v>78</v>
      </c>
      <c r="BD130" s="21" t="s">
        <v>78</v>
      </c>
      <c r="BE130" s="21" t="s">
        <v>78</v>
      </c>
      <c r="BF130" s="21" t="s">
        <v>78</v>
      </c>
      <c r="BG130" s="21" t="s">
        <v>78</v>
      </c>
      <c r="BH130" s="21" t="s">
        <v>78</v>
      </c>
      <c r="BI130" t="s">
        <v>78</v>
      </c>
      <c r="BJ130" t="s">
        <v>78</v>
      </c>
      <c r="BK130" t="s">
        <v>78</v>
      </c>
    </row>
    <row r="131" spans="1:63" x14ac:dyDescent="0.3">
      <c r="A131" t="s">
        <v>521</v>
      </c>
      <c r="B131" s="21" t="s">
        <v>78</v>
      </c>
      <c r="C131" s="21" t="s">
        <v>78</v>
      </c>
      <c r="D131" s="21" t="s">
        <v>78</v>
      </c>
      <c r="E131" s="21" t="s">
        <v>78</v>
      </c>
      <c r="F131" t="s">
        <v>78</v>
      </c>
      <c r="G131" t="s">
        <v>78</v>
      </c>
      <c r="J131" t="s">
        <v>77</v>
      </c>
      <c r="K131" t="s">
        <v>78</v>
      </c>
      <c r="L131" t="s">
        <v>101</v>
      </c>
      <c r="M131" t="s">
        <v>77</v>
      </c>
      <c r="N131" t="s">
        <v>110</v>
      </c>
      <c r="O131" t="s">
        <v>110</v>
      </c>
      <c r="P131" s="21" t="s">
        <v>77</v>
      </c>
      <c r="Q131" s="21" t="s">
        <v>77</v>
      </c>
      <c r="R131" t="s">
        <v>78</v>
      </c>
      <c r="S131" t="s">
        <v>78</v>
      </c>
      <c r="T131" t="s">
        <v>78</v>
      </c>
      <c r="U131" t="s">
        <v>78</v>
      </c>
      <c r="V131" t="s">
        <v>78</v>
      </c>
      <c r="W131" t="s">
        <v>78</v>
      </c>
      <c r="X131" t="s">
        <v>78</v>
      </c>
      <c r="Y131" t="s">
        <v>78</v>
      </c>
      <c r="Z131" t="s">
        <v>78</v>
      </c>
      <c r="AA131" t="s">
        <v>78</v>
      </c>
      <c r="AB131" t="s">
        <v>78</v>
      </c>
      <c r="AC131" s="21" t="s">
        <v>78</v>
      </c>
      <c r="AD131" s="21" t="s">
        <v>78</v>
      </c>
      <c r="AE131" s="21" t="s">
        <v>78</v>
      </c>
      <c r="AF131" s="21" t="s">
        <v>78</v>
      </c>
      <c r="AG131" s="21" t="s">
        <v>78</v>
      </c>
      <c r="AH131" s="21" t="s">
        <v>78</v>
      </c>
      <c r="AI131" s="21" t="s">
        <v>78</v>
      </c>
      <c r="AJ131" s="21" t="s">
        <v>78</v>
      </c>
      <c r="AK131" s="21" t="s">
        <v>78</v>
      </c>
      <c r="AL131" s="21" t="s">
        <v>78</v>
      </c>
      <c r="AM131" s="21" t="s">
        <v>78</v>
      </c>
      <c r="AN131" s="21" t="s">
        <v>78</v>
      </c>
      <c r="AO131" s="21" t="s">
        <v>78</v>
      </c>
      <c r="AP131" s="21" t="s">
        <v>78</v>
      </c>
      <c r="AQ131" s="21" t="s">
        <v>78</v>
      </c>
      <c r="AR131" s="21" t="s">
        <v>78</v>
      </c>
      <c r="AS131" s="21" t="s">
        <v>78</v>
      </c>
      <c r="AT131" s="21" t="s">
        <v>78</v>
      </c>
      <c r="AU131" s="21" t="s">
        <v>78</v>
      </c>
      <c r="AV131" s="21" t="s">
        <v>78</v>
      </c>
      <c r="AW131" s="21" t="s">
        <v>78</v>
      </c>
      <c r="AX131" s="21" t="s">
        <v>78</v>
      </c>
      <c r="AY131" s="21" t="s">
        <v>78</v>
      </c>
      <c r="AZ131" s="21" t="s">
        <v>78</v>
      </c>
      <c r="BA131" s="21" t="s">
        <v>78</v>
      </c>
      <c r="BB131" s="21" t="s">
        <v>78</v>
      </c>
      <c r="BC131" s="21" t="s">
        <v>78</v>
      </c>
      <c r="BD131" s="21" t="s">
        <v>78</v>
      </c>
      <c r="BE131" s="21" t="s">
        <v>78</v>
      </c>
      <c r="BF131" s="21" t="s">
        <v>78</v>
      </c>
      <c r="BG131" s="21" t="s">
        <v>78</v>
      </c>
      <c r="BH131" s="21" t="s">
        <v>78</v>
      </c>
      <c r="BI131" t="s">
        <v>78</v>
      </c>
      <c r="BJ131" t="s">
        <v>78</v>
      </c>
      <c r="BK131" t="s">
        <v>78</v>
      </c>
    </row>
    <row r="132" spans="1:63" x14ac:dyDescent="0.3">
      <c r="A132" t="s">
        <v>522</v>
      </c>
      <c r="B132" s="21" t="s">
        <v>78</v>
      </c>
      <c r="C132" s="21" t="s">
        <v>78</v>
      </c>
      <c r="D132" s="21" t="s">
        <v>78</v>
      </c>
      <c r="E132" s="21" t="s">
        <v>78</v>
      </c>
      <c r="F132" t="s">
        <v>78</v>
      </c>
      <c r="G132" t="s">
        <v>78</v>
      </c>
      <c r="J132" t="s">
        <v>77</v>
      </c>
      <c r="K132" t="s">
        <v>78</v>
      </c>
      <c r="L132" t="s">
        <v>101</v>
      </c>
      <c r="M132" t="s">
        <v>77</v>
      </c>
      <c r="N132" t="s">
        <v>110</v>
      </c>
      <c r="O132" t="s">
        <v>110</v>
      </c>
      <c r="P132" s="21" t="s">
        <v>77</v>
      </c>
      <c r="Q132" s="21" t="s">
        <v>77</v>
      </c>
      <c r="R132" t="s">
        <v>78</v>
      </c>
      <c r="S132" t="s">
        <v>78</v>
      </c>
      <c r="T132" t="s">
        <v>78</v>
      </c>
      <c r="U132" t="s">
        <v>78</v>
      </c>
      <c r="V132" t="s">
        <v>78</v>
      </c>
      <c r="W132" t="s">
        <v>78</v>
      </c>
      <c r="X132" t="s">
        <v>78</v>
      </c>
      <c r="Y132" t="s">
        <v>78</v>
      </c>
      <c r="Z132" t="s">
        <v>78</v>
      </c>
      <c r="AA132" t="s">
        <v>78</v>
      </c>
      <c r="AB132" t="s">
        <v>78</v>
      </c>
      <c r="AC132" s="21" t="s">
        <v>78</v>
      </c>
      <c r="AD132" s="21" t="s">
        <v>78</v>
      </c>
      <c r="AE132" s="21" t="s">
        <v>78</v>
      </c>
      <c r="AF132" s="21" t="s">
        <v>78</v>
      </c>
      <c r="AG132" s="21" t="s">
        <v>78</v>
      </c>
      <c r="AH132" s="21" t="s">
        <v>78</v>
      </c>
      <c r="AI132" s="21" t="s">
        <v>78</v>
      </c>
      <c r="AJ132" s="21" t="s">
        <v>78</v>
      </c>
      <c r="AK132" s="21" t="s">
        <v>78</v>
      </c>
      <c r="AL132" s="21" t="s">
        <v>78</v>
      </c>
      <c r="AM132" s="21" t="s">
        <v>78</v>
      </c>
      <c r="AN132" s="21" t="s">
        <v>78</v>
      </c>
      <c r="AO132" s="21" t="s">
        <v>78</v>
      </c>
      <c r="AP132" s="21" t="s">
        <v>78</v>
      </c>
      <c r="AQ132" s="21" t="s">
        <v>78</v>
      </c>
      <c r="AR132" s="21" t="s">
        <v>78</v>
      </c>
      <c r="AS132" s="21" t="s">
        <v>78</v>
      </c>
      <c r="AT132" s="21" t="s">
        <v>78</v>
      </c>
      <c r="AU132" s="21" t="s">
        <v>78</v>
      </c>
      <c r="AV132" s="21" t="s">
        <v>78</v>
      </c>
      <c r="AW132" s="21" t="s">
        <v>78</v>
      </c>
      <c r="AX132" s="21" t="s">
        <v>78</v>
      </c>
      <c r="AY132" s="21" t="s">
        <v>78</v>
      </c>
      <c r="AZ132" s="21" t="s">
        <v>78</v>
      </c>
      <c r="BA132" s="21" t="s">
        <v>78</v>
      </c>
      <c r="BB132" s="21" t="s">
        <v>78</v>
      </c>
      <c r="BC132" s="21" t="s">
        <v>78</v>
      </c>
      <c r="BD132" s="21" t="s">
        <v>78</v>
      </c>
      <c r="BE132" s="21" t="s">
        <v>78</v>
      </c>
      <c r="BF132" s="21" t="s">
        <v>78</v>
      </c>
      <c r="BG132" s="21" t="s">
        <v>78</v>
      </c>
      <c r="BH132" s="21" t="s">
        <v>78</v>
      </c>
      <c r="BI132" t="s">
        <v>78</v>
      </c>
      <c r="BJ132" t="s">
        <v>78</v>
      </c>
      <c r="BK132" t="s">
        <v>78</v>
      </c>
    </row>
    <row r="133" spans="1:63" x14ac:dyDescent="0.3">
      <c r="A133" t="s">
        <v>523</v>
      </c>
      <c r="B133" s="21" t="s">
        <v>78</v>
      </c>
      <c r="C133" s="21" t="s">
        <v>78</v>
      </c>
      <c r="D133" s="21" t="s">
        <v>78</v>
      </c>
      <c r="E133" s="21" t="s">
        <v>78</v>
      </c>
      <c r="F133" t="s">
        <v>78</v>
      </c>
      <c r="G133" t="s">
        <v>78</v>
      </c>
      <c r="J133" t="s">
        <v>77</v>
      </c>
      <c r="K133" t="s">
        <v>78</v>
      </c>
      <c r="L133" t="s">
        <v>101</v>
      </c>
      <c r="M133" t="s">
        <v>77</v>
      </c>
      <c r="N133" t="s">
        <v>110</v>
      </c>
      <c r="O133" t="s">
        <v>110</v>
      </c>
      <c r="P133" s="21" t="s">
        <v>77</v>
      </c>
      <c r="Q133" s="21" t="s">
        <v>77</v>
      </c>
      <c r="R133" t="s">
        <v>78</v>
      </c>
      <c r="S133" t="s">
        <v>78</v>
      </c>
      <c r="T133" t="s">
        <v>78</v>
      </c>
      <c r="U133" t="s">
        <v>78</v>
      </c>
      <c r="V133" t="s">
        <v>78</v>
      </c>
      <c r="W133" t="s">
        <v>78</v>
      </c>
      <c r="X133" t="s">
        <v>78</v>
      </c>
      <c r="Y133" t="s">
        <v>78</v>
      </c>
      <c r="Z133" t="s">
        <v>78</v>
      </c>
      <c r="AA133" t="s">
        <v>78</v>
      </c>
      <c r="AB133" t="s">
        <v>78</v>
      </c>
      <c r="AC133" s="21" t="s">
        <v>78</v>
      </c>
      <c r="AD133" s="21" t="s">
        <v>78</v>
      </c>
      <c r="AE133" s="21" t="s">
        <v>78</v>
      </c>
      <c r="AF133" s="21" t="s">
        <v>78</v>
      </c>
      <c r="AG133" s="21" t="s">
        <v>78</v>
      </c>
      <c r="AH133" s="21" t="s">
        <v>78</v>
      </c>
      <c r="AI133" s="21" t="s">
        <v>78</v>
      </c>
      <c r="AJ133" s="21" t="s">
        <v>78</v>
      </c>
      <c r="AK133" s="21" t="s">
        <v>78</v>
      </c>
      <c r="AL133" s="21" t="s">
        <v>78</v>
      </c>
      <c r="AM133" s="21" t="s">
        <v>78</v>
      </c>
      <c r="AN133" s="21" t="s">
        <v>78</v>
      </c>
      <c r="AO133" s="21" t="s">
        <v>78</v>
      </c>
      <c r="AP133" s="21" t="s">
        <v>78</v>
      </c>
      <c r="AQ133" s="21" t="s">
        <v>78</v>
      </c>
      <c r="AR133" s="21" t="s">
        <v>78</v>
      </c>
      <c r="AS133" s="21" t="s">
        <v>78</v>
      </c>
      <c r="AT133" s="21" t="s">
        <v>78</v>
      </c>
      <c r="AU133" s="21" t="s">
        <v>78</v>
      </c>
      <c r="AV133" s="21" t="s">
        <v>78</v>
      </c>
      <c r="AW133" s="21" t="s">
        <v>78</v>
      </c>
      <c r="AX133" s="21" t="s">
        <v>78</v>
      </c>
      <c r="AY133" s="21" t="s">
        <v>78</v>
      </c>
      <c r="AZ133" s="21" t="s">
        <v>78</v>
      </c>
      <c r="BA133" s="21" t="s">
        <v>78</v>
      </c>
      <c r="BB133" s="21" t="s">
        <v>78</v>
      </c>
      <c r="BC133" s="21" t="s">
        <v>78</v>
      </c>
      <c r="BD133" s="21" t="s">
        <v>78</v>
      </c>
      <c r="BE133" s="21" t="s">
        <v>78</v>
      </c>
      <c r="BF133" s="21" t="s">
        <v>78</v>
      </c>
      <c r="BG133" s="21" t="s">
        <v>78</v>
      </c>
      <c r="BH133" s="21" t="s">
        <v>78</v>
      </c>
      <c r="BI133" t="s">
        <v>78</v>
      </c>
      <c r="BJ133" t="s">
        <v>78</v>
      </c>
      <c r="BK133" t="s">
        <v>78</v>
      </c>
    </row>
    <row r="135" spans="1:63" x14ac:dyDescent="0.3">
      <c r="A135" t="s">
        <v>96</v>
      </c>
      <c r="B135" t="s">
        <v>87</v>
      </c>
      <c r="C135" s="21" t="s">
        <v>87</v>
      </c>
      <c r="D135" t="s">
        <v>87</v>
      </c>
      <c r="E135" t="s">
        <v>87</v>
      </c>
      <c r="F135" t="s">
        <v>87</v>
      </c>
      <c r="G135" t="s">
        <v>87</v>
      </c>
      <c r="H135" t="s">
        <v>87</v>
      </c>
      <c r="I135" t="s">
        <v>87</v>
      </c>
      <c r="J135" t="s">
        <v>87</v>
      </c>
      <c r="K135" t="s">
        <v>180</v>
      </c>
      <c r="L135" t="s">
        <v>180</v>
      </c>
      <c r="M135" t="s">
        <v>180</v>
      </c>
      <c r="N135" t="s">
        <v>87</v>
      </c>
      <c r="O135" t="s">
        <v>180</v>
      </c>
      <c r="P135" t="s">
        <v>87</v>
      </c>
      <c r="Q135" t="s">
        <v>87</v>
      </c>
      <c r="R135" t="s">
        <v>87</v>
      </c>
      <c r="S135" t="s">
        <v>180</v>
      </c>
      <c r="T135" t="s">
        <v>180</v>
      </c>
      <c r="U135" t="s">
        <v>180</v>
      </c>
      <c r="V135" t="s">
        <v>180</v>
      </c>
      <c r="W135" t="s">
        <v>180</v>
      </c>
      <c r="X135" t="s">
        <v>180</v>
      </c>
      <c r="Y135" t="s">
        <v>180</v>
      </c>
      <c r="Z135" t="s">
        <v>180</v>
      </c>
      <c r="AA135" t="s">
        <v>180</v>
      </c>
      <c r="AB135" t="s">
        <v>180</v>
      </c>
      <c r="BI135" t="s">
        <v>180</v>
      </c>
      <c r="BJ135" t="s">
        <v>180</v>
      </c>
      <c r="BK135" t="s">
        <v>180</v>
      </c>
    </row>
    <row r="136" spans="1:63" x14ac:dyDescent="0.3">
      <c r="B136" s="21" t="s">
        <v>15</v>
      </c>
      <c r="C136" s="21" t="s">
        <v>14</v>
      </c>
      <c r="D136" t="s">
        <v>16</v>
      </c>
      <c r="E136" t="s">
        <v>557</v>
      </c>
      <c r="F136" t="s">
        <v>19</v>
      </c>
      <c r="G136" t="s">
        <v>20</v>
      </c>
      <c r="H136" t="s">
        <v>22</v>
      </c>
      <c r="I136" t="s">
        <v>24</v>
      </c>
      <c r="J136" t="s">
        <v>53</v>
      </c>
      <c r="K136" t="s">
        <v>27</v>
      </c>
      <c r="L136" t="s">
        <v>28</v>
      </c>
      <c r="M136" s="12" t="s">
        <v>123</v>
      </c>
      <c r="N136" t="s">
        <v>108</v>
      </c>
      <c r="O136" t="s">
        <v>117</v>
      </c>
      <c r="P136" t="s">
        <v>150</v>
      </c>
      <c r="Q136" t="s">
        <v>151</v>
      </c>
      <c r="R136" t="s">
        <v>152</v>
      </c>
      <c r="S136" t="s">
        <v>67</v>
      </c>
      <c r="T136" t="s">
        <v>68</v>
      </c>
      <c r="U136" t="s">
        <v>56</v>
      </c>
      <c r="V136" t="s">
        <v>57</v>
      </c>
      <c r="W136" t="s">
        <v>58</v>
      </c>
      <c r="X136" t="s">
        <v>59</v>
      </c>
      <c r="Y136" t="s">
        <v>60</v>
      </c>
      <c r="Z136" t="s">
        <v>62</v>
      </c>
      <c r="AA136" t="s">
        <v>61</v>
      </c>
      <c r="AB136" t="s">
        <v>63</v>
      </c>
      <c r="AC136" s="21" t="s">
        <v>659</v>
      </c>
      <c r="AD136" s="21" t="s">
        <v>603</v>
      </c>
      <c r="AE136" s="21" t="s">
        <v>604</v>
      </c>
      <c r="AF136" s="21" t="s">
        <v>605</v>
      </c>
      <c r="AG136" s="21" t="s">
        <v>606</v>
      </c>
      <c r="AH136" s="21" t="s">
        <v>607</v>
      </c>
      <c r="AI136" s="21" t="s">
        <v>608</v>
      </c>
      <c r="AJ136" s="21" t="s">
        <v>609</v>
      </c>
      <c r="AK136" s="21" t="s">
        <v>610</v>
      </c>
      <c r="AL136" s="21" t="s">
        <v>611</v>
      </c>
      <c r="AM136" s="21" t="s">
        <v>612</v>
      </c>
      <c r="AN136" s="21" t="s">
        <v>56</v>
      </c>
      <c r="AO136" s="21" t="s">
        <v>613</v>
      </c>
      <c r="AP136" s="21" t="s">
        <v>614</v>
      </c>
      <c r="AQ136" s="21" t="s">
        <v>615</v>
      </c>
      <c r="AR136" s="21" t="s">
        <v>616</v>
      </c>
      <c r="AS136" s="21" t="s">
        <v>617</v>
      </c>
      <c r="AT136" s="21" t="s">
        <v>618</v>
      </c>
      <c r="AU136" s="21" t="s">
        <v>619</v>
      </c>
      <c r="AV136" s="21" t="s">
        <v>622</v>
      </c>
      <c r="AW136" s="21" t="s">
        <v>620</v>
      </c>
      <c r="AX136" s="21" t="s">
        <v>621</v>
      </c>
      <c r="AY136" s="21" t="s">
        <v>623</v>
      </c>
      <c r="AZ136" s="21" t="s">
        <v>624</v>
      </c>
      <c r="BA136" s="21" t="s">
        <v>625</v>
      </c>
      <c r="BB136" s="21" t="s">
        <v>626</v>
      </c>
      <c r="BC136" s="21" t="s">
        <v>581</v>
      </c>
      <c r="BD136" s="21" t="s">
        <v>583</v>
      </c>
      <c r="BE136" s="21" t="s">
        <v>582</v>
      </c>
      <c r="BF136" s="21" t="s">
        <v>629</v>
      </c>
      <c r="BG136" s="21" t="s">
        <v>627</v>
      </c>
      <c r="BH136" s="21" t="s">
        <v>628</v>
      </c>
      <c r="BI136" t="s">
        <v>29</v>
      </c>
      <c r="BJ136" t="s">
        <v>30</v>
      </c>
      <c r="BK136" t="s">
        <v>31</v>
      </c>
    </row>
    <row r="137" spans="1:63" x14ac:dyDescent="0.3">
      <c r="A137" t="s">
        <v>689</v>
      </c>
      <c r="B137">
        <f t="shared" ref="B137:D156" si="0">1/17</f>
        <v>5.8823529411764705E-2</v>
      </c>
      <c r="C137" s="2">
        <f>'vehicles specifications'!S3</f>
        <v>7</v>
      </c>
      <c r="D137">
        <f t="shared" si="0"/>
        <v>5.8823529411764705E-2</v>
      </c>
      <c r="E137">
        <v>1</v>
      </c>
      <c r="F137">
        <f>1+'vehicles specifications'!AD3</f>
        <v>1</v>
      </c>
      <c r="G137">
        <f>1+'vehicles specifications'!AD3</f>
        <v>1</v>
      </c>
      <c r="J137">
        <v>1</v>
      </c>
      <c r="K137">
        <f>1/('fuels and tailpipe emissions'!$C$3*3.6)</f>
        <v>2.358490566037736E-2</v>
      </c>
      <c r="L137" s="21">
        <f>1/3.6*1.1</f>
        <v>0.30555555555555558</v>
      </c>
      <c r="M137">
        <f>1/'vehicles specifications'!J3</f>
        <v>5.602240896358543E-4</v>
      </c>
      <c r="N137">
        <v>1</v>
      </c>
      <c r="O137">
        <f>1</f>
        <v>1</v>
      </c>
      <c r="P137">
        <f>-1/17</f>
        <v>-5.8823529411764705E-2</v>
      </c>
      <c r="Q137">
        <f>-1/24</f>
        <v>-4.1666666666666664E-2</v>
      </c>
      <c r="R137">
        <f>-1-'vehicles specifications'!AD3</f>
        <v>-1</v>
      </c>
      <c r="S137">
        <v>1</v>
      </c>
      <c r="T137">
        <v>1</v>
      </c>
      <c r="U137">
        <v>1</v>
      </c>
      <c r="V137">
        <v>1</v>
      </c>
      <c r="W137">
        <v>1</v>
      </c>
      <c r="X137">
        <v>1</v>
      </c>
      <c r="Y137">
        <v>1</v>
      </c>
      <c r="Z137">
        <v>1</v>
      </c>
      <c r="AA137">
        <v>1</v>
      </c>
      <c r="AB137">
        <v>1</v>
      </c>
      <c r="AC137" s="21">
        <v>1</v>
      </c>
      <c r="AD137" s="21">
        <v>1</v>
      </c>
      <c r="AE137" s="21">
        <v>1</v>
      </c>
      <c r="AF137" s="21">
        <v>1</v>
      </c>
      <c r="AG137" s="21">
        <v>1</v>
      </c>
      <c r="AH137" s="21">
        <v>1</v>
      </c>
      <c r="AI137" s="21">
        <v>1</v>
      </c>
      <c r="AJ137" s="21">
        <v>1</v>
      </c>
      <c r="AK137" s="21">
        <v>1</v>
      </c>
      <c r="AL137" s="21">
        <v>1</v>
      </c>
      <c r="AM137" s="21">
        <v>1</v>
      </c>
      <c r="AN137" s="21">
        <v>1</v>
      </c>
      <c r="AO137" s="21">
        <v>1</v>
      </c>
      <c r="AP137" s="21">
        <v>1</v>
      </c>
      <c r="AQ137" s="21">
        <v>1</v>
      </c>
      <c r="AR137" s="21">
        <v>1</v>
      </c>
      <c r="AS137" s="21">
        <v>1</v>
      </c>
      <c r="AT137" s="21">
        <v>1</v>
      </c>
      <c r="AU137" s="21">
        <v>1</v>
      </c>
      <c r="AV137" s="21">
        <v>1</v>
      </c>
      <c r="AW137" s="21">
        <v>1</v>
      </c>
      <c r="AX137" s="21">
        <v>1</v>
      </c>
      <c r="AY137" s="21">
        <v>1</v>
      </c>
      <c r="AZ137" s="21">
        <v>1</v>
      </c>
      <c r="BA137" s="21">
        <v>1</v>
      </c>
      <c r="BB137" s="21">
        <v>1</v>
      </c>
      <c r="BC137" s="21">
        <v>1</v>
      </c>
      <c r="BD137" s="21">
        <v>1</v>
      </c>
      <c r="BE137" s="21">
        <v>1</v>
      </c>
      <c r="BF137" s="21">
        <v>1</v>
      </c>
      <c r="BG137" s="21">
        <v>1</v>
      </c>
      <c r="BH137" s="21">
        <v>1</v>
      </c>
      <c r="BI137">
        <f>-1/'vehicles specifications'!$M3</f>
        <v>-1</v>
      </c>
      <c r="BJ137">
        <f>-1/'vehicles specifications'!$M3</f>
        <v>-1</v>
      </c>
      <c r="BK137">
        <f>-1/'vehicles specifications'!$M3</f>
        <v>-1</v>
      </c>
    </row>
    <row r="138" spans="1:63" x14ac:dyDescent="0.3">
      <c r="A138" t="s">
        <v>690</v>
      </c>
      <c r="B138">
        <f t="shared" si="0"/>
        <v>5.8823529411764705E-2</v>
      </c>
      <c r="C138" s="2">
        <f>'vehicles specifications'!S4</f>
        <v>7</v>
      </c>
      <c r="D138">
        <f t="shared" si="0"/>
        <v>5.8823529411764705E-2</v>
      </c>
      <c r="E138" s="21">
        <v>1</v>
      </c>
      <c r="F138">
        <f>1+'vehicles specifications'!AD4</f>
        <v>1</v>
      </c>
      <c r="G138">
        <f>1+'vehicles specifications'!AD4</f>
        <v>1</v>
      </c>
      <c r="J138">
        <v>1</v>
      </c>
      <c r="K138">
        <f>1/('fuels and tailpipe emissions'!$C$3*3.6)</f>
        <v>2.358490566037736E-2</v>
      </c>
      <c r="L138" s="21">
        <f t="shared" ref="L138:L156" si="1">1/3.6*1.1</f>
        <v>0.30555555555555558</v>
      </c>
      <c r="M138">
        <f>1/'vehicles specifications'!J4</f>
        <v>5.602240896358543E-4</v>
      </c>
      <c r="N138" s="21">
        <v>1</v>
      </c>
      <c r="O138">
        <f>1</f>
        <v>1</v>
      </c>
      <c r="P138" s="21">
        <f>-1/17</f>
        <v>-5.8823529411764705E-2</v>
      </c>
      <c r="Q138" s="21">
        <f>-1/24</f>
        <v>-4.1666666666666664E-2</v>
      </c>
      <c r="R138">
        <f>-1-'vehicles specifications'!AD4</f>
        <v>-1</v>
      </c>
      <c r="S138">
        <v>1</v>
      </c>
      <c r="T138">
        <v>1</v>
      </c>
      <c r="U138">
        <v>1</v>
      </c>
      <c r="V138">
        <v>1</v>
      </c>
      <c r="W138">
        <v>1</v>
      </c>
      <c r="X138">
        <v>1</v>
      </c>
      <c r="Y138">
        <v>1</v>
      </c>
      <c r="Z138">
        <v>1</v>
      </c>
      <c r="AA138">
        <v>1</v>
      </c>
      <c r="AB138">
        <v>1</v>
      </c>
      <c r="AC138" s="21">
        <v>1</v>
      </c>
      <c r="AD138" s="21">
        <v>1</v>
      </c>
      <c r="AE138" s="21">
        <v>1</v>
      </c>
      <c r="AF138" s="21">
        <v>1</v>
      </c>
      <c r="AG138" s="21">
        <v>1</v>
      </c>
      <c r="AH138" s="21">
        <v>1</v>
      </c>
      <c r="AI138" s="21">
        <v>1</v>
      </c>
      <c r="AJ138" s="21">
        <v>1</v>
      </c>
      <c r="AK138" s="21">
        <v>1</v>
      </c>
      <c r="AL138" s="21">
        <v>1</v>
      </c>
      <c r="AM138" s="21">
        <v>1</v>
      </c>
      <c r="AN138" s="21">
        <v>1</v>
      </c>
      <c r="AO138" s="21">
        <v>1</v>
      </c>
      <c r="AP138" s="21">
        <v>1</v>
      </c>
      <c r="AQ138" s="21">
        <v>1</v>
      </c>
      <c r="AR138" s="21">
        <v>1</v>
      </c>
      <c r="AS138" s="21">
        <v>1</v>
      </c>
      <c r="AT138" s="21">
        <v>1</v>
      </c>
      <c r="AU138" s="21">
        <v>1</v>
      </c>
      <c r="AV138" s="21">
        <v>1</v>
      </c>
      <c r="AW138" s="21">
        <v>1</v>
      </c>
      <c r="AX138" s="21">
        <v>1</v>
      </c>
      <c r="AY138" s="21">
        <v>1</v>
      </c>
      <c r="AZ138" s="21">
        <v>1</v>
      </c>
      <c r="BA138" s="21">
        <v>1</v>
      </c>
      <c r="BB138" s="21">
        <v>1</v>
      </c>
      <c r="BC138" s="21">
        <v>1</v>
      </c>
      <c r="BD138" s="21">
        <v>1</v>
      </c>
      <c r="BE138" s="21">
        <v>1</v>
      </c>
      <c r="BF138" s="21">
        <v>1</v>
      </c>
      <c r="BG138" s="21">
        <v>1</v>
      </c>
      <c r="BH138" s="21">
        <v>1</v>
      </c>
      <c r="BI138">
        <f>-1/'vehicles specifications'!$M4</f>
        <v>-1</v>
      </c>
      <c r="BJ138">
        <f>-1/'vehicles specifications'!$M4</f>
        <v>-1</v>
      </c>
      <c r="BK138">
        <f>-1/'vehicles specifications'!$M4</f>
        <v>-1</v>
      </c>
    </row>
    <row r="139" spans="1:63" x14ac:dyDescent="0.3">
      <c r="A139" t="s">
        <v>691</v>
      </c>
      <c r="B139">
        <f t="shared" si="0"/>
        <v>5.8823529411764705E-2</v>
      </c>
      <c r="C139" s="2">
        <f>'vehicles specifications'!S5</f>
        <v>7</v>
      </c>
      <c r="D139">
        <f t="shared" si="0"/>
        <v>5.8823529411764705E-2</v>
      </c>
      <c r="E139" s="21">
        <v>1</v>
      </c>
      <c r="F139">
        <f>1+'vehicles specifications'!AD5</f>
        <v>1</v>
      </c>
      <c r="G139">
        <f>1+'vehicles specifications'!AD5</f>
        <v>1</v>
      </c>
      <c r="J139">
        <v>1</v>
      </c>
      <c r="K139">
        <f>1/('fuels and tailpipe emissions'!$C$3*3.6)</f>
        <v>2.358490566037736E-2</v>
      </c>
      <c r="L139" s="21">
        <f t="shared" si="1"/>
        <v>0.30555555555555558</v>
      </c>
      <c r="M139">
        <f>1/'vehicles specifications'!J5</f>
        <v>5.602240896358543E-4</v>
      </c>
      <c r="N139" s="21">
        <v>1</v>
      </c>
      <c r="O139">
        <f>1</f>
        <v>1</v>
      </c>
      <c r="P139" s="21">
        <f t="shared" ref="P139:P144" si="2">-1/17</f>
        <v>-5.8823529411764705E-2</v>
      </c>
      <c r="Q139" s="21">
        <f>-1/24</f>
        <v>-4.1666666666666664E-2</v>
      </c>
      <c r="R139">
        <f>-1-'vehicles specifications'!AD5</f>
        <v>-1</v>
      </c>
      <c r="S139">
        <v>1</v>
      </c>
      <c r="T139">
        <v>1</v>
      </c>
      <c r="U139">
        <v>1</v>
      </c>
      <c r="V139">
        <v>1</v>
      </c>
      <c r="W139">
        <v>1</v>
      </c>
      <c r="X139">
        <v>1</v>
      </c>
      <c r="Y139">
        <v>1</v>
      </c>
      <c r="Z139">
        <v>1</v>
      </c>
      <c r="AA139">
        <v>1</v>
      </c>
      <c r="AB139">
        <v>1</v>
      </c>
      <c r="AC139" s="21">
        <v>1</v>
      </c>
      <c r="AD139" s="21">
        <v>1</v>
      </c>
      <c r="AE139" s="21">
        <v>1</v>
      </c>
      <c r="AF139" s="21">
        <v>1</v>
      </c>
      <c r="AG139" s="21">
        <v>1</v>
      </c>
      <c r="AH139" s="21">
        <v>1</v>
      </c>
      <c r="AI139" s="21">
        <v>1</v>
      </c>
      <c r="AJ139" s="21">
        <v>1</v>
      </c>
      <c r="AK139" s="21">
        <v>1</v>
      </c>
      <c r="AL139" s="21">
        <v>1</v>
      </c>
      <c r="AM139" s="21">
        <v>1</v>
      </c>
      <c r="AN139" s="21">
        <v>1</v>
      </c>
      <c r="AO139" s="21">
        <v>1</v>
      </c>
      <c r="AP139" s="21">
        <v>1</v>
      </c>
      <c r="AQ139" s="21">
        <v>1</v>
      </c>
      <c r="AR139" s="21">
        <v>1</v>
      </c>
      <c r="AS139" s="21">
        <v>1</v>
      </c>
      <c r="AT139" s="21">
        <v>1</v>
      </c>
      <c r="AU139" s="21">
        <v>1</v>
      </c>
      <c r="AV139" s="21">
        <v>1</v>
      </c>
      <c r="AW139" s="21">
        <v>1</v>
      </c>
      <c r="AX139" s="21">
        <v>1</v>
      </c>
      <c r="AY139" s="21">
        <v>1</v>
      </c>
      <c r="AZ139" s="21">
        <v>1</v>
      </c>
      <c r="BA139" s="21">
        <v>1</v>
      </c>
      <c r="BB139" s="21">
        <v>1</v>
      </c>
      <c r="BC139" s="21">
        <v>1</v>
      </c>
      <c r="BD139" s="21">
        <v>1</v>
      </c>
      <c r="BE139" s="21">
        <v>1</v>
      </c>
      <c r="BF139" s="21">
        <v>1</v>
      </c>
      <c r="BG139" s="21">
        <v>1</v>
      </c>
      <c r="BH139" s="21">
        <v>1</v>
      </c>
      <c r="BI139">
        <f>-1/'vehicles specifications'!$M5</f>
        <v>-1</v>
      </c>
      <c r="BJ139">
        <f>-1/'vehicles specifications'!$M5</f>
        <v>-1</v>
      </c>
      <c r="BK139">
        <f>-1/'vehicles specifications'!$M5</f>
        <v>-1</v>
      </c>
    </row>
    <row r="140" spans="1:63" x14ac:dyDescent="0.3">
      <c r="A140" t="s">
        <v>692</v>
      </c>
      <c r="B140">
        <f t="shared" si="0"/>
        <v>5.8823529411764705E-2</v>
      </c>
      <c r="C140" s="2">
        <f>'vehicles specifications'!S6</f>
        <v>7</v>
      </c>
      <c r="D140">
        <f t="shared" si="0"/>
        <v>5.8823529411764705E-2</v>
      </c>
      <c r="E140" s="21">
        <v>1</v>
      </c>
      <c r="F140">
        <f>1+'vehicles specifications'!AD6</f>
        <v>1</v>
      </c>
      <c r="G140">
        <f>1+'vehicles specifications'!AD6</f>
        <v>1</v>
      </c>
      <c r="J140">
        <v>1</v>
      </c>
      <c r="K140">
        <f>1/('fuels and tailpipe emissions'!$C$3*3.6)</f>
        <v>2.358490566037736E-2</v>
      </c>
      <c r="L140" s="21">
        <f t="shared" si="1"/>
        <v>0.30555555555555558</v>
      </c>
      <c r="M140">
        <f>1/'vehicles specifications'!J6</f>
        <v>5.602240896358543E-4</v>
      </c>
      <c r="N140" s="21">
        <v>1</v>
      </c>
      <c r="O140">
        <f>1</f>
        <v>1</v>
      </c>
      <c r="P140" s="21">
        <f t="shared" si="2"/>
        <v>-5.8823529411764705E-2</v>
      </c>
      <c r="Q140" s="21">
        <f>-1/24</f>
        <v>-4.1666666666666664E-2</v>
      </c>
      <c r="R140">
        <f>-1-'vehicles specifications'!AD6</f>
        <v>-1</v>
      </c>
      <c r="S140">
        <v>1</v>
      </c>
      <c r="T140">
        <v>1</v>
      </c>
      <c r="U140">
        <v>1</v>
      </c>
      <c r="V140">
        <v>1</v>
      </c>
      <c r="W140">
        <v>1</v>
      </c>
      <c r="X140">
        <v>1</v>
      </c>
      <c r="Y140">
        <v>1</v>
      </c>
      <c r="Z140">
        <v>1</v>
      </c>
      <c r="AA140">
        <v>1</v>
      </c>
      <c r="AB140">
        <v>1</v>
      </c>
      <c r="AC140" s="21">
        <v>1</v>
      </c>
      <c r="AD140" s="21">
        <v>1</v>
      </c>
      <c r="AE140" s="21">
        <v>1</v>
      </c>
      <c r="AF140" s="21">
        <v>1</v>
      </c>
      <c r="AG140" s="21">
        <v>1</v>
      </c>
      <c r="AH140" s="21">
        <v>1</v>
      </c>
      <c r="AI140" s="21">
        <v>1</v>
      </c>
      <c r="AJ140" s="21">
        <v>1</v>
      </c>
      <c r="AK140" s="21">
        <v>1</v>
      </c>
      <c r="AL140" s="21">
        <v>1</v>
      </c>
      <c r="AM140" s="21">
        <v>1</v>
      </c>
      <c r="AN140" s="21">
        <v>1</v>
      </c>
      <c r="AO140" s="21">
        <v>1</v>
      </c>
      <c r="AP140" s="21">
        <v>1</v>
      </c>
      <c r="AQ140" s="21">
        <v>1</v>
      </c>
      <c r="AR140" s="21">
        <v>1</v>
      </c>
      <c r="AS140" s="21">
        <v>1</v>
      </c>
      <c r="AT140" s="21">
        <v>1</v>
      </c>
      <c r="AU140" s="21">
        <v>1</v>
      </c>
      <c r="AV140" s="21">
        <v>1</v>
      </c>
      <c r="AW140" s="21">
        <v>1</v>
      </c>
      <c r="AX140" s="21">
        <v>1</v>
      </c>
      <c r="AY140" s="21">
        <v>1</v>
      </c>
      <c r="AZ140" s="21">
        <v>1</v>
      </c>
      <c r="BA140" s="21">
        <v>1</v>
      </c>
      <c r="BB140" s="21">
        <v>1</v>
      </c>
      <c r="BC140" s="21">
        <v>1</v>
      </c>
      <c r="BD140" s="21">
        <v>1</v>
      </c>
      <c r="BE140" s="21">
        <v>1</v>
      </c>
      <c r="BF140" s="21">
        <v>1</v>
      </c>
      <c r="BG140" s="21">
        <v>1</v>
      </c>
      <c r="BH140" s="21">
        <v>1</v>
      </c>
      <c r="BI140">
        <f>-1/'vehicles specifications'!$M6</f>
        <v>-1</v>
      </c>
      <c r="BJ140">
        <f>-1/'vehicles specifications'!$M6</f>
        <v>-1</v>
      </c>
      <c r="BK140">
        <f>-1/'vehicles specifications'!$M6</f>
        <v>-1</v>
      </c>
    </row>
    <row r="141" spans="1:63" x14ac:dyDescent="0.3">
      <c r="A141" t="s">
        <v>176</v>
      </c>
      <c r="B141">
        <f t="shared" si="0"/>
        <v>5.8823529411764705E-2</v>
      </c>
      <c r="C141" s="2">
        <f>'vehicles specifications'!S7</f>
        <v>12</v>
      </c>
      <c r="D141">
        <f t="shared" si="0"/>
        <v>5.8823529411764705E-2</v>
      </c>
      <c r="F141">
        <f>1+'vehicles specifications'!AD7</f>
        <v>1</v>
      </c>
      <c r="G141">
        <f>1+'vehicles specifications'!AD7</f>
        <v>1</v>
      </c>
      <c r="K141">
        <f>1/('fuels and tailpipe emissions'!$C$3*3.6)</f>
        <v>2.358490566037736E-2</v>
      </c>
      <c r="L141" s="21">
        <f t="shared" si="1"/>
        <v>0.30555555555555558</v>
      </c>
      <c r="M141">
        <f>1/'vehicles specifications'!J7</f>
        <v>1E-4</v>
      </c>
      <c r="N141" s="21">
        <v>1</v>
      </c>
      <c r="O141">
        <f>1</f>
        <v>1</v>
      </c>
      <c r="P141" s="21">
        <f t="shared" si="2"/>
        <v>-5.8823529411764705E-2</v>
      </c>
      <c r="Q141">
        <v>-1</v>
      </c>
      <c r="R141">
        <f>-1-'vehicles specifications'!AD7</f>
        <v>-1</v>
      </c>
      <c r="S141">
        <v>1</v>
      </c>
      <c r="T141">
        <v>1</v>
      </c>
      <c r="U141">
        <v>1</v>
      </c>
      <c r="V141">
        <v>1</v>
      </c>
      <c r="W141">
        <v>1</v>
      </c>
      <c r="X141">
        <v>1</v>
      </c>
      <c r="Y141">
        <v>1</v>
      </c>
      <c r="Z141">
        <v>1</v>
      </c>
      <c r="AA141">
        <v>1</v>
      </c>
      <c r="AB141">
        <v>1</v>
      </c>
      <c r="AC141" s="21">
        <v>1</v>
      </c>
      <c r="AD141" s="21">
        <v>1</v>
      </c>
      <c r="AE141" s="21">
        <v>1</v>
      </c>
      <c r="AF141" s="21">
        <v>1</v>
      </c>
      <c r="AG141" s="21">
        <v>1</v>
      </c>
      <c r="AH141" s="21">
        <v>1</v>
      </c>
      <c r="AI141" s="21">
        <v>1</v>
      </c>
      <c r="AJ141" s="21">
        <v>1</v>
      </c>
      <c r="AK141" s="21">
        <v>1</v>
      </c>
      <c r="AL141" s="21">
        <v>1</v>
      </c>
      <c r="AM141" s="21">
        <v>1</v>
      </c>
      <c r="AN141" s="21">
        <v>1</v>
      </c>
      <c r="AO141" s="21">
        <v>1</v>
      </c>
      <c r="AP141" s="21">
        <v>1</v>
      </c>
      <c r="AQ141" s="21">
        <v>1</v>
      </c>
      <c r="AR141" s="21">
        <v>1</v>
      </c>
      <c r="AS141" s="21">
        <v>1</v>
      </c>
      <c r="AT141" s="21">
        <v>1</v>
      </c>
      <c r="AU141" s="21">
        <v>1</v>
      </c>
      <c r="AV141" s="21">
        <v>1</v>
      </c>
      <c r="AW141" s="21">
        <v>1</v>
      </c>
      <c r="AX141" s="21">
        <v>1</v>
      </c>
      <c r="AY141" s="21">
        <v>1</v>
      </c>
      <c r="AZ141" s="21">
        <v>1</v>
      </c>
      <c r="BA141" s="21">
        <v>1</v>
      </c>
      <c r="BB141" s="21">
        <v>1</v>
      </c>
      <c r="BC141" s="21">
        <v>1</v>
      </c>
      <c r="BD141" s="21">
        <v>1</v>
      </c>
      <c r="BE141" s="21">
        <v>1</v>
      </c>
      <c r="BF141" s="21">
        <v>1</v>
      </c>
      <c r="BG141" s="21">
        <v>1</v>
      </c>
      <c r="BH141" s="21">
        <v>1</v>
      </c>
      <c r="BI141">
        <f>-1/'vehicles specifications'!$M7</f>
        <v>-1</v>
      </c>
      <c r="BJ141">
        <f>-1/'vehicles specifications'!$M7</f>
        <v>-1</v>
      </c>
      <c r="BK141">
        <f>-1/'vehicles specifications'!$M7</f>
        <v>-1</v>
      </c>
    </row>
    <row r="142" spans="1:63" x14ac:dyDescent="0.3">
      <c r="A142" t="s">
        <v>177</v>
      </c>
      <c r="B142">
        <f t="shared" si="0"/>
        <v>5.8823529411764705E-2</v>
      </c>
      <c r="C142" s="2">
        <f>'vehicles specifications'!S8</f>
        <v>12</v>
      </c>
      <c r="D142">
        <f t="shared" si="0"/>
        <v>5.8823529411764705E-2</v>
      </c>
      <c r="F142">
        <f>1+'vehicles specifications'!AD8</f>
        <v>1</v>
      </c>
      <c r="G142">
        <f>1+'vehicles specifications'!AD8</f>
        <v>1</v>
      </c>
      <c r="K142">
        <f>1/('fuels and tailpipe emissions'!$C$3*3.6)</f>
        <v>2.358490566037736E-2</v>
      </c>
      <c r="L142" s="21">
        <f t="shared" si="1"/>
        <v>0.30555555555555558</v>
      </c>
      <c r="M142">
        <f>1/'vehicles specifications'!J8</f>
        <v>1E-4</v>
      </c>
      <c r="N142" s="21">
        <v>1</v>
      </c>
      <c r="O142">
        <f>1</f>
        <v>1</v>
      </c>
      <c r="P142" s="21">
        <f t="shared" si="2"/>
        <v>-5.8823529411764705E-2</v>
      </c>
      <c r="Q142">
        <v>-1</v>
      </c>
      <c r="R142">
        <f>-1-'vehicles specifications'!AD8</f>
        <v>-1</v>
      </c>
      <c r="S142">
        <v>1</v>
      </c>
      <c r="T142">
        <v>1</v>
      </c>
      <c r="U142">
        <v>1</v>
      </c>
      <c r="V142">
        <v>1</v>
      </c>
      <c r="W142">
        <v>1</v>
      </c>
      <c r="X142">
        <v>1</v>
      </c>
      <c r="Y142">
        <v>1</v>
      </c>
      <c r="Z142">
        <v>1</v>
      </c>
      <c r="AA142">
        <v>1</v>
      </c>
      <c r="AB142">
        <v>1</v>
      </c>
      <c r="AC142" s="21">
        <v>1</v>
      </c>
      <c r="AD142" s="21">
        <v>1</v>
      </c>
      <c r="AE142" s="21">
        <v>1</v>
      </c>
      <c r="AF142" s="21">
        <v>1</v>
      </c>
      <c r="AG142" s="21">
        <v>1</v>
      </c>
      <c r="AH142" s="21">
        <v>1</v>
      </c>
      <c r="AI142" s="21">
        <v>1</v>
      </c>
      <c r="AJ142" s="21">
        <v>1</v>
      </c>
      <c r="AK142" s="21">
        <v>1</v>
      </c>
      <c r="AL142" s="21">
        <v>1</v>
      </c>
      <c r="AM142" s="21">
        <v>1</v>
      </c>
      <c r="AN142" s="21">
        <v>1</v>
      </c>
      <c r="AO142" s="21">
        <v>1</v>
      </c>
      <c r="AP142" s="21">
        <v>1</v>
      </c>
      <c r="AQ142" s="21">
        <v>1</v>
      </c>
      <c r="AR142" s="21">
        <v>1</v>
      </c>
      <c r="AS142" s="21">
        <v>1</v>
      </c>
      <c r="AT142" s="21">
        <v>1</v>
      </c>
      <c r="AU142" s="21">
        <v>1</v>
      </c>
      <c r="AV142" s="21">
        <v>1</v>
      </c>
      <c r="AW142" s="21">
        <v>1</v>
      </c>
      <c r="AX142" s="21">
        <v>1</v>
      </c>
      <c r="AY142" s="21">
        <v>1</v>
      </c>
      <c r="AZ142" s="21">
        <v>1</v>
      </c>
      <c r="BA142" s="21">
        <v>1</v>
      </c>
      <c r="BB142" s="21">
        <v>1</v>
      </c>
      <c r="BC142" s="21">
        <v>1</v>
      </c>
      <c r="BD142" s="21">
        <v>1</v>
      </c>
      <c r="BE142" s="21">
        <v>1</v>
      </c>
      <c r="BF142" s="21">
        <v>1</v>
      </c>
      <c r="BG142" s="21">
        <v>1</v>
      </c>
      <c r="BH142" s="21">
        <v>1</v>
      </c>
      <c r="BI142">
        <f>-1/'vehicles specifications'!$M8</f>
        <v>-1</v>
      </c>
      <c r="BJ142">
        <f>-1/'vehicles specifications'!$M8</f>
        <v>-1</v>
      </c>
      <c r="BK142">
        <f>-1/'vehicles specifications'!$M8</f>
        <v>-1</v>
      </c>
    </row>
    <row r="143" spans="1:63" x14ac:dyDescent="0.3">
      <c r="A143" t="s">
        <v>178</v>
      </c>
      <c r="B143">
        <f t="shared" si="0"/>
        <v>5.8823529411764705E-2</v>
      </c>
      <c r="C143" s="2">
        <f>'vehicles specifications'!S9</f>
        <v>12</v>
      </c>
      <c r="D143">
        <f t="shared" si="0"/>
        <v>5.8823529411764705E-2</v>
      </c>
      <c r="F143">
        <f>1+'vehicles specifications'!AD9</f>
        <v>1</v>
      </c>
      <c r="G143">
        <f>1+'vehicles specifications'!AD9</f>
        <v>1</v>
      </c>
      <c r="K143">
        <f>1/('fuels and tailpipe emissions'!$C$3*3.6)</f>
        <v>2.358490566037736E-2</v>
      </c>
      <c r="L143" s="21">
        <f t="shared" si="1"/>
        <v>0.30555555555555558</v>
      </c>
      <c r="M143">
        <f>1/'vehicles specifications'!J9</f>
        <v>1E-4</v>
      </c>
      <c r="N143" s="21">
        <v>1</v>
      </c>
      <c r="O143">
        <f>1</f>
        <v>1</v>
      </c>
      <c r="P143" s="21">
        <f t="shared" si="2"/>
        <v>-5.8823529411764705E-2</v>
      </c>
      <c r="Q143">
        <v>-1</v>
      </c>
      <c r="R143">
        <f>-1-'vehicles specifications'!AD9</f>
        <v>-1</v>
      </c>
      <c r="S143">
        <v>1</v>
      </c>
      <c r="T143">
        <v>1</v>
      </c>
      <c r="U143">
        <v>1</v>
      </c>
      <c r="V143">
        <v>1</v>
      </c>
      <c r="W143">
        <v>1</v>
      </c>
      <c r="X143">
        <v>1</v>
      </c>
      <c r="Y143">
        <v>1</v>
      </c>
      <c r="Z143">
        <v>1</v>
      </c>
      <c r="AA143">
        <v>1</v>
      </c>
      <c r="AB143">
        <v>1</v>
      </c>
      <c r="AC143" s="21">
        <v>1</v>
      </c>
      <c r="AD143" s="21">
        <v>1</v>
      </c>
      <c r="AE143" s="21">
        <v>1</v>
      </c>
      <c r="AF143" s="21">
        <v>1</v>
      </c>
      <c r="AG143" s="21">
        <v>1</v>
      </c>
      <c r="AH143" s="21">
        <v>1</v>
      </c>
      <c r="AI143" s="21">
        <v>1</v>
      </c>
      <c r="AJ143" s="21">
        <v>1</v>
      </c>
      <c r="AK143" s="21">
        <v>1</v>
      </c>
      <c r="AL143" s="21">
        <v>1</v>
      </c>
      <c r="AM143" s="21">
        <v>1</v>
      </c>
      <c r="AN143" s="21">
        <v>1</v>
      </c>
      <c r="AO143" s="21">
        <v>1</v>
      </c>
      <c r="AP143" s="21">
        <v>1</v>
      </c>
      <c r="AQ143" s="21">
        <v>1</v>
      </c>
      <c r="AR143" s="21">
        <v>1</v>
      </c>
      <c r="AS143" s="21">
        <v>1</v>
      </c>
      <c r="AT143" s="21">
        <v>1</v>
      </c>
      <c r="AU143" s="21">
        <v>1</v>
      </c>
      <c r="AV143" s="21">
        <v>1</v>
      </c>
      <c r="AW143" s="21">
        <v>1</v>
      </c>
      <c r="AX143" s="21">
        <v>1</v>
      </c>
      <c r="AY143" s="21">
        <v>1</v>
      </c>
      <c r="AZ143" s="21">
        <v>1</v>
      </c>
      <c r="BA143" s="21">
        <v>1</v>
      </c>
      <c r="BB143" s="21">
        <v>1</v>
      </c>
      <c r="BC143" s="21">
        <v>1</v>
      </c>
      <c r="BD143" s="21">
        <v>1</v>
      </c>
      <c r="BE143" s="21">
        <v>1</v>
      </c>
      <c r="BF143" s="21">
        <v>1</v>
      </c>
      <c r="BG143" s="21">
        <v>1</v>
      </c>
      <c r="BH143" s="21">
        <v>1</v>
      </c>
      <c r="BI143">
        <f>-1/'vehicles specifications'!$M9</f>
        <v>-1</v>
      </c>
      <c r="BJ143">
        <f>-1/'vehicles specifications'!$M9</f>
        <v>-1</v>
      </c>
      <c r="BK143">
        <f>-1/'vehicles specifications'!$M9</f>
        <v>-1</v>
      </c>
    </row>
    <row r="144" spans="1:63" x14ac:dyDescent="0.3">
      <c r="A144" t="s">
        <v>179</v>
      </c>
      <c r="B144">
        <f t="shared" si="0"/>
        <v>5.8823529411764705E-2</v>
      </c>
      <c r="C144" s="2">
        <f>'vehicles specifications'!S10</f>
        <v>12</v>
      </c>
      <c r="D144">
        <f t="shared" si="0"/>
        <v>5.8823529411764705E-2</v>
      </c>
      <c r="F144">
        <f>1+'vehicles specifications'!AD10</f>
        <v>1</v>
      </c>
      <c r="G144">
        <f>1+'vehicles specifications'!AD10</f>
        <v>1</v>
      </c>
      <c r="K144">
        <f>1/('fuels and tailpipe emissions'!$C$3*3.6)</f>
        <v>2.358490566037736E-2</v>
      </c>
      <c r="L144" s="21">
        <f t="shared" si="1"/>
        <v>0.30555555555555558</v>
      </c>
      <c r="M144">
        <f>1/'vehicles specifications'!J10</f>
        <v>1E-4</v>
      </c>
      <c r="N144" s="21">
        <v>1</v>
      </c>
      <c r="O144">
        <f>1</f>
        <v>1</v>
      </c>
      <c r="P144" s="21">
        <f t="shared" si="2"/>
        <v>-5.8823529411764705E-2</v>
      </c>
      <c r="Q144">
        <v>-1</v>
      </c>
      <c r="R144">
        <f>-1-'vehicles specifications'!AD10</f>
        <v>-1</v>
      </c>
      <c r="S144">
        <v>1</v>
      </c>
      <c r="T144">
        <v>1</v>
      </c>
      <c r="U144">
        <v>1</v>
      </c>
      <c r="V144">
        <v>1</v>
      </c>
      <c r="W144">
        <v>1</v>
      </c>
      <c r="X144">
        <v>1</v>
      </c>
      <c r="Y144">
        <v>1</v>
      </c>
      <c r="Z144">
        <v>1</v>
      </c>
      <c r="AA144">
        <v>1</v>
      </c>
      <c r="AB144">
        <v>1</v>
      </c>
      <c r="AC144" s="21">
        <v>1</v>
      </c>
      <c r="AD144" s="21">
        <v>1</v>
      </c>
      <c r="AE144" s="21">
        <v>1</v>
      </c>
      <c r="AF144" s="21">
        <v>1</v>
      </c>
      <c r="AG144" s="21">
        <v>1</v>
      </c>
      <c r="AH144" s="21">
        <v>1</v>
      </c>
      <c r="AI144" s="21">
        <v>1</v>
      </c>
      <c r="AJ144" s="21">
        <v>1</v>
      </c>
      <c r="AK144" s="21">
        <v>1</v>
      </c>
      <c r="AL144" s="21">
        <v>1</v>
      </c>
      <c r="AM144" s="21">
        <v>1</v>
      </c>
      <c r="AN144" s="21">
        <v>1</v>
      </c>
      <c r="AO144" s="21">
        <v>1</v>
      </c>
      <c r="AP144" s="21">
        <v>1</v>
      </c>
      <c r="AQ144" s="21">
        <v>1</v>
      </c>
      <c r="AR144" s="21">
        <v>1</v>
      </c>
      <c r="AS144" s="21">
        <v>1</v>
      </c>
      <c r="AT144" s="21">
        <v>1</v>
      </c>
      <c r="AU144" s="21">
        <v>1</v>
      </c>
      <c r="AV144" s="21">
        <v>1</v>
      </c>
      <c r="AW144" s="21">
        <v>1</v>
      </c>
      <c r="AX144" s="21">
        <v>1</v>
      </c>
      <c r="AY144" s="21">
        <v>1</v>
      </c>
      <c r="AZ144" s="21">
        <v>1</v>
      </c>
      <c r="BA144" s="21">
        <v>1</v>
      </c>
      <c r="BB144" s="21">
        <v>1</v>
      </c>
      <c r="BC144" s="21">
        <v>1</v>
      </c>
      <c r="BD144" s="21">
        <v>1</v>
      </c>
      <c r="BE144" s="21">
        <v>1</v>
      </c>
      <c r="BF144" s="21">
        <v>1</v>
      </c>
      <c r="BG144" s="21">
        <v>1</v>
      </c>
      <c r="BH144" s="21">
        <v>1</v>
      </c>
      <c r="BI144">
        <f>-1/'vehicles specifications'!$M10</f>
        <v>-1</v>
      </c>
      <c r="BJ144">
        <f>-1/'vehicles specifications'!$M10</f>
        <v>-1</v>
      </c>
      <c r="BK144">
        <f>-1/'vehicles specifications'!$M10</f>
        <v>-1</v>
      </c>
    </row>
    <row r="145" spans="1:63" x14ac:dyDescent="0.3">
      <c r="A145" t="s">
        <v>529</v>
      </c>
      <c r="B145">
        <f t="shared" si="0"/>
        <v>5.8823529411764705E-2</v>
      </c>
      <c r="C145" s="2">
        <f>'vehicles specifications'!S11</f>
        <v>16</v>
      </c>
      <c r="D145">
        <f t="shared" si="0"/>
        <v>5.8823529411764705E-2</v>
      </c>
      <c r="E145">
        <v>1</v>
      </c>
      <c r="F145">
        <f>1+'vehicles specifications'!AD11</f>
        <v>2</v>
      </c>
      <c r="G145">
        <f>1+'vehicles specifications'!AD11</f>
        <v>2</v>
      </c>
      <c r="J145">
        <v>1</v>
      </c>
      <c r="K145">
        <f>1/('fuels and tailpipe emissions'!$C$3*3.6)</f>
        <v>2.358490566037736E-2</v>
      </c>
      <c r="L145" s="21">
        <f t="shared" si="1"/>
        <v>0.30555555555555558</v>
      </c>
      <c r="M145">
        <f>1/'vehicles specifications'!J11</f>
        <v>5.0000000000000002E-5</v>
      </c>
      <c r="N145" s="21">
        <v>1</v>
      </c>
      <c r="O145">
        <f>1</f>
        <v>1</v>
      </c>
      <c r="P145">
        <f>-1/24</f>
        <v>-4.1666666666666664E-2</v>
      </c>
      <c r="Q145" s="21">
        <f>-1/24</f>
        <v>-4.1666666666666664E-2</v>
      </c>
      <c r="R145">
        <f>-1-'vehicles specifications'!AD11</f>
        <v>-2</v>
      </c>
      <c r="S145">
        <v>1</v>
      </c>
      <c r="T145">
        <v>1</v>
      </c>
      <c r="U145">
        <v>1</v>
      </c>
      <c r="V145">
        <v>1</v>
      </c>
      <c r="W145">
        <v>1</v>
      </c>
      <c r="X145">
        <v>1</v>
      </c>
      <c r="Y145">
        <v>1</v>
      </c>
      <c r="Z145">
        <v>1</v>
      </c>
      <c r="AA145">
        <v>1</v>
      </c>
      <c r="AB145">
        <v>1</v>
      </c>
      <c r="AC145" s="21">
        <v>1</v>
      </c>
      <c r="AD145" s="21">
        <v>1</v>
      </c>
      <c r="AE145" s="21">
        <v>1</v>
      </c>
      <c r="AF145" s="21">
        <v>1</v>
      </c>
      <c r="AG145" s="21">
        <v>1</v>
      </c>
      <c r="AH145" s="21">
        <v>1</v>
      </c>
      <c r="AI145" s="21">
        <v>1</v>
      </c>
      <c r="AJ145" s="21">
        <v>1</v>
      </c>
      <c r="AK145" s="21">
        <v>1</v>
      </c>
      <c r="AL145" s="21">
        <v>1</v>
      </c>
      <c r="AM145" s="21">
        <v>1</v>
      </c>
      <c r="AN145" s="21">
        <v>1</v>
      </c>
      <c r="AO145" s="21">
        <v>1</v>
      </c>
      <c r="AP145" s="21">
        <v>1</v>
      </c>
      <c r="AQ145" s="21">
        <v>1</v>
      </c>
      <c r="AR145" s="21">
        <v>1</v>
      </c>
      <c r="AS145" s="21">
        <v>1</v>
      </c>
      <c r="AT145" s="21">
        <v>1</v>
      </c>
      <c r="AU145" s="21">
        <v>1</v>
      </c>
      <c r="AV145" s="21">
        <v>1</v>
      </c>
      <c r="AW145" s="21">
        <v>1</v>
      </c>
      <c r="AX145" s="21">
        <v>1</v>
      </c>
      <c r="AY145" s="21">
        <v>1</v>
      </c>
      <c r="AZ145" s="21">
        <v>1</v>
      </c>
      <c r="BA145" s="21">
        <v>1</v>
      </c>
      <c r="BB145" s="21">
        <v>1</v>
      </c>
      <c r="BC145" s="21">
        <v>1</v>
      </c>
      <c r="BD145" s="21">
        <v>1</v>
      </c>
      <c r="BE145" s="21">
        <v>1</v>
      </c>
      <c r="BF145" s="21">
        <v>1</v>
      </c>
      <c r="BG145" s="21">
        <v>1</v>
      </c>
      <c r="BH145" s="21">
        <v>1</v>
      </c>
      <c r="BI145">
        <f>-1/'vehicles specifications'!$M11</f>
        <v>-1</v>
      </c>
      <c r="BJ145">
        <f>-1/'vehicles specifications'!$M11</f>
        <v>-1</v>
      </c>
      <c r="BK145">
        <f>-1/'vehicles specifications'!$M11</f>
        <v>-1</v>
      </c>
    </row>
    <row r="146" spans="1:63" x14ac:dyDescent="0.3">
      <c r="A146" t="s">
        <v>530</v>
      </c>
      <c r="B146">
        <f t="shared" si="0"/>
        <v>5.8823529411764705E-2</v>
      </c>
      <c r="C146" s="2">
        <f>'vehicles specifications'!S12</f>
        <v>16</v>
      </c>
      <c r="D146">
        <f t="shared" si="0"/>
        <v>5.8823529411764705E-2</v>
      </c>
      <c r="E146" s="21">
        <v>1</v>
      </c>
      <c r="F146">
        <f>1+'vehicles specifications'!AD12</f>
        <v>1.5</v>
      </c>
      <c r="G146">
        <f>1+'vehicles specifications'!AD12</f>
        <v>1.5</v>
      </c>
      <c r="J146">
        <v>1</v>
      </c>
      <c r="K146">
        <f>1/('fuels and tailpipe emissions'!$C$3*3.6)</f>
        <v>2.358490566037736E-2</v>
      </c>
      <c r="L146" s="21">
        <f t="shared" si="1"/>
        <v>0.30555555555555558</v>
      </c>
      <c r="M146">
        <f>1/'vehicles specifications'!J12</f>
        <v>5.0000000000000002E-5</v>
      </c>
      <c r="N146" s="21">
        <v>1</v>
      </c>
      <c r="O146">
        <f>1</f>
        <v>1</v>
      </c>
      <c r="P146" s="21">
        <f t="shared" ref="P146:Q156" si="3">-1/24</f>
        <v>-4.1666666666666664E-2</v>
      </c>
      <c r="Q146" s="21">
        <f t="shared" si="3"/>
        <v>-4.1666666666666664E-2</v>
      </c>
      <c r="R146">
        <f>-1-'vehicles specifications'!AD12</f>
        <v>-1.5</v>
      </c>
      <c r="S146">
        <v>1</v>
      </c>
      <c r="T146">
        <v>1</v>
      </c>
      <c r="U146">
        <v>1</v>
      </c>
      <c r="V146">
        <v>1</v>
      </c>
      <c r="W146">
        <v>1</v>
      </c>
      <c r="X146">
        <v>1</v>
      </c>
      <c r="Y146">
        <v>1</v>
      </c>
      <c r="Z146">
        <v>1</v>
      </c>
      <c r="AA146">
        <v>1</v>
      </c>
      <c r="AB146">
        <v>1</v>
      </c>
      <c r="AC146" s="21">
        <v>1</v>
      </c>
      <c r="AD146" s="21">
        <v>1</v>
      </c>
      <c r="AE146" s="21">
        <v>1</v>
      </c>
      <c r="AF146" s="21">
        <v>1</v>
      </c>
      <c r="AG146" s="21">
        <v>1</v>
      </c>
      <c r="AH146" s="21">
        <v>1</v>
      </c>
      <c r="AI146" s="21">
        <v>1</v>
      </c>
      <c r="AJ146" s="21">
        <v>1</v>
      </c>
      <c r="AK146" s="21">
        <v>1</v>
      </c>
      <c r="AL146" s="21">
        <v>1</v>
      </c>
      <c r="AM146" s="21">
        <v>1</v>
      </c>
      <c r="AN146" s="21">
        <v>1</v>
      </c>
      <c r="AO146" s="21">
        <v>1</v>
      </c>
      <c r="AP146" s="21">
        <v>1</v>
      </c>
      <c r="AQ146" s="21">
        <v>1</v>
      </c>
      <c r="AR146" s="21">
        <v>1</v>
      </c>
      <c r="AS146" s="21">
        <v>1</v>
      </c>
      <c r="AT146" s="21">
        <v>1</v>
      </c>
      <c r="AU146" s="21">
        <v>1</v>
      </c>
      <c r="AV146" s="21">
        <v>1</v>
      </c>
      <c r="AW146" s="21">
        <v>1</v>
      </c>
      <c r="AX146" s="21">
        <v>1</v>
      </c>
      <c r="AY146" s="21">
        <v>1</v>
      </c>
      <c r="AZ146" s="21">
        <v>1</v>
      </c>
      <c r="BA146" s="21">
        <v>1</v>
      </c>
      <c r="BB146" s="21">
        <v>1</v>
      </c>
      <c r="BC146" s="21">
        <v>1</v>
      </c>
      <c r="BD146" s="21">
        <v>1</v>
      </c>
      <c r="BE146" s="21">
        <v>1</v>
      </c>
      <c r="BF146" s="21">
        <v>1</v>
      </c>
      <c r="BG146" s="21">
        <v>1</v>
      </c>
      <c r="BH146" s="21">
        <v>1</v>
      </c>
      <c r="BI146">
        <f>-1/'vehicles specifications'!$M12</f>
        <v>-1</v>
      </c>
      <c r="BJ146">
        <f>-1/'vehicles specifications'!$M12</f>
        <v>-1</v>
      </c>
      <c r="BK146">
        <f>-1/'vehicles specifications'!$M12</f>
        <v>-1</v>
      </c>
    </row>
    <row r="147" spans="1:63" x14ac:dyDescent="0.3">
      <c r="A147" t="s">
        <v>531</v>
      </c>
      <c r="B147">
        <f t="shared" si="0"/>
        <v>5.8823529411764705E-2</v>
      </c>
      <c r="C147" s="2">
        <f>'vehicles specifications'!S13</f>
        <v>16</v>
      </c>
      <c r="D147">
        <f t="shared" si="0"/>
        <v>5.8823529411764705E-2</v>
      </c>
      <c r="E147" s="21">
        <v>1</v>
      </c>
      <c r="F147">
        <f>1+'vehicles specifications'!AD13</f>
        <v>1.25</v>
      </c>
      <c r="G147">
        <f>1+'vehicles specifications'!AD13</f>
        <v>1.25</v>
      </c>
      <c r="J147">
        <v>1</v>
      </c>
      <c r="K147">
        <f>1/('fuels and tailpipe emissions'!$C$3*3.6)</f>
        <v>2.358490566037736E-2</v>
      </c>
      <c r="L147" s="21">
        <f t="shared" si="1"/>
        <v>0.30555555555555558</v>
      </c>
      <c r="M147">
        <f>1/'vehicles specifications'!J13</f>
        <v>5.0000000000000002E-5</v>
      </c>
      <c r="N147" s="21">
        <v>1</v>
      </c>
      <c r="O147">
        <f>1</f>
        <v>1</v>
      </c>
      <c r="P147" s="21">
        <f t="shared" si="3"/>
        <v>-4.1666666666666664E-2</v>
      </c>
      <c r="Q147" s="21">
        <f t="shared" si="3"/>
        <v>-4.1666666666666664E-2</v>
      </c>
      <c r="R147">
        <f>-1-'vehicles specifications'!AD13</f>
        <v>-1.25</v>
      </c>
      <c r="S147">
        <v>1</v>
      </c>
      <c r="T147">
        <v>1</v>
      </c>
      <c r="U147">
        <v>1</v>
      </c>
      <c r="V147">
        <v>1</v>
      </c>
      <c r="W147">
        <v>1</v>
      </c>
      <c r="X147">
        <v>1</v>
      </c>
      <c r="Y147">
        <v>1</v>
      </c>
      <c r="Z147">
        <v>1</v>
      </c>
      <c r="AA147">
        <v>1</v>
      </c>
      <c r="AB147">
        <v>1</v>
      </c>
      <c r="AC147" s="21">
        <v>1</v>
      </c>
      <c r="AD147" s="21">
        <v>1</v>
      </c>
      <c r="AE147" s="21">
        <v>1</v>
      </c>
      <c r="AF147" s="21">
        <v>1</v>
      </c>
      <c r="AG147" s="21">
        <v>1</v>
      </c>
      <c r="AH147" s="21">
        <v>1</v>
      </c>
      <c r="AI147" s="21">
        <v>1</v>
      </c>
      <c r="AJ147" s="21">
        <v>1</v>
      </c>
      <c r="AK147" s="21">
        <v>1</v>
      </c>
      <c r="AL147" s="21">
        <v>1</v>
      </c>
      <c r="AM147" s="21">
        <v>1</v>
      </c>
      <c r="AN147" s="21">
        <v>1</v>
      </c>
      <c r="AO147" s="21">
        <v>1</v>
      </c>
      <c r="AP147" s="21">
        <v>1</v>
      </c>
      <c r="AQ147" s="21">
        <v>1</v>
      </c>
      <c r="AR147" s="21">
        <v>1</v>
      </c>
      <c r="AS147" s="21">
        <v>1</v>
      </c>
      <c r="AT147" s="21">
        <v>1</v>
      </c>
      <c r="AU147" s="21">
        <v>1</v>
      </c>
      <c r="AV147" s="21">
        <v>1</v>
      </c>
      <c r="AW147" s="21">
        <v>1</v>
      </c>
      <c r="AX147" s="21">
        <v>1</v>
      </c>
      <c r="AY147" s="21">
        <v>1</v>
      </c>
      <c r="AZ147" s="21">
        <v>1</v>
      </c>
      <c r="BA147" s="21">
        <v>1</v>
      </c>
      <c r="BB147" s="21">
        <v>1</v>
      </c>
      <c r="BC147" s="21">
        <v>1</v>
      </c>
      <c r="BD147" s="21">
        <v>1</v>
      </c>
      <c r="BE147" s="21">
        <v>1</v>
      </c>
      <c r="BF147" s="21">
        <v>1</v>
      </c>
      <c r="BG147" s="21">
        <v>1</v>
      </c>
      <c r="BH147" s="21">
        <v>1</v>
      </c>
      <c r="BI147">
        <f>-1/'vehicles specifications'!$M13</f>
        <v>-1</v>
      </c>
      <c r="BJ147">
        <f>-1/'vehicles specifications'!$M13</f>
        <v>-1</v>
      </c>
      <c r="BK147">
        <f>-1/'vehicles specifications'!$M13</f>
        <v>-1</v>
      </c>
    </row>
    <row r="148" spans="1:63" x14ac:dyDescent="0.3">
      <c r="A148" t="s">
        <v>532</v>
      </c>
      <c r="B148">
        <f t="shared" si="0"/>
        <v>5.8823529411764705E-2</v>
      </c>
      <c r="C148" s="2">
        <f>'vehicles specifications'!S14</f>
        <v>16</v>
      </c>
      <c r="D148">
        <f t="shared" si="0"/>
        <v>5.8823529411764705E-2</v>
      </c>
      <c r="E148" s="21">
        <v>1</v>
      </c>
      <c r="F148">
        <f>1+'vehicles specifications'!AD14</f>
        <v>1</v>
      </c>
      <c r="G148">
        <f>1+'vehicles specifications'!AD14</f>
        <v>1</v>
      </c>
      <c r="J148">
        <v>1</v>
      </c>
      <c r="K148">
        <f>1/('fuels and tailpipe emissions'!$C$3*3.6)</f>
        <v>2.358490566037736E-2</v>
      </c>
      <c r="L148" s="21">
        <f t="shared" si="1"/>
        <v>0.30555555555555558</v>
      </c>
      <c r="M148">
        <f>1/'vehicles specifications'!J14</f>
        <v>5.0000000000000002E-5</v>
      </c>
      <c r="N148" s="21">
        <v>1</v>
      </c>
      <c r="O148">
        <f>1</f>
        <v>1</v>
      </c>
      <c r="P148" s="21">
        <f t="shared" si="3"/>
        <v>-4.1666666666666664E-2</v>
      </c>
      <c r="Q148" s="21">
        <f t="shared" si="3"/>
        <v>-4.1666666666666664E-2</v>
      </c>
      <c r="R148">
        <f>-1-'vehicles specifications'!AD14</f>
        <v>-1</v>
      </c>
      <c r="S148">
        <v>1</v>
      </c>
      <c r="T148">
        <v>1</v>
      </c>
      <c r="U148">
        <v>1</v>
      </c>
      <c r="V148">
        <v>1</v>
      </c>
      <c r="W148">
        <v>1</v>
      </c>
      <c r="X148">
        <v>1</v>
      </c>
      <c r="Y148">
        <v>1</v>
      </c>
      <c r="Z148">
        <v>1</v>
      </c>
      <c r="AA148">
        <v>1</v>
      </c>
      <c r="AB148">
        <v>1</v>
      </c>
      <c r="AC148" s="21">
        <v>1</v>
      </c>
      <c r="AD148" s="21">
        <v>1</v>
      </c>
      <c r="AE148" s="21">
        <v>1</v>
      </c>
      <c r="AF148" s="21">
        <v>1</v>
      </c>
      <c r="AG148" s="21">
        <v>1</v>
      </c>
      <c r="AH148" s="21">
        <v>1</v>
      </c>
      <c r="AI148" s="21">
        <v>1</v>
      </c>
      <c r="AJ148" s="21">
        <v>1</v>
      </c>
      <c r="AK148" s="21">
        <v>1</v>
      </c>
      <c r="AL148" s="21">
        <v>1</v>
      </c>
      <c r="AM148" s="21">
        <v>1</v>
      </c>
      <c r="AN148" s="21">
        <v>1</v>
      </c>
      <c r="AO148" s="21">
        <v>1</v>
      </c>
      <c r="AP148" s="21">
        <v>1</v>
      </c>
      <c r="AQ148" s="21">
        <v>1</v>
      </c>
      <c r="AR148" s="21">
        <v>1</v>
      </c>
      <c r="AS148" s="21">
        <v>1</v>
      </c>
      <c r="AT148" s="21">
        <v>1</v>
      </c>
      <c r="AU148" s="21">
        <v>1</v>
      </c>
      <c r="AV148" s="21">
        <v>1</v>
      </c>
      <c r="AW148" s="21">
        <v>1</v>
      </c>
      <c r="AX148" s="21">
        <v>1</v>
      </c>
      <c r="AY148" s="21">
        <v>1</v>
      </c>
      <c r="AZ148" s="21">
        <v>1</v>
      </c>
      <c r="BA148" s="21">
        <v>1</v>
      </c>
      <c r="BB148" s="21">
        <v>1</v>
      </c>
      <c r="BC148" s="21">
        <v>1</v>
      </c>
      <c r="BD148" s="21">
        <v>1</v>
      </c>
      <c r="BE148" s="21">
        <v>1</v>
      </c>
      <c r="BF148" s="21">
        <v>1</v>
      </c>
      <c r="BG148" s="21">
        <v>1</v>
      </c>
      <c r="BH148" s="21">
        <v>1</v>
      </c>
      <c r="BI148">
        <f>-1/'vehicles specifications'!$M14</f>
        <v>-1</v>
      </c>
      <c r="BJ148">
        <f>-1/'vehicles specifications'!$M14</f>
        <v>-1</v>
      </c>
      <c r="BK148">
        <f>-1/'vehicles specifications'!$M14</f>
        <v>-1</v>
      </c>
    </row>
    <row r="149" spans="1:63" x14ac:dyDescent="0.3">
      <c r="A149" t="s">
        <v>533</v>
      </c>
      <c r="B149">
        <f t="shared" si="0"/>
        <v>5.8823529411764705E-2</v>
      </c>
      <c r="C149" s="2">
        <f>'vehicles specifications'!S15</f>
        <v>19</v>
      </c>
      <c r="D149">
        <f t="shared" si="0"/>
        <v>5.8823529411764705E-2</v>
      </c>
      <c r="E149" s="21">
        <v>1</v>
      </c>
      <c r="F149">
        <f>1+'vehicles specifications'!AD15</f>
        <v>2</v>
      </c>
      <c r="G149">
        <f>1+'vehicles specifications'!AD15</f>
        <v>2</v>
      </c>
      <c r="J149">
        <v>1</v>
      </c>
      <c r="K149">
        <f>1/('fuels and tailpipe emissions'!$C$3*3.6)</f>
        <v>2.358490566037736E-2</v>
      </c>
      <c r="L149" s="21">
        <f t="shared" si="1"/>
        <v>0.30555555555555558</v>
      </c>
      <c r="M149">
        <f>1/'vehicles specifications'!J15</f>
        <v>3.3333333333333335E-5</v>
      </c>
      <c r="N149" s="21">
        <v>1</v>
      </c>
      <c r="O149">
        <f>1</f>
        <v>1</v>
      </c>
      <c r="P149" s="21">
        <f t="shared" si="3"/>
        <v>-4.1666666666666664E-2</v>
      </c>
      <c r="Q149" s="21">
        <f t="shared" si="3"/>
        <v>-4.1666666666666664E-2</v>
      </c>
      <c r="R149">
        <f>-1-'vehicles specifications'!AD15</f>
        <v>-2</v>
      </c>
      <c r="S149">
        <v>1</v>
      </c>
      <c r="T149">
        <v>1</v>
      </c>
      <c r="U149">
        <v>1</v>
      </c>
      <c r="V149">
        <v>1</v>
      </c>
      <c r="W149">
        <v>1</v>
      </c>
      <c r="X149">
        <v>1</v>
      </c>
      <c r="Y149">
        <v>1</v>
      </c>
      <c r="Z149">
        <v>1</v>
      </c>
      <c r="AA149">
        <v>1</v>
      </c>
      <c r="AB149">
        <v>1</v>
      </c>
      <c r="AC149" s="21">
        <v>1</v>
      </c>
      <c r="AD149" s="21">
        <v>1</v>
      </c>
      <c r="AE149" s="21">
        <v>1</v>
      </c>
      <c r="AF149" s="21">
        <v>1</v>
      </c>
      <c r="AG149" s="21">
        <v>1</v>
      </c>
      <c r="AH149" s="21">
        <v>1</v>
      </c>
      <c r="AI149" s="21">
        <v>1</v>
      </c>
      <c r="AJ149" s="21">
        <v>1</v>
      </c>
      <c r="AK149" s="21">
        <v>1</v>
      </c>
      <c r="AL149" s="21">
        <v>1</v>
      </c>
      <c r="AM149" s="21">
        <v>1</v>
      </c>
      <c r="AN149" s="21">
        <v>1</v>
      </c>
      <c r="AO149" s="21">
        <v>1</v>
      </c>
      <c r="AP149" s="21">
        <v>1</v>
      </c>
      <c r="AQ149" s="21">
        <v>1</v>
      </c>
      <c r="AR149" s="21">
        <v>1</v>
      </c>
      <c r="AS149" s="21">
        <v>1</v>
      </c>
      <c r="AT149" s="21">
        <v>1</v>
      </c>
      <c r="AU149" s="21">
        <v>1</v>
      </c>
      <c r="AV149" s="21">
        <v>1</v>
      </c>
      <c r="AW149" s="21">
        <v>1</v>
      </c>
      <c r="AX149" s="21">
        <v>1</v>
      </c>
      <c r="AY149" s="21">
        <v>1</v>
      </c>
      <c r="AZ149" s="21">
        <v>1</v>
      </c>
      <c r="BA149" s="21">
        <v>1</v>
      </c>
      <c r="BB149" s="21">
        <v>1</v>
      </c>
      <c r="BC149" s="21">
        <v>1</v>
      </c>
      <c r="BD149" s="21">
        <v>1</v>
      </c>
      <c r="BE149" s="21">
        <v>1</v>
      </c>
      <c r="BF149" s="21">
        <v>1</v>
      </c>
      <c r="BG149" s="21">
        <v>1</v>
      </c>
      <c r="BH149" s="21">
        <v>1</v>
      </c>
      <c r="BI149">
        <f>-1/'vehicles specifications'!$M15</f>
        <v>-1</v>
      </c>
      <c r="BJ149">
        <f>-1/'vehicles specifications'!$M15</f>
        <v>-1</v>
      </c>
      <c r="BK149">
        <f>-1/'vehicles specifications'!$M15</f>
        <v>-1</v>
      </c>
    </row>
    <row r="150" spans="1:63" x14ac:dyDescent="0.3">
      <c r="A150" t="s">
        <v>534</v>
      </c>
      <c r="B150">
        <f t="shared" si="0"/>
        <v>5.8823529411764705E-2</v>
      </c>
      <c r="C150" s="2">
        <f>'vehicles specifications'!S16</f>
        <v>19</v>
      </c>
      <c r="D150">
        <f t="shared" si="0"/>
        <v>5.8823529411764705E-2</v>
      </c>
      <c r="E150" s="21">
        <v>1</v>
      </c>
      <c r="F150">
        <f>1+'vehicles specifications'!AD16</f>
        <v>1.5</v>
      </c>
      <c r="G150">
        <f>1+'vehicles specifications'!AD16</f>
        <v>1.5</v>
      </c>
      <c r="J150">
        <v>1</v>
      </c>
      <c r="K150">
        <f>1/('fuels and tailpipe emissions'!$C$3*3.6)</f>
        <v>2.358490566037736E-2</v>
      </c>
      <c r="L150" s="21">
        <f t="shared" si="1"/>
        <v>0.30555555555555558</v>
      </c>
      <c r="M150">
        <f>1/'vehicles specifications'!J16</f>
        <v>3.3333333333333335E-5</v>
      </c>
      <c r="N150" s="21">
        <v>1</v>
      </c>
      <c r="O150">
        <f>1</f>
        <v>1</v>
      </c>
      <c r="P150" s="21">
        <f t="shared" si="3"/>
        <v>-4.1666666666666664E-2</v>
      </c>
      <c r="Q150" s="21">
        <f t="shared" si="3"/>
        <v>-4.1666666666666664E-2</v>
      </c>
      <c r="R150">
        <f>-1-'vehicles specifications'!AD16</f>
        <v>-1.5</v>
      </c>
      <c r="S150">
        <v>1</v>
      </c>
      <c r="T150">
        <v>1</v>
      </c>
      <c r="U150">
        <v>1</v>
      </c>
      <c r="V150">
        <v>1</v>
      </c>
      <c r="W150">
        <v>1</v>
      </c>
      <c r="X150">
        <v>1</v>
      </c>
      <c r="Y150">
        <v>1</v>
      </c>
      <c r="Z150">
        <v>1</v>
      </c>
      <c r="AA150">
        <v>1</v>
      </c>
      <c r="AB150">
        <v>1</v>
      </c>
      <c r="AC150" s="21">
        <v>1</v>
      </c>
      <c r="AD150" s="21">
        <v>1</v>
      </c>
      <c r="AE150" s="21">
        <v>1</v>
      </c>
      <c r="AF150" s="21">
        <v>1</v>
      </c>
      <c r="AG150" s="21">
        <v>1</v>
      </c>
      <c r="AH150" s="21">
        <v>1</v>
      </c>
      <c r="AI150" s="21">
        <v>1</v>
      </c>
      <c r="AJ150" s="21">
        <v>1</v>
      </c>
      <c r="AK150" s="21">
        <v>1</v>
      </c>
      <c r="AL150" s="21">
        <v>1</v>
      </c>
      <c r="AM150" s="21">
        <v>1</v>
      </c>
      <c r="AN150" s="21">
        <v>1</v>
      </c>
      <c r="AO150" s="21">
        <v>1</v>
      </c>
      <c r="AP150" s="21">
        <v>1</v>
      </c>
      <c r="AQ150" s="21">
        <v>1</v>
      </c>
      <c r="AR150" s="21">
        <v>1</v>
      </c>
      <c r="AS150" s="21">
        <v>1</v>
      </c>
      <c r="AT150" s="21">
        <v>1</v>
      </c>
      <c r="AU150" s="21">
        <v>1</v>
      </c>
      <c r="AV150" s="21">
        <v>1</v>
      </c>
      <c r="AW150" s="21">
        <v>1</v>
      </c>
      <c r="AX150" s="21">
        <v>1</v>
      </c>
      <c r="AY150" s="21">
        <v>1</v>
      </c>
      <c r="AZ150" s="21">
        <v>1</v>
      </c>
      <c r="BA150" s="21">
        <v>1</v>
      </c>
      <c r="BB150" s="21">
        <v>1</v>
      </c>
      <c r="BC150" s="21">
        <v>1</v>
      </c>
      <c r="BD150" s="21">
        <v>1</v>
      </c>
      <c r="BE150" s="21">
        <v>1</v>
      </c>
      <c r="BF150" s="21">
        <v>1</v>
      </c>
      <c r="BG150" s="21">
        <v>1</v>
      </c>
      <c r="BH150" s="21">
        <v>1</v>
      </c>
      <c r="BI150">
        <f>-1/'vehicles specifications'!$M16</f>
        <v>-1</v>
      </c>
      <c r="BJ150">
        <f>-1/'vehicles specifications'!$M16</f>
        <v>-1</v>
      </c>
      <c r="BK150">
        <f>-1/'vehicles specifications'!$M16</f>
        <v>-1</v>
      </c>
    </row>
    <row r="151" spans="1:63" x14ac:dyDescent="0.3">
      <c r="A151" t="s">
        <v>535</v>
      </c>
      <c r="B151">
        <f t="shared" si="0"/>
        <v>5.8823529411764705E-2</v>
      </c>
      <c r="C151" s="2">
        <f>'vehicles specifications'!S17</f>
        <v>19</v>
      </c>
      <c r="D151">
        <f t="shared" si="0"/>
        <v>5.8823529411764705E-2</v>
      </c>
      <c r="E151" s="21">
        <v>1</v>
      </c>
      <c r="F151">
        <f>1+'vehicles specifications'!AD17</f>
        <v>1.25</v>
      </c>
      <c r="G151">
        <f>1+'vehicles specifications'!AD17</f>
        <v>1.25</v>
      </c>
      <c r="J151">
        <v>1</v>
      </c>
      <c r="K151">
        <f>1/('fuels and tailpipe emissions'!$C$3*3.6)</f>
        <v>2.358490566037736E-2</v>
      </c>
      <c r="L151" s="21">
        <f t="shared" si="1"/>
        <v>0.30555555555555558</v>
      </c>
      <c r="M151">
        <f>1/'vehicles specifications'!J17</f>
        <v>3.3333333333333335E-5</v>
      </c>
      <c r="N151" s="21">
        <v>1</v>
      </c>
      <c r="O151">
        <f>1</f>
        <v>1</v>
      </c>
      <c r="P151" s="21">
        <f t="shared" si="3"/>
        <v>-4.1666666666666664E-2</v>
      </c>
      <c r="Q151" s="21">
        <f t="shared" si="3"/>
        <v>-4.1666666666666664E-2</v>
      </c>
      <c r="R151">
        <f>-1-'vehicles specifications'!AD17</f>
        <v>-1.25</v>
      </c>
      <c r="S151">
        <v>1</v>
      </c>
      <c r="T151">
        <v>1</v>
      </c>
      <c r="U151">
        <v>1</v>
      </c>
      <c r="V151">
        <v>1</v>
      </c>
      <c r="W151">
        <v>1</v>
      </c>
      <c r="X151">
        <v>1</v>
      </c>
      <c r="Y151">
        <v>1</v>
      </c>
      <c r="Z151">
        <v>1</v>
      </c>
      <c r="AA151">
        <v>1</v>
      </c>
      <c r="AB151">
        <v>1</v>
      </c>
      <c r="AC151" s="21">
        <v>1</v>
      </c>
      <c r="AD151" s="21">
        <v>1</v>
      </c>
      <c r="AE151" s="21">
        <v>1</v>
      </c>
      <c r="AF151" s="21">
        <v>1</v>
      </c>
      <c r="AG151" s="21">
        <v>1</v>
      </c>
      <c r="AH151" s="21">
        <v>1</v>
      </c>
      <c r="AI151" s="21">
        <v>1</v>
      </c>
      <c r="AJ151" s="21">
        <v>1</v>
      </c>
      <c r="AK151" s="21">
        <v>1</v>
      </c>
      <c r="AL151" s="21">
        <v>1</v>
      </c>
      <c r="AM151" s="21">
        <v>1</v>
      </c>
      <c r="AN151" s="21">
        <v>1</v>
      </c>
      <c r="AO151" s="21">
        <v>1</v>
      </c>
      <c r="AP151" s="21">
        <v>1</v>
      </c>
      <c r="AQ151" s="21">
        <v>1</v>
      </c>
      <c r="AR151" s="21">
        <v>1</v>
      </c>
      <c r="AS151" s="21">
        <v>1</v>
      </c>
      <c r="AT151" s="21">
        <v>1</v>
      </c>
      <c r="AU151" s="21">
        <v>1</v>
      </c>
      <c r="AV151" s="21">
        <v>1</v>
      </c>
      <c r="AW151" s="21">
        <v>1</v>
      </c>
      <c r="AX151" s="21">
        <v>1</v>
      </c>
      <c r="AY151" s="21">
        <v>1</v>
      </c>
      <c r="AZ151" s="21">
        <v>1</v>
      </c>
      <c r="BA151" s="21">
        <v>1</v>
      </c>
      <c r="BB151" s="21">
        <v>1</v>
      </c>
      <c r="BC151" s="21">
        <v>1</v>
      </c>
      <c r="BD151" s="21">
        <v>1</v>
      </c>
      <c r="BE151" s="21">
        <v>1</v>
      </c>
      <c r="BF151" s="21">
        <v>1</v>
      </c>
      <c r="BG151" s="21">
        <v>1</v>
      </c>
      <c r="BH151" s="21">
        <v>1</v>
      </c>
      <c r="BI151">
        <f>-1/'vehicles specifications'!$M17</f>
        <v>-1</v>
      </c>
      <c r="BJ151">
        <f>-1/'vehicles specifications'!$M17</f>
        <v>-1</v>
      </c>
      <c r="BK151">
        <f>-1/'vehicles specifications'!$M17</f>
        <v>-1</v>
      </c>
    </row>
    <row r="152" spans="1:63" x14ac:dyDescent="0.3">
      <c r="A152" t="s">
        <v>536</v>
      </c>
      <c r="B152">
        <f t="shared" si="0"/>
        <v>5.8823529411764705E-2</v>
      </c>
      <c r="C152" s="2">
        <f>'vehicles specifications'!S18</f>
        <v>19</v>
      </c>
      <c r="D152">
        <f t="shared" si="0"/>
        <v>5.8823529411764705E-2</v>
      </c>
      <c r="E152" s="21">
        <v>1</v>
      </c>
      <c r="F152">
        <f>1+'vehicles specifications'!AD18</f>
        <v>1</v>
      </c>
      <c r="G152">
        <f>1+'vehicles specifications'!AD18</f>
        <v>1</v>
      </c>
      <c r="J152">
        <v>1</v>
      </c>
      <c r="K152">
        <f>1/('fuels and tailpipe emissions'!$C$3*3.6)</f>
        <v>2.358490566037736E-2</v>
      </c>
      <c r="L152" s="21">
        <f t="shared" si="1"/>
        <v>0.30555555555555558</v>
      </c>
      <c r="M152">
        <f>1/'vehicles specifications'!J18</f>
        <v>3.3333333333333335E-5</v>
      </c>
      <c r="N152" s="21">
        <v>1</v>
      </c>
      <c r="O152">
        <f>1</f>
        <v>1</v>
      </c>
      <c r="P152" s="21">
        <f t="shared" si="3"/>
        <v>-4.1666666666666664E-2</v>
      </c>
      <c r="Q152" s="21">
        <f t="shared" si="3"/>
        <v>-4.1666666666666664E-2</v>
      </c>
      <c r="R152">
        <f>-1-'vehicles specifications'!AD18</f>
        <v>-1</v>
      </c>
      <c r="S152">
        <v>1</v>
      </c>
      <c r="T152">
        <v>1</v>
      </c>
      <c r="U152">
        <v>1</v>
      </c>
      <c r="V152">
        <v>1</v>
      </c>
      <c r="W152">
        <v>1</v>
      </c>
      <c r="X152">
        <v>1</v>
      </c>
      <c r="Y152">
        <v>1</v>
      </c>
      <c r="Z152">
        <v>1</v>
      </c>
      <c r="AA152">
        <v>1</v>
      </c>
      <c r="AB152">
        <v>1</v>
      </c>
      <c r="AC152" s="21">
        <v>1</v>
      </c>
      <c r="AD152" s="21">
        <v>1</v>
      </c>
      <c r="AE152" s="21">
        <v>1</v>
      </c>
      <c r="AF152" s="21">
        <v>1</v>
      </c>
      <c r="AG152" s="21">
        <v>1</v>
      </c>
      <c r="AH152" s="21">
        <v>1</v>
      </c>
      <c r="AI152" s="21">
        <v>1</v>
      </c>
      <c r="AJ152" s="21">
        <v>1</v>
      </c>
      <c r="AK152" s="21">
        <v>1</v>
      </c>
      <c r="AL152" s="21">
        <v>1</v>
      </c>
      <c r="AM152" s="21">
        <v>1</v>
      </c>
      <c r="AN152" s="21">
        <v>1</v>
      </c>
      <c r="AO152" s="21">
        <v>1</v>
      </c>
      <c r="AP152" s="21">
        <v>1</v>
      </c>
      <c r="AQ152" s="21">
        <v>1</v>
      </c>
      <c r="AR152" s="21">
        <v>1</v>
      </c>
      <c r="AS152" s="21">
        <v>1</v>
      </c>
      <c r="AT152" s="21">
        <v>1</v>
      </c>
      <c r="AU152" s="21">
        <v>1</v>
      </c>
      <c r="AV152" s="21">
        <v>1</v>
      </c>
      <c r="AW152" s="21">
        <v>1</v>
      </c>
      <c r="AX152" s="21">
        <v>1</v>
      </c>
      <c r="AY152" s="21">
        <v>1</v>
      </c>
      <c r="AZ152" s="21">
        <v>1</v>
      </c>
      <c r="BA152" s="21">
        <v>1</v>
      </c>
      <c r="BB152" s="21">
        <v>1</v>
      </c>
      <c r="BC152" s="21">
        <v>1</v>
      </c>
      <c r="BD152" s="21">
        <v>1</v>
      </c>
      <c r="BE152" s="21">
        <v>1</v>
      </c>
      <c r="BF152" s="21">
        <v>1</v>
      </c>
      <c r="BG152" s="21">
        <v>1</v>
      </c>
      <c r="BH152" s="21">
        <v>1</v>
      </c>
      <c r="BI152">
        <f>-1/'vehicles specifications'!$M18</f>
        <v>-1</v>
      </c>
      <c r="BJ152">
        <f>-1/'vehicles specifications'!$M18</f>
        <v>-1</v>
      </c>
      <c r="BK152">
        <f>-1/'vehicles specifications'!$M18</f>
        <v>-1</v>
      </c>
    </row>
    <row r="153" spans="1:63" x14ac:dyDescent="0.3">
      <c r="A153" t="s">
        <v>525</v>
      </c>
      <c r="B153">
        <f t="shared" si="0"/>
        <v>5.8823529411764705E-2</v>
      </c>
      <c r="C153" s="2">
        <f>'vehicles specifications'!S19</f>
        <v>28</v>
      </c>
      <c r="D153">
        <f t="shared" si="0"/>
        <v>5.8823529411764705E-2</v>
      </c>
      <c r="E153" s="21">
        <v>1</v>
      </c>
      <c r="F153">
        <f>1+'vehicles specifications'!AD19</f>
        <v>2</v>
      </c>
      <c r="G153">
        <f>1+'vehicles specifications'!AD19</f>
        <v>2</v>
      </c>
      <c r="J153">
        <v>1</v>
      </c>
      <c r="K153">
        <f>1/('fuels and tailpipe emissions'!$C$3*3.6)</f>
        <v>2.358490566037736E-2</v>
      </c>
      <c r="L153" s="21">
        <f t="shared" si="1"/>
        <v>0.30555555555555558</v>
      </c>
      <c r="M153">
        <f>1/'vehicles specifications'!J19</f>
        <v>5.0000000000000002E-5</v>
      </c>
      <c r="N153" s="21">
        <v>1</v>
      </c>
      <c r="O153">
        <f>1</f>
        <v>1</v>
      </c>
      <c r="P153" s="21">
        <f t="shared" si="3"/>
        <v>-4.1666666666666664E-2</v>
      </c>
      <c r="Q153" s="21">
        <f t="shared" si="3"/>
        <v>-4.1666666666666664E-2</v>
      </c>
      <c r="R153">
        <f>-1-'vehicles specifications'!AD19</f>
        <v>-2</v>
      </c>
      <c r="S153">
        <v>1</v>
      </c>
      <c r="T153">
        <v>1</v>
      </c>
      <c r="U153">
        <v>1</v>
      </c>
      <c r="V153">
        <v>1</v>
      </c>
      <c r="W153">
        <v>1</v>
      </c>
      <c r="X153">
        <v>1</v>
      </c>
      <c r="Y153">
        <v>1</v>
      </c>
      <c r="Z153">
        <v>1</v>
      </c>
      <c r="AA153">
        <v>1</v>
      </c>
      <c r="AB153">
        <v>1</v>
      </c>
      <c r="AC153" s="21">
        <v>1</v>
      </c>
      <c r="AD153" s="21">
        <v>1</v>
      </c>
      <c r="AE153" s="21">
        <v>1</v>
      </c>
      <c r="AF153" s="21">
        <v>1</v>
      </c>
      <c r="AG153" s="21">
        <v>1</v>
      </c>
      <c r="AH153" s="21">
        <v>1</v>
      </c>
      <c r="AI153" s="21">
        <v>1</v>
      </c>
      <c r="AJ153" s="21">
        <v>1</v>
      </c>
      <c r="AK153" s="21">
        <v>1</v>
      </c>
      <c r="AL153" s="21">
        <v>1</v>
      </c>
      <c r="AM153" s="21">
        <v>1</v>
      </c>
      <c r="AN153" s="21">
        <v>1</v>
      </c>
      <c r="AO153" s="21">
        <v>1</v>
      </c>
      <c r="AP153" s="21">
        <v>1</v>
      </c>
      <c r="AQ153" s="21">
        <v>1</v>
      </c>
      <c r="AR153" s="21">
        <v>1</v>
      </c>
      <c r="AS153" s="21">
        <v>1</v>
      </c>
      <c r="AT153" s="21">
        <v>1</v>
      </c>
      <c r="AU153" s="21">
        <v>1</v>
      </c>
      <c r="AV153" s="21">
        <v>1</v>
      </c>
      <c r="AW153" s="21">
        <v>1</v>
      </c>
      <c r="AX153" s="21">
        <v>1</v>
      </c>
      <c r="AY153" s="21">
        <v>1</v>
      </c>
      <c r="AZ153" s="21">
        <v>1</v>
      </c>
      <c r="BA153" s="21">
        <v>1</v>
      </c>
      <c r="BB153" s="21">
        <v>1</v>
      </c>
      <c r="BC153" s="21">
        <v>1</v>
      </c>
      <c r="BD153" s="21">
        <v>1</v>
      </c>
      <c r="BE153" s="21">
        <v>1</v>
      </c>
      <c r="BF153" s="21">
        <v>1</v>
      </c>
      <c r="BG153" s="21">
        <v>1</v>
      </c>
      <c r="BH153" s="21">
        <v>1</v>
      </c>
      <c r="BI153">
        <f>-1/'vehicles specifications'!$M19</f>
        <v>-1</v>
      </c>
      <c r="BJ153">
        <f>-1/'vehicles specifications'!$M19</f>
        <v>-1</v>
      </c>
      <c r="BK153">
        <f>-1/'vehicles specifications'!$M19</f>
        <v>-1</v>
      </c>
    </row>
    <row r="154" spans="1:63" x14ac:dyDescent="0.3">
      <c r="A154" t="s">
        <v>526</v>
      </c>
      <c r="B154">
        <f t="shared" si="0"/>
        <v>5.8823529411764705E-2</v>
      </c>
      <c r="C154" s="2">
        <f>'vehicles specifications'!S20</f>
        <v>28</v>
      </c>
      <c r="D154">
        <f t="shared" si="0"/>
        <v>5.8823529411764705E-2</v>
      </c>
      <c r="E154" s="21">
        <v>1</v>
      </c>
      <c r="F154">
        <f>1+'vehicles specifications'!AD20</f>
        <v>1.5</v>
      </c>
      <c r="G154">
        <f>1+'vehicles specifications'!AD20</f>
        <v>1.5</v>
      </c>
      <c r="J154">
        <v>1</v>
      </c>
      <c r="K154">
        <f>1/('fuels and tailpipe emissions'!$C$3*3.6)</f>
        <v>2.358490566037736E-2</v>
      </c>
      <c r="L154" s="21">
        <f t="shared" si="1"/>
        <v>0.30555555555555558</v>
      </c>
      <c r="M154">
        <f>1/'vehicles specifications'!J20</f>
        <v>5.0000000000000002E-5</v>
      </c>
      <c r="N154" s="21">
        <v>1</v>
      </c>
      <c r="O154">
        <f>1</f>
        <v>1</v>
      </c>
      <c r="P154" s="21">
        <f t="shared" si="3"/>
        <v>-4.1666666666666664E-2</v>
      </c>
      <c r="Q154" s="21">
        <f t="shared" si="3"/>
        <v>-4.1666666666666664E-2</v>
      </c>
      <c r="R154">
        <f>-1-'vehicles specifications'!AD20</f>
        <v>-1.5</v>
      </c>
      <c r="S154">
        <v>1</v>
      </c>
      <c r="T154">
        <v>1</v>
      </c>
      <c r="U154">
        <v>1</v>
      </c>
      <c r="V154">
        <v>1</v>
      </c>
      <c r="W154">
        <v>1</v>
      </c>
      <c r="X154">
        <v>1</v>
      </c>
      <c r="Y154">
        <v>1</v>
      </c>
      <c r="Z154">
        <v>1</v>
      </c>
      <c r="AA154">
        <v>1</v>
      </c>
      <c r="AB154">
        <v>1</v>
      </c>
      <c r="AC154" s="21">
        <v>1</v>
      </c>
      <c r="AD154" s="21">
        <v>1</v>
      </c>
      <c r="AE154" s="21">
        <v>1</v>
      </c>
      <c r="AF154" s="21">
        <v>1</v>
      </c>
      <c r="AG154" s="21">
        <v>1</v>
      </c>
      <c r="AH154" s="21">
        <v>1</v>
      </c>
      <c r="AI154" s="21">
        <v>1</v>
      </c>
      <c r="AJ154" s="21">
        <v>1</v>
      </c>
      <c r="AK154" s="21">
        <v>1</v>
      </c>
      <c r="AL154" s="21">
        <v>1</v>
      </c>
      <c r="AM154" s="21">
        <v>1</v>
      </c>
      <c r="AN154" s="21">
        <v>1</v>
      </c>
      <c r="AO154" s="21">
        <v>1</v>
      </c>
      <c r="AP154" s="21">
        <v>1</v>
      </c>
      <c r="AQ154" s="21">
        <v>1</v>
      </c>
      <c r="AR154" s="21">
        <v>1</v>
      </c>
      <c r="AS154" s="21">
        <v>1</v>
      </c>
      <c r="AT154" s="21">
        <v>1</v>
      </c>
      <c r="AU154" s="21">
        <v>1</v>
      </c>
      <c r="AV154" s="21">
        <v>1</v>
      </c>
      <c r="AW154" s="21">
        <v>1</v>
      </c>
      <c r="AX154" s="21">
        <v>1</v>
      </c>
      <c r="AY154" s="21">
        <v>1</v>
      </c>
      <c r="AZ154" s="21">
        <v>1</v>
      </c>
      <c r="BA154" s="21">
        <v>1</v>
      </c>
      <c r="BB154" s="21">
        <v>1</v>
      </c>
      <c r="BC154" s="21">
        <v>1</v>
      </c>
      <c r="BD154" s="21">
        <v>1</v>
      </c>
      <c r="BE154" s="21">
        <v>1</v>
      </c>
      <c r="BF154" s="21">
        <v>1</v>
      </c>
      <c r="BG154" s="21">
        <v>1</v>
      </c>
      <c r="BH154" s="21">
        <v>1</v>
      </c>
      <c r="BI154">
        <f>-1/'vehicles specifications'!$M20</f>
        <v>-1</v>
      </c>
      <c r="BJ154">
        <f>-1/'vehicles specifications'!$M20</f>
        <v>-1</v>
      </c>
      <c r="BK154">
        <f>-1/'vehicles specifications'!$M20</f>
        <v>-1</v>
      </c>
    </row>
    <row r="155" spans="1:63" x14ac:dyDescent="0.3">
      <c r="A155" t="s">
        <v>527</v>
      </c>
      <c r="B155">
        <f t="shared" si="0"/>
        <v>5.8823529411764705E-2</v>
      </c>
      <c r="C155" s="2">
        <f>'vehicles specifications'!S21</f>
        <v>28</v>
      </c>
      <c r="D155">
        <f t="shared" si="0"/>
        <v>5.8823529411764705E-2</v>
      </c>
      <c r="E155" s="21">
        <v>1</v>
      </c>
      <c r="F155">
        <f>1+'vehicles specifications'!AD21</f>
        <v>1.25</v>
      </c>
      <c r="G155">
        <f>1+'vehicles specifications'!AD21</f>
        <v>1.25</v>
      </c>
      <c r="J155">
        <v>1</v>
      </c>
      <c r="K155">
        <f>1/('fuels and tailpipe emissions'!$C$3*3.6)</f>
        <v>2.358490566037736E-2</v>
      </c>
      <c r="L155" s="21">
        <f t="shared" si="1"/>
        <v>0.30555555555555558</v>
      </c>
      <c r="M155">
        <f>1/'vehicles specifications'!J21</f>
        <v>5.0000000000000002E-5</v>
      </c>
      <c r="N155" s="21">
        <v>1</v>
      </c>
      <c r="O155">
        <f>1</f>
        <v>1</v>
      </c>
      <c r="P155" s="21">
        <f t="shared" si="3"/>
        <v>-4.1666666666666664E-2</v>
      </c>
      <c r="Q155" s="21">
        <f t="shared" si="3"/>
        <v>-4.1666666666666664E-2</v>
      </c>
      <c r="R155">
        <f>-1-'vehicles specifications'!AD21</f>
        <v>-1.25</v>
      </c>
      <c r="S155">
        <v>1</v>
      </c>
      <c r="T155">
        <v>1</v>
      </c>
      <c r="U155">
        <v>1</v>
      </c>
      <c r="V155">
        <v>1</v>
      </c>
      <c r="W155">
        <v>1</v>
      </c>
      <c r="X155">
        <v>1</v>
      </c>
      <c r="Y155">
        <v>1</v>
      </c>
      <c r="Z155">
        <v>1</v>
      </c>
      <c r="AA155">
        <v>1</v>
      </c>
      <c r="AB155">
        <v>1</v>
      </c>
      <c r="AC155" s="21">
        <v>1</v>
      </c>
      <c r="AD155" s="21">
        <v>1</v>
      </c>
      <c r="AE155" s="21">
        <v>1</v>
      </c>
      <c r="AF155" s="21">
        <v>1</v>
      </c>
      <c r="AG155" s="21">
        <v>1</v>
      </c>
      <c r="AH155" s="21">
        <v>1</v>
      </c>
      <c r="AI155" s="21">
        <v>1</v>
      </c>
      <c r="AJ155" s="21">
        <v>1</v>
      </c>
      <c r="AK155" s="21">
        <v>1</v>
      </c>
      <c r="AL155" s="21">
        <v>1</v>
      </c>
      <c r="AM155" s="21">
        <v>1</v>
      </c>
      <c r="AN155" s="21">
        <v>1</v>
      </c>
      <c r="AO155" s="21">
        <v>1</v>
      </c>
      <c r="AP155" s="21">
        <v>1</v>
      </c>
      <c r="AQ155" s="21">
        <v>1</v>
      </c>
      <c r="AR155" s="21">
        <v>1</v>
      </c>
      <c r="AS155" s="21">
        <v>1</v>
      </c>
      <c r="AT155" s="21">
        <v>1</v>
      </c>
      <c r="AU155" s="21">
        <v>1</v>
      </c>
      <c r="AV155" s="21">
        <v>1</v>
      </c>
      <c r="AW155" s="21">
        <v>1</v>
      </c>
      <c r="AX155" s="21">
        <v>1</v>
      </c>
      <c r="AY155" s="21">
        <v>1</v>
      </c>
      <c r="AZ155" s="21">
        <v>1</v>
      </c>
      <c r="BA155" s="21">
        <v>1</v>
      </c>
      <c r="BB155" s="21">
        <v>1</v>
      </c>
      <c r="BC155" s="21">
        <v>1</v>
      </c>
      <c r="BD155" s="21">
        <v>1</v>
      </c>
      <c r="BE155" s="21">
        <v>1</v>
      </c>
      <c r="BF155" s="21">
        <v>1</v>
      </c>
      <c r="BG155" s="21">
        <v>1</v>
      </c>
      <c r="BH155" s="21">
        <v>1</v>
      </c>
      <c r="BI155">
        <f>-1/'vehicles specifications'!$M21</f>
        <v>-1</v>
      </c>
      <c r="BJ155">
        <f>-1/'vehicles specifications'!$M21</f>
        <v>-1</v>
      </c>
      <c r="BK155">
        <f>-1/'vehicles specifications'!$M21</f>
        <v>-1</v>
      </c>
    </row>
    <row r="156" spans="1:63" x14ac:dyDescent="0.3">
      <c r="A156" t="s">
        <v>528</v>
      </c>
      <c r="B156">
        <f t="shared" si="0"/>
        <v>5.8823529411764705E-2</v>
      </c>
      <c r="C156" s="2">
        <f>'vehicles specifications'!S22</f>
        <v>28</v>
      </c>
      <c r="D156">
        <f t="shared" si="0"/>
        <v>5.8823529411764705E-2</v>
      </c>
      <c r="E156" s="21">
        <v>1</v>
      </c>
      <c r="F156">
        <f>1+'vehicles specifications'!AD22</f>
        <v>1</v>
      </c>
      <c r="G156">
        <f>1+'vehicles specifications'!AD22</f>
        <v>1</v>
      </c>
      <c r="J156">
        <v>1</v>
      </c>
      <c r="K156">
        <f>1/('fuels and tailpipe emissions'!$C$3*3.6)</f>
        <v>2.358490566037736E-2</v>
      </c>
      <c r="L156" s="21">
        <f t="shared" si="1"/>
        <v>0.30555555555555558</v>
      </c>
      <c r="M156">
        <f>1/'vehicles specifications'!J22</f>
        <v>5.0000000000000002E-5</v>
      </c>
      <c r="N156" s="21">
        <v>1</v>
      </c>
      <c r="O156">
        <f>1</f>
        <v>1</v>
      </c>
      <c r="P156" s="21">
        <f t="shared" si="3"/>
        <v>-4.1666666666666664E-2</v>
      </c>
      <c r="Q156" s="21">
        <f t="shared" si="3"/>
        <v>-4.1666666666666664E-2</v>
      </c>
      <c r="R156">
        <f>-1-'vehicles specifications'!AD22</f>
        <v>-1</v>
      </c>
      <c r="S156">
        <v>1</v>
      </c>
      <c r="T156">
        <v>1</v>
      </c>
      <c r="U156">
        <v>1</v>
      </c>
      <c r="V156">
        <v>1</v>
      </c>
      <c r="W156">
        <v>1</v>
      </c>
      <c r="X156">
        <v>1</v>
      </c>
      <c r="Y156">
        <v>1</v>
      </c>
      <c r="Z156">
        <v>1</v>
      </c>
      <c r="AA156">
        <v>1</v>
      </c>
      <c r="AB156">
        <v>1</v>
      </c>
      <c r="AC156" s="21">
        <v>1</v>
      </c>
      <c r="AD156" s="21">
        <v>1</v>
      </c>
      <c r="AE156" s="21">
        <v>1</v>
      </c>
      <c r="AF156" s="21">
        <v>1</v>
      </c>
      <c r="AG156" s="21">
        <v>1</v>
      </c>
      <c r="AH156" s="21">
        <v>1</v>
      </c>
      <c r="AI156" s="21">
        <v>1</v>
      </c>
      <c r="AJ156" s="21">
        <v>1</v>
      </c>
      <c r="AK156" s="21">
        <v>1</v>
      </c>
      <c r="AL156" s="21">
        <v>1</v>
      </c>
      <c r="AM156" s="21">
        <v>1</v>
      </c>
      <c r="AN156" s="21">
        <v>1</v>
      </c>
      <c r="AO156" s="21">
        <v>1</v>
      </c>
      <c r="AP156" s="21">
        <v>1</v>
      </c>
      <c r="AQ156" s="21">
        <v>1</v>
      </c>
      <c r="AR156" s="21">
        <v>1</v>
      </c>
      <c r="AS156" s="21">
        <v>1</v>
      </c>
      <c r="AT156" s="21">
        <v>1</v>
      </c>
      <c r="AU156" s="21">
        <v>1</v>
      </c>
      <c r="AV156" s="21">
        <v>1</v>
      </c>
      <c r="AW156" s="21">
        <v>1</v>
      </c>
      <c r="AX156" s="21">
        <v>1</v>
      </c>
      <c r="AY156" s="21">
        <v>1</v>
      </c>
      <c r="AZ156" s="21">
        <v>1</v>
      </c>
      <c r="BA156" s="21">
        <v>1</v>
      </c>
      <c r="BB156" s="21">
        <v>1</v>
      </c>
      <c r="BC156" s="21">
        <v>1</v>
      </c>
      <c r="BD156" s="21">
        <v>1</v>
      </c>
      <c r="BE156" s="21">
        <v>1</v>
      </c>
      <c r="BF156" s="21">
        <v>1</v>
      </c>
      <c r="BG156" s="21">
        <v>1</v>
      </c>
      <c r="BH156" s="21">
        <v>1</v>
      </c>
      <c r="BI156">
        <f>-1/'vehicles specifications'!$M22</f>
        <v>-1</v>
      </c>
      <c r="BJ156">
        <f>-1/'vehicles specifications'!$M22</f>
        <v>-1</v>
      </c>
      <c r="BK156">
        <f>-1/'vehicles specifications'!$M22</f>
        <v>-1</v>
      </c>
    </row>
    <row r="157" spans="1:63" x14ac:dyDescent="0.3">
      <c r="A157" t="s">
        <v>537</v>
      </c>
      <c r="B157">
        <f t="shared" ref="B157:E160" si="4">1/20992</f>
        <v>4.7637195121951221E-5</v>
      </c>
      <c r="C157" s="2">
        <f>'vehicles specifications'!S23</f>
        <v>43200</v>
      </c>
      <c r="D157">
        <f t="shared" si="4"/>
        <v>4.7637195121951221E-5</v>
      </c>
      <c r="E157">
        <f t="shared" si="4"/>
        <v>4.7637195121951221E-5</v>
      </c>
      <c r="F157">
        <f>1+'vehicles specifications'!AD23</f>
        <v>1</v>
      </c>
      <c r="G157">
        <f>1+'vehicles specifications'!AD23</f>
        <v>1</v>
      </c>
      <c r="H157">
        <v>1</v>
      </c>
      <c r="I157">
        <v>1</v>
      </c>
      <c r="K157">
        <f>1/('fuels and tailpipe emissions'!$C$3*3.6)</f>
        <v>2.358490566037736E-2</v>
      </c>
      <c r="L157" s="21">
        <v>7.3099415204678359E-3</v>
      </c>
      <c r="M157">
        <f>1/'vehicles specifications'!J23/'vehicles specifications'!M23</f>
        <v>9.3984962406015038E-9</v>
      </c>
      <c r="N157" s="21">
        <v>1</v>
      </c>
      <c r="O157">
        <f>1/'vehicles specifications'!M23</f>
        <v>2.6315789473684209E-2</v>
      </c>
      <c r="P157" s="21">
        <f>-1/20992</f>
        <v>-4.7637195121951221E-5</v>
      </c>
      <c r="Q157" s="21">
        <f>-1/20992</f>
        <v>-4.7637195121951221E-5</v>
      </c>
      <c r="R157">
        <f>-1-'vehicles specifications'!AD23</f>
        <v>-1</v>
      </c>
      <c r="S157">
        <f>1/'vehicles specifications'!$M23</f>
        <v>2.6315789473684209E-2</v>
      </c>
      <c r="T157">
        <f>1/'vehicles specifications'!$M23</f>
        <v>2.6315789473684209E-2</v>
      </c>
      <c r="U157">
        <f>1/'vehicles specifications'!$M23</f>
        <v>2.6315789473684209E-2</v>
      </c>
      <c r="V157">
        <f>1/'vehicles specifications'!$M23</f>
        <v>2.6315789473684209E-2</v>
      </c>
      <c r="W157">
        <f>1/'vehicles specifications'!$M23</f>
        <v>2.6315789473684209E-2</v>
      </c>
      <c r="X157">
        <f>1/'vehicles specifications'!$M23</f>
        <v>2.6315789473684209E-2</v>
      </c>
      <c r="Y157">
        <f>1/'vehicles specifications'!$M23</f>
        <v>2.6315789473684209E-2</v>
      </c>
      <c r="Z157">
        <f>1/'vehicles specifications'!$M23</f>
        <v>2.6315789473684209E-2</v>
      </c>
      <c r="AA157">
        <f>1/'vehicles specifications'!$M23</f>
        <v>2.6315789473684209E-2</v>
      </c>
      <c r="AB157">
        <f>1/'vehicles specifications'!$M23</f>
        <v>2.6315789473684209E-2</v>
      </c>
      <c r="AC157" s="21">
        <f>1/'vehicles specifications'!$M23</f>
        <v>2.6315789473684209E-2</v>
      </c>
      <c r="AD157" s="21">
        <f>1/'vehicles specifications'!$M23</f>
        <v>2.6315789473684209E-2</v>
      </c>
      <c r="AE157" s="21">
        <f>1/'vehicles specifications'!$M23</f>
        <v>2.6315789473684209E-2</v>
      </c>
      <c r="AF157" s="21">
        <f>1/'vehicles specifications'!$M23</f>
        <v>2.6315789473684209E-2</v>
      </c>
      <c r="AG157" s="21">
        <f>1/'vehicles specifications'!$M23</f>
        <v>2.6315789473684209E-2</v>
      </c>
      <c r="AH157" s="21">
        <f>1/'vehicles specifications'!$M23</f>
        <v>2.6315789473684209E-2</v>
      </c>
      <c r="AI157" s="21">
        <f>1/'vehicles specifications'!$M23</f>
        <v>2.6315789473684209E-2</v>
      </c>
      <c r="AJ157" s="21">
        <f>1/'vehicles specifications'!$M23</f>
        <v>2.6315789473684209E-2</v>
      </c>
      <c r="AK157" s="21">
        <f>1/'vehicles specifications'!$M23</f>
        <v>2.6315789473684209E-2</v>
      </c>
      <c r="AL157" s="21">
        <f>1/'vehicles specifications'!$M23</f>
        <v>2.6315789473684209E-2</v>
      </c>
      <c r="AM157" s="21">
        <f>1/'vehicles specifications'!$M23</f>
        <v>2.6315789473684209E-2</v>
      </c>
      <c r="AN157" s="21">
        <f>1/'vehicles specifications'!$M23</f>
        <v>2.6315789473684209E-2</v>
      </c>
      <c r="AO157" s="21">
        <f>1/'vehicles specifications'!$M23</f>
        <v>2.6315789473684209E-2</v>
      </c>
      <c r="AP157" s="21">
        <f>1/'vehicles specifications'!$M23</f>
        <v>2.6315789473684209E-2</v>
      </c>
      <c r="AQ157" s="21">
        <f>1/'vehicles specifications'!$M23</f>
        <v>2.6315789473684209E-2</v>
      </c>
      <c r="AR157" s="21">
        <f>1/'vehicles specifications'!$M23</f>
        <v>2.6315789473684209E-2</v>
      </c>
      <c r="AS157" s="21">
        <f>1/'vehicles specifications'!$M23</f>
        <v>2.6315789473684209E-2</v>
      </c>
      <c r="AT157" s="21">
        <f>1/'vehicles specifications'!$M23</f>
        <v>2.6315789473684209E-2</v>
      </c>
      <c r="AU157" s="21">
        <f>1/'vehicles specifications'!$M23</f>
        <v>2.6315789473684209E-2</v>
      </c>
      <c r="AV157" s="21">
        <f>1/'vehicles specifications'!$M23</f>
        <v>2.6315789473684209E-2</v>
      </c>
      <c r="AW157" s="21">
        <f>1/'vehicles specifications'!$M23</f>
        <v>2.6315789473684209E-2</v>
      </c>
      <c r="AX157" s="21">
        <f>1/'vehicles specifications'!$M23</f>
        <v>2.6315789473684209E-2</v>
      </c>
      <c r="AY157" s="21">
        <f>1/'vehicles specifications'!$M23</f>
        <v>2.6315789473684209E-2</v>
      </c>
      <c r="AZ157" s="21">
        <f>1/'vehicles specifications'!$M23</f>
        <v>2.6315789473684209E-2</v>
      </c>
      <c r="BA157" s="21">
        <f>1/'vehicles specifications'!$M23</f>
        <v>2.6315789473684209E-2</v>
      </c>
      <c r="BB157" s="21">
        <f>1/'vehicles specifications'!$M23</f>
        <v>2.6315789473684209E-2</v>
      </c>
      <c r="BC157" s="21">
        <f>1/'vehicles specifications'!$M23</f>
        <v>2.6315789473684209E-2</v>
      </c>
      <c r="BD157" s="21">
        <f>1/'vehicles specifications'!$M23</f>
        <v>2.6315789473684209E-2</v>
      </c>
      <c r="BE157" s="21">
        <f>1/'vehicles specifications'!$M23</f>
        <v>2.6315789473684209E-2</v>
      </c>
      <c r="BF157" s="21">
        <f>1/'vehicles specifications'!$M23</f>
        <v>2.6315789473684209E-2</v>
      </c>
      <c r="BG157" s="21">
        <f>1/'vehicles specifications'!$M23</f>
        <v>2.6315789473684209E-2</v>
      </c>
      <c r="BH157" s="21">
        <f>1/'vehicles specifications'!$M23</f>
        <v>2.6315789473684209E-2</v>
      </c>
      <c r="BI157">
        <f>-1/'vehicles specifications'!$M23</f>
        <v>-2.6315789473684209E-2</v>
      </c>
      <c r="BJ157">
        <f>-1/'vehicles specifications'!$M23</f>
        <v>-2.6315789473684209E-2</v>
      </c>
      <c r="BK157">
        <f>-1/'vehicles specifications'!$M23</f>
        <v>-2.6315789473684209E-2</v>
      </c>
    </row>
    <row r="158" spans="1:63" x14ac:dyDescent="0.3">
      <c r="A158" t="s">
        <v>538</v>
      </c>
      <c r="B158">
        <f t="shared" si="4"/>
        <v>4.7637195121951221E-5</v>
      </c>
      <c r="C158" s="2">
        <f>'vehicles specifications'!S24</f>
        <v>43200</v>
      </c>
      <c r="D158">
        <f t="shared" si="4"/>
        <v>4.7637195121951221E-5</v>
      </c>
      <c r="E158">
        <f t="shared" si="4"/>
        <v>4.7637195121951221E-5</v>
      </c>
      <c r="F158">
        <f>1+'vehicles specifications'!AD24</f>
        <v>1</v>
      </c>
      <c r="G158">
        <f>1+'vehicles specifications'!AD24</f>
        <v>1</v>
      </c>
      <c r="H158">
        <v>1</v>
      </c>
      <c r="I158">
        <v>1</v>
      </c>
      <c r="K158">
        <f>1/('fuels and tailpipe emissions'!$C$3*3.6)</f>
        <v>2.358490566037736E-2</v>
      </c>
      <c r="L158" s="21">
        <v>7.3099415204678359E-3</v>
      </c>
      <c r="M158">
        <f>1/'vehicles specifications'!J24/'vehicles specifications'!M24</f>
        <v>9.3984962406015038E-9</v>
      </c>
      <c r="N158" s="21">
        <v>1</v>
      </c>
      <c r="O158">
        <f>1/'vehicles specifications'!M24</f>
        <v>2.6315789473684209E-2</v>
      </c>
      <c r="P158" s="21">
        <f t="shared" ref="P158:Q160" si="5">-1/20992</f>
        <v>-4.7637195121951221E-5</v>
      </c>
      <c r="Q158" s="21">
        <f t="shared" si="5"/>
        <v>-4.7637195121951221E-5</v>
      </c>
      <c r="R158">
        <f>-1-'vehicles specifications'!AD24</f>
        <v>-1</v>
      </c>
      <c r="S158">
        <f>1/'vehicles specifications'!$M24</f>
        <v>2.6315789473684209E-2</v>
      </c>
      <c r="T158">
        <f>1/'vehicles specifications'!$M24</f>
        <v>2.6315789473684209E-2</v>
      </c>
      <c r="U158">
        <f>1/'vehicles specifications'!$M24</f>
        <v>2.6315789473684209E-2</v>
      </c>
      <c r="V158">
        <f>1/'vehicles specifications'!$M24</f>
        <v>2.6315789473684209E-2</v>
      </c>
      <c r="W158">
        <f>1/'vehicles specifications'!$M24</f>
        <v>2.6315789473684209E-2</v>
      </c>
      <c r="X158">
        <f>1/'vehicles specifications'!$M24</f>
        <v>2.6315789473684209E-2</v>
      </c>
      <c r="Y158">
        <f>1/'vehicles specifications'!$M24</f>
        <v>2.6315789473684209E-2</v>
      </c>
      <c r="Z158">
        <f>1/'vehicles specifications'!$M24</f>
        <v>2.6315789473684209E-2</v>
      </c>
      <c r="AA158">
        <f>1/'vehicles specifications'!$M24</f>
        <v>2.6315789473684209E-2</v>
      </c>
      <c r="AB158">
        <f>1/'vehicles specifications'!$M24</f>
        <v>2.6315789473684209E-2</v>
      </c>
      <c r="AC158" s="21">
        <f>1/'vehicles specifications'!$M24</f>
        <v>2.6315789473684209E-2</v>
      </c>
      <c r="AD158" s="21">
        <f>1/'vehicles specifications'!$M24</f>
        <v>2.6315789473684209E-2</v>
      </c>
      <c r="AE158" s="21">
        <f>1/'vehicles specifications'!$M24</f>
        <v>2.6315789473684209E-2</v>
      </c>
      <c r="AF158" s="21">
        <f>1/'vehicles specifications'!$M24</f>
        <v>2.6315789473684209E-2</v>
      </c>
      <c r="AG158" s="21">
        <f>1/'vehicles specifications'!$M24</f>
        <v>2.6315789473684209E-2</v>
      </c>
      <c r="AH158" s="21">
        <f>1/'vehicles specifications'!$M24</f>
        <v>2.6315789473684209E-2</v>
      </c>
      <c r="AI158" s="21">
        <f>1/'vehicles specifications'!$M24</f>
        <v>2.6315789473684209E-2</v>
      </c>
      <c r="AJ158" s="21">
        <f>1/'vehicles specifications'!$M24</f>
        <v>2.6315789473684209E-2</v>
      </c>
      <c r="AK158" s="21">
        <f>1/'vehicles specifications'!$M24</f>
        <v>2.6315789473684209E-2</v>
      </c>
      <c r="AL158" s="21">
        <f>1/'vehicles specifications'!$M24</f>
        <v>2.6315789473684209E-2</v>
      </c>
      <c r="AM158" s="21">
        <f>1/'vehicles specifications'!$M24</f>
        <v>2.6315789473684209E-2</v>
      </c>
      <c r="AN158" s="21">
        <f>1/'vehicles specifications'!$M24</f>
        <v>2.6315789473684209E-2</v>
      </c>
      <c r="AO158" s="21">
        <f>1/'vehicles specifications'!$M24</f>
        <v>2.6315789473684209E-2</v>
      </c>
      <c r="AP158" s="21">
        <f>1/'vehicles specifications'!$M24</f>
        <v>2.6315789473684209E-2</v>
      </c>
      <c r="AQ158" s="21">
        <f>1/'vehicles specifications'!$M24</f>
        <v>2.6315789473684209E-2</v>
      </c>
      <c r="AR158" s="21">
        <f>1/'vehicles specifications'!$M24</f>
        <v>2.6315789473684209E-2</v>
      </c>
      <c r="AS158" s="21">
        <f>1/'vehicles specifications'!$M24</f>
        <v>2.6315789473684209E-2</v>
      </c>
      <c r="AT158" s="21">
        <f>1/'vehicles specifications'!$M24</f>
        <v>2.6315789473684209E-2</v>
      </c>
      <c r="AU158" s="21">
        <f>1/'vehicles specifications'!$M24</f>
        <v>2.6315789473684209E-2</v>
      </c>
      <c r="AV158" s="21">
        <f>1/'vehicles specifications'!$M24</f>
        <v>2.6315789473684209E-2</v>
      </c>
      <c r="AW158" s="21">
        <f>1/'vehicles specifications'!$M24</f>
        <v>2.6315789473684209E-2</v>
      </c>
      <c r="AX158" s="21">
        <f>1/'vehicles specifications'!$M24</f>
        <v>2.6315789473684209E-2</v>
      </c>
      <c r="AY158" s="21">
        <f>1/'vehicles specifications'!$M24</f>
        <v>2.6315789473684209E-2</v>
      </c>
      <c r="AZ158" s="21">
        <f>1/'vehicles specifications'!$M24</f>
        <v>2.6315789473684209E-2</v>
      </c>
      <c r="BA158" s="21">
        <f>1/'vehicles specifications'!$M24</f>
        <v>2.6315789473684209E-2</v>
      </c>
      <c r="BB158" s="21">
        <f>1/'vehicles specifications'!$M24</f>
        <v>2.6315789473684209E-2</v>
      </c>
      <c r="BC158" s="21">
        <f>1/'vehicles specifications'!$M24</f>
        <v>2.6315789473684209E-2</v>
      </c>
      <c r="BD158" s="21">
        <f>1/'vehicles specifications'!$M24</f>
        <v>2.6315789473684209E-2</v>
      </c>
      <c r="BE158" s="21">
        <f>1/'vehicles specifications'!$M24</f>
        <v>2.6315789473684209E-2</v>
      </c>
      <c r="BF158" s="21">
        <f>1/'vehicles specifications'!$M24</f>
        <v>2.6315789473684209E-2</v>
      </c>
      <c r="BG158" s="21">
        <f>1/'vehicles specifications'!$M24</f>
        <v>2.6315789473684209E-2</v>
      </c>
      <c r="BH158" s="21">
        <f>1/'vehicles specifications'!$M24</f>
        <v>2.6315789473684209E-2</v>
      </c>
      <c r="BI158">
        <f>-1/'vehicles specifications'!$M24</f>
        <v>-2.6315789473684209E-2</v>
      </c>
      <c r="BJ158">
        <f>-1/'vehicles specifications'!$M24</f>
        <v>-2.6315789473684209E-2</v>
      </c>
      <c r="BK158">
        <f>-1/'vehicles specifications'!$M24</f>
        <v>-2.6315789473684209E-2</v>
      </c>
    </row>
    <row r="159" spans="1:63" x14ac:dyDescent="0.3">
      <c r="A159" t="s">
        <v>539</v>
      </c>
      <c r="B159">
        <f t="shared" si="4"/>
        <v>4.7637195121951221E-5</v>
      </c>
      <c r="C159" s="2">
        <f>'vehicles specifications'!S25</f>
        <v>43200</v>
      </c>
      <c r="D159">
        <f t="shared" si="4"/>
        <v>4.7637195121951221E-5</v>
      </c>
      <c r="E159">
        <f t="shared" si="4"/>
        <v>4.7637195121951221E-5</v>
      </c>
      <c r="F159">
        <f>1+'vehicles specifications'!AD25</f>
        <v>1</v>
      </c>
      <c r="G159">
        <f>1+'vehicles specifications'!AD25</f>
        <v>1</v>
      </c>
      <c r="H159">
        <v>1</v>
      </c>
      <c r="I159">
        <v>1</v>
      </c>
      <c r="K159">
        <f>1/('fuels and tailpipe emissions'!$C$3*3.6)</f>
        <v>2.358490566037736E-2</v>
      </c>
      <c r="L159" s="21">
        <v>7.3099415204678359E-3</v>
      </c>
      <c r="M159">
        <f>1/'vehicles specifications'!J25/'vehicles specifications'!M25</f>
        <v>9.3984962406015038E-9</v>
      </c>
      <c r="N159" s="21">
        <v>1</v>
      </c>
      <c r="O159">
        <f>1/'vehicles specifications'!M25</f>
        <v>2.6315789473684209E-2</v>
      </c>
      <c r="P159" s="21">
        <f t="shared" si="5"/>
        <v>-4.7637195121951221E-5</v>
      </c>
      <c r="Q159" s="21">
        <f t="shared" si="5"/>
        <v>-4.7637195121951221E-5</v>
      </c>
      <c r="R159">
        <f>-1-'vehicles specifications'!AD25</f>
        <v>-1</v>
      </c>
      <c r="S159">
        <f>1/'vehicles specifications'!$M25</f>
        <v>2.6315789473684209E-2</v>
      </c>
      <c r="T159">
        <f>1/'vehicles specifications'!$M25</f>
        <v>2.6315789473684209E-2</v>
      </c>
      <c r="U159">
        <f>1/'vehicles specifications'!$M25</f>
        <v>2.6315789473684209E-2</v>
      </c>
      <c r="V159">
        <f>1/'vehicles specifications'!$M25</f>
        <v>2.6315789473684209E-2</v>
      </c>
      <c r="W159">
        <f>1/'vehicles specifications'!$M25</f>
        <v>2.6315789473684209E-2</v>
      </c>
      <c r="X159">
        <f>1/'vehicles specifications'!$M25</f>
        <v>2.6315789473684209E-2</v>
      </c>
      <c r="Y159">
        <f>1/'vehicles specifications'!$M25</f>
        <v>2.6315789473684209E-2</v>
      </c>
      <c r="Z159">
        <f>1/'vehicles specifications'!$M25</f>
        <v>2.6315789473684209E-2</v>
      </c>
      <c r="AA159">
        <f>1/'vehicles specifications'!$M25</f>
        <v>2.6315789473684209E-2</v>
      </c>
      <c r="AB159">
        <f>1/'vehicles specifications'!$M25</f>
        <v>2.6315789473684209E-2</v>
      </c>
      <c r="AC159" s="21">
        <f>1/'vehicles specifications'!$M25</f>
        <v>2.6315789473684209E-2</v>
      </c>
      <c r="AD159" s="21">
        <f>1/'vehicles specifications'!$M25</f>
        <v>2.6315789473684209E-2</v>
      </c>
      <c r="AE159" s="21">
        <f>1/'vehicles specifications'!$M25</f>
        <v>2.6315789473684209E-2</v>
      </c>
      <c r="AF159" s="21">
        <f>1/'vehicles specifications'!$M25</f>
        <v>2.6315789473684209E-2</v>
      </c>
      <c r="AG159" s="21">
        <f>1/'vehicles specifications'!$M25</f>
        <v>2.6315789473684209E-2</v>
      </c>
      <c r="AH159" s="21">
        <f>1/'vehicles specifications'!$M25</f>
        <v>2.6315789473684209E-2</v>
      </c>
      <c r="AI159" s="21">
        <f>1/'vehicles specifications'!$M25</f>
        <v>2.6315789473684209E-2</v>
      </c>
      <c r="AJ159" s="21">
        <f>1/'vehicles specifications'!$M25</f>
        <v>2.6315789473684209E-2</v>
      </c>
      <c r="AK159" s="21">
        <f>1/'vehicles specifications'!$M25</f>
        <v>2.6315789473684209E-2</v>
      </c>
      <c r="AL159" s="21">
        <f>1/'vehicles specifications'!$M25</f>
        <v>2.6315789473684209E-2</v>
      </c>
      <c r="AM159" s="21">
        <f>1/'vehicles specifications'!$M25</f>
        <v>2.6315789473684209E-2</v>
      </c>
      <c r="AN159" s="21">
        <f>1/'vehicles specifications'!$M25</f>
        <v>2.6315789473684209E-2</v>
      </c>
      <c r="AO159" s="21">
        <f>1/'vehicles specifications'!$M25</f>
        <v>2.6315789473684209E-2</v>
      </c>
      <c r="AP159" s="21">
        <f>1/'vehicles specifications'!$M25</f>
        <v>2.6315789473684209E-2</v>
      </c>
      <c r="AQ159" s="21">
        <f>1/'vehicles specifications'!$M25</f>
        <v>2.6315789473684209E-2</v>
      </c>
      <c r="AR159" s="21">
        <f>1/'vehicles specifications'!$M25</f>
        <v>2.6315789473684209E-2</v>
      </c>
      <c r="AS159" s="21">
        <f>1/'vehicles specifications'!$M25</f>
        <v>2.6315789473684209E-2</v>
      </c>
      <c r="AT159" s="21">
        <f>1/'vehicles specifications'!$M25</f>
        <v>2.6315789473684209E-2</v>
      </c>
      <c r="AU159" s="21">
        <f>1/'vehicles specifications'!$M25</f>
        <v>2.6315789473684209E-2</v>
      </c>
      <c r="AV159" s="21">
        <f>1/'vehicles specifications'!$M25</f>
        <v>2.6315789473684209E-2</v>
      </c>
      <c r="AW159" s="21">
        <f>1/'vehicles specifications'!$M25</f>
        <v>2.6315789473684209E-2</v>
      </c>
      <c r="AX159" s="21">
        <f>1/'vehicles specifications'!$M25</f>
        <v>2.6315789473684209E-2</v>
      </c>
      <c r="AY159" s="21">
        <f>1/'vehicles specifications'!$M25</f>
        <v>2.6315789473684209E-2</v>
      </c>
      <c r="AZ159" s="21">
        <f>1/'vehicles specifications'!$M25</f>
        <v>2.6315789473684209E-2</v>
      </c>
      <c r="BA159" s="21">
        <f>1/'vehicles specifications'!$M25</f>
        <v>2.6315789473684209E-2</v>
      </c>
      <c r="BB159" s="21">
        <f>1/'vehicles specifications'!$M25</f>
        <v>2.6315789473684209E-2</v>
      </c>
      <c r="BC159" s="21">
        <f>1/'vehicles specifications'!$M25</f>
        <v>2.6315789473684209E-2</v>
      </c>
      <c r="BD159" s="21">
        <f>1/'vehicles specifications'!$M25</f>
        <v>2.6315789473684209E-2</v>
      </c>
      <c r="BE159" s="21">
        <f>1/'vehicles specifications'!$M25</f>
        <v>2.6315789473684209E-2</v>
      </c>
      <c r="BF159" s="21">
        <f>1/'vehicles specifications'!$M25</f>
        <v>2.6315789473684209E-2</v>
      </c>
      <c r="BG159" s="21">
        <f>1/'vehicles specifications'!$M25</f>
        <v>2.6315789473684209E-2</v>
      </c>
      <c r="BH159" s="21">
        <f>1/'vehicles specifications'!$M25</f>
        <v>2.6315789473684209E-2</v>
      </c>
      <c r="BI159">
        <f>-1/'vehicles specifications'!$M25</f>
        <v>-2.6315789473684209E-2</v>
      </c>
      <c r="BJ159">
        <f>-1/'vehicles specifications'!$M25</f>
        <v>-2.6315789473684209E-2</v>
      </c>
      <c r="BK159">
        <f>-1/'vehicles specifications'!$M25</f>
        <v>-2.6315789473684209E-2</v>
      </c>
    </row>
    <row r="160" spans="1:63" x14ac:dyDescent="0.3">
      <c r="A160" t="s">
        <v>540</v>
      </c>
      <c r="B160">
        <f t="shared" si="4"/>
        <v>4.7637195121951221E-5</v>
      </c>
      <c r="C160" s="2">
        <f>'vehicles specifications'!S26</f>
        <v>43200</v>
      </c>
      <c r="D160">
        <f t="shared" si="4"/>
        <v>4.7637195121951221E-5</v>
      </c>
      <c r="E160">
        <f t="shared" si="4"/>
        <v>4.7637195121951221E-5</v>
      </c>
      <c r="F160">
        <f>1+'vehicles specifications'!AD26</f>
        <v>1</v>
      </c>
      <c r="G160">
        <f>1+'vehicles specifications'!AD26</f>
        <v>1</v>
      </c>
      <c r="H160">
        <v>1</v>
      </c>
      <c r="I160">
        <v>1</v>
      </c>
      <c r="K160">
        <f>1/('fuels and tailpipe emissions'!$C$3*3.6)</f>
        <v>2.358490566037736E-2</v>
      </c>
      <c r="L160" s="21">
        <v>7.3099415204678359E-3</v>
      </c>
      <c r="M160">
        <f>1/'vehicles specifications'!J26/'vehicles specifications'!M26</f>
        <v>9.3984962406015038E-9</v>
      </c>
      <c r="N160" s="21">
        <v>1</v>
      </c>
      <c r="O160">
        <f>1/'vehicles specifications'!M26</f>
        <v>2.6315789473684209E-2</v>
      </c>
      <c r="P160" s="21">
        <f t="shared" si="5"/>
        <v>-4.7637195121951221E-5</v>
      </c>
      <c r="Q160" s="21">
        <f t="shared" si="5"/>
        <v>-4.7637195121951221E-5</v>
      </c>
      <c r="R160">
        <f>-1-'vehicles specifications'!AD26</f>
        <v>-1</v>
      </c>
      <c r="S160">
        <f>1/'vehicles specifications'!$M26</f>
        <v>2.6315789473684209E-2</v>
      </c>
      <c r="T160">
        <f>1/'vehicles specifications'!$M26</f>
        <v>2.6315789473684209E-2</v>
      </c>
      <c r="U160">
        <f>1/'vehicles specifications'!$M26</f>
        <v>2.6315789473684209E-2</v>
      </c>
      <c r="V160">
        <f>1/'vehicles specifications'!$M26</f>
        <v>2.6315789473684209E-2</v>
      </c>
      <c r="W160">
        <f>1/'vehicles specifications'!$M26</f>
        <v>2.6315789473684209E-2</v>
      </c>
      <c r="X160">
        <f>1/'vehicles specifications'!$M26</f>
        <v>2.6315789473684209E-2</v>
      </c>
      <c r="Y160">
        <f>1/'vehicles specifications'!$M26</f>
        <v>2.6315789473684209E-2</v>
      </c>
      <c r="Z160">
        <f>1/'vehicles specifications'!$M26</f>
        <v>2.6315789473684209E-2</v>
      </c>
      <c r="AA160">
        <f>1/'vehicles specifications'!$M26</f>
        <v>2.6315789473684209E-2</v>
      </c>
      <c r="AB160">
        <f>1/'vehicles specifications'!$M26</f>
        <v>2.6315789473684209E-2</v>
      </c>
      <c r="AC160" s="21">
        <f>1/'vehicles specifications'!$M26</f>
        <v>2.6315789473684209E-2</v>
      </c>
      <c r="AD160" s="21">
        <f>1/'vehicles specifications'!$M26</f>
        <v>2.6315789473684209E-2</v>
      </c>
      <c r="AE160" s="21">
        <f>1/'vehicles specifications'!$M26</f>
        <v>2.6315789473684209E-2</v>
      </c>
      <c r="AF160" s="21">
        <f>1/'vehicles specifications'!$M26</f>
        <v>2.6315789473684209E-2</v>
      </c>
      <c r="AG160" s="21">
        <f>1/'vehicles specifications'!$M26</f>
        <v>2.6315789473684209E-2</v>
      </c>
      <c r="AH160" s="21">
        <f>1/'vehicles specifications'!$M26</f>
        <v>2.6315789473684209E-2</v>
      </c>
      <c r="AI160" s="21">
        <f>1/'vehicles specifications'!$M26</f>
        <v>2.6315789473684209E-2</v>
      </c>
      <c r="AJ160" s="21">
        <f>1/'vehicles specifications'!$M26</f>
        <v>2.6315789473684209E-2</v>
      </c>
      <c r="AK160" s="21">
        <f>1/'vehicles specifications'!$M26</f>
        <v>2.6315789473684209E-2</v>
      </c>
      <c r="AL160" s="21">
        <f>1/'vehicles specifications'!$M26</f>
        <v>2.6315789473684209E-2</v>
      </c>
      <c r="AM160" s="21">
        <f>1/'vehicles specifications'!$M26</f>
        <v>2.6315789473684209E-2</v>
      </c>
      <c r="AN160" s="21">
        <f>1/'vehicles specifications'!$M26</f>
        <v>2.6315789473684209E-2</v>
      </c>
      <c r="AO160" s="21">
        <f>1/'vehicles specifications'!$M26</f>
        <v>2.6315789473684209E-2</v>
      </c>
      <c r="AP160" s="21">
        <f>1/'vehicles specifications'!$M26</f>
        <v>2.6315789473684209E-2</v>
      </c>
      <c r="AQ160" s="21">
        <f>1/'vehicles specifications'!$M26</f>
        <v>2.6315789473684209E-2</v>
      </c>
      <c r="AR160" s="21">
        <f>1/'vehicles specifications'!$M26</f>
        <v>2.6315789473684209E-2</v>
      </c>
      <c r="AS160" s="21">
        <f>1/'vehicles specifications'!$M26</f>
        <v>2.6315789473684209E-2</v>
      </c>
      <c r="AT160" s="21">
        <f>1/'vehicles specifications'!$M26</f>
        <v>2.6315789473684209E-2</v>
      </c>
      <c r="AU160" s="21">
        <f>1/'vehicles specifications'!$M26</f>
        <v>2.6315789473684209E-2</v>
      </c>
      <c r="AV160" s="21">
        <f>1/'vehicles specifications'!$M26</f>
        <v>2.6315789473684209E-2</v>
      </c>
      <c r="AW160" s="21">
        <f>1/'vehicles specifications'!$M26</f>
        <v>2.6315789473684209E-2</v>
      </c>
      <c r="AX160" s="21">
        <f>1/'vehicles specifications'!$M26</f>
        <v>2.6315789473684209E-2</v>
      </c>
      <c r="AY160" s="21">
        <f>1/'vehicles specifications'!$M26</f>
        <v>2.6315789473684209E-2</v>
      </c>
      <c r="AZ160" s="21">
        <f>1/'vehicles specifications'!$M26</f>
        <v>2.6315789473684209E-2</v>
      </c>
      <c r="BA160" s="21">
        <f>1/'vehicles specifications'!$M26</f>
        <v>2.6315789473684209E-2</v>
      </c>
      <c r="BB160" s="21">
        <f>1/'vehicles specifications'!$M26</f>
        <v>2.6315789473684209E-2</v>
      </c>
      <c r="BC160" s="21">
        <f>1/'vehicles specifications'!$M26</f>
        <v>2.6315789473684209E-2</v>
      </c>
      <c r="BD160" s="21">
        <f>1/'vehicles specifications'!$M26</f>
        <v>2.6315789473684209E-2</v>
      </c>
      <c r="BE160" s="21">
        <f>1/'vehicles specifications'!$M26</f>
        <v>2.6315789473684209E-2</v>
      </c>
      <c r="BF160" s="21">
        <f>1/'vehicles specifications'!$M26</f>
        <v>2.6315789473684209E-2</v>
      </c>
      <c r="BG160" s="21">
        <f>1/'vehicles specifications'!$M26</f>
        <v>2.6315789473684209E-2</v>
      </c>
      <c r="BH160" s="21">
        <f>1/'vehicles specifications'!$M26</f>
        <v>2.6315789473684209E-2</v>
      </c>
      <c r="BI160">
        <f>-1/'vehicles specifications'!$M26</f>
        <v>-2.6315789473684209E-2</v>
      </c>
      <c r="BJ160">
        <f>-1/'vehicles specifications'!$M26</f>
        <v>-2.6315789473684209E-2</v>
      </c>
      <c r="BK160">
        <f>-1/'vehicles specifications'!$M26</f>
        <v>-2.6315789473684209E-2</v>
      </c>
    </row>
    <row r="161" spans="1:63" x14ac:dyDescent="0.3">
      <c r="A161" t="s">
        <v>648</v>
      </c>
      <c r="B161">
        <f t="shared" ref="B161:D178" si="6">1/90</f>
        <v>1.1111111111111112E-2</v>
      </c>
      <c r="C161" s="2">
        <f>'vehicles specifications'!S27</f>
        <v>41.962499999999999</v>
      </c>
      <c r="D161">
        <f t="shared" si="6"/>
        <v>1.1111111111111112E-2</v>
      </c>
      <c r="F161">
        <f>1+'vehicles specifications'!AD27</f>
        <v>1</v>
      </c>
      <c r="G161">
        <f>1+'vehicles specifications'!AD27</f>
        <v>1</v>
      </c>
      <c r="H161">
        <v>1</v>
      </c>
      <c r="I161">
        <v>1</v>
      </c>
      <c r="K161">
        <f>1/('fuels and tailpipe emissions'!$C$3*3.6)</f>
        <v>2.358490566037736E-2</v>
      </c>
      <c r="L161" s="21">
        <f>1/3.6*1.1</f>
        <v>0.30555555555555558</v>
      </c>
      <c r="M161">
        <f>1/'vehicles specifications'!J27</f>
        <v>2.9940119760479042E-5</v>
      </c>
      <c r="N161" s="21">
        <v>1</v>
      </c>
      <c r="O161">
        <f>1</f>
        <v>1</v>
      </c>
      <c r="P161">
        <v>-1</v>
      </c>
      <c r="Q161">
        <v>-1</v>
      </c>
      <c r="R161">
        <f>-1-'vehicles specifications'!AD27</f>
        <v>-1</v>
      </c>
      <c r="S161">
        <v>1</v>
      </c>
      <c r="T161">
        <v>1</v>
      </c>
      <c r="U161">
        <v>1</v>
      </c>
      <c r="V161">
        <v>1</v>
      </c>
      <c r="W161">
        <v>1</v>
      </c>
      <c r="X161">
        <v>1</v>
      </c>
      <c r="Y161">
        <v>1</v>
      </c>
      <c r="Z161">
        <v>1</v>
      </c>
      <c r="AA161">
        <v>1</v>
      </c>
      <c r="AB161">
        <v>1</v>
      </c>
      <c r="AC161" s="21">
        <v>1</v>
      </c>
      <c r="AD161" s="21">
        <v>1</v>
      </c>
      <c r="AE161" s="21">
        <v>1</v>
      </c>
      <c r="AF161" s="21">
        <v>1</v>
      </c>
      <c r="AG161" s="21">
        <v>1</v>
      </c>
      <c r="AH161" s="21">
        <v>1</v>
      </c>
      <c r="AI161" s="21">
        <v>1</v>
      </c>
      <c r="AJ161" s="21">
        <v>1</v>
      </c>
      <c r="AK161" s="21">
        <v>1</v>
      </c>
      <c r="AL161" s="21">
        <v>1</v>
      </c>
      <c r="AM161" s="21">
        <v>1</v>
      </c>
      <c r="AN161" s="21">
        <v>1</v>
      </c>
      <c r="AO161" s="21">
        <v>1</v>
      </c>
      <c r="AP161" s="21">
        <v>1</v>
      </c>
      <c r="AQ161" s="21">
        <v>1</v>
      </c>
      <c r="AR161" s="21">
        <v>1</v>
      </c>
      <c r="AS161" s="21">
        <v>1</v>
      </c>
      <c r="AT161" s="21">
        <v>1</v>
      </c>
      <c r="AU161" s="21">
        <v>1</v>
      </c>
      <c r="AV161" s="21">
        <v>1</v>
      </c>
      <c r="AW161" s="21">
        <v>1</v>
      </c>
      <c r="AX161" s="21">
        <v>1</v>
      </c>
      <c r="AY161" s="21">
        <v>1</v>
      </c>
      <c r="AZ161" s="21">
        <v>1</v>
      </c>
      <c r="BA161" s="21">
        <v>1</v>
      </c>
      <c r="BB161" s="21">
        <v>1</v>
      </c>
      <c r="BC161" s="21">
        <v>1</v>
      </c>
      <c r="BD161" s="21">
        <v>1</v>
      </c>
      <c r="BE161" s="21">
        <v>1</v>
      </c>
      <c r="BF161" s="21">
        <v>1</v>
      </c>
      <c r="BG161" s="21">
        <v>1</v>
      </c>
      <c r="BH161" s="21">
        <v>1</v>
      </c>
      <c r="BI161">
        <v>-1</v>
      </c>
      <c r="BJ161">
        <v>-1</v>
      </c>
      <c r="BK161">
        <v>-1</v>
      </c>
    </row>
    <row r="162" spans="1:63" x14ac:dyDescent="0.3">
      <c r="A162" t="s">
        <v>649</v>
      </c>
      <c r="B162">
        <f t="shared" si="6"/>
        <v>1.1111111111111112E-2</v>
      </c>
      <c r="C162" s="2">
        <f>'vehicles specifications'!S28</f>
        <v>41.962499999999999</v>
      </c>
      <c r="D162">
        <f t="shared" si="6"/>
        <v>1.1111111111111112E-2</v>
      </c>
      <c r="F162">
        <f>1+'vehicles specifications'!AD28</f>
        <v>1</v>
      </c>
      <c r="G162">
        <f>1+'vehicles specifications'!AD28</f>
        <v>1</v>
      </c>
      <c r="H162">
        <v>1</v>
      </c>
      <c r="I162">
        <v>1</v>
      </c>
      <c r="K162">
        <f>1/('fuels and tailpipe emissions'!$C$3*3.6)</f>
        <v>2.358490566037736E-2</v>
      </c>
      <c r="L162" s="21">
        <f t="shared" ref="L162:L213" si="7">1/3.6*1.1</f>
        <v>0.30555555555555558</v>
      </c>
      <c r="M162">
        <f>1/'vehicles specifications'!J28</f>
        <v>2.9940119760479042E-5</v>
      </c>
      <c r="N162" s="21">
        <v>1</v>
      </c>
      <c r="O162">
        <f>1</f>
        <v>1</v>
      </c>
      <c r="P162">
        <v>-1</v>
      </c>
      <c r="Q162">
        <v>-1</v>
      </c>
      <c r="R162">
        <f>-1-'vehicles specifications'!AD28</f>
        <v>-1</v>
      </c>
      <c r="S162">
        <v>1</v>
      </c>
      <c r="T162">
        <v>1</v>
      </c>
      <c r="U162">
        <v>1</v>
      </c>
      <c r="V162">
        <v>1</v>
      </c>
      <c r="W162">
        <v>1</v>
      </c>
      <c r="X162">
        <v>1</v>
      </c>
      <c r="Y162">
        <v>1</v>
      </c>
      <c r="Z162">
        <v>1</v>
      </c>
      <c r="AA162">
        <v>1</v>
      </c>
      <c r="AB162">
        <v>1</v>
      </c>
      <c r="AC162" s="21">
        <v>1</v>
      </c>
      <c r="AD162" s="21">
        <v>1</v>
      </c>
      <c r="AE162" s="21">
        <v>1</v>
      </c>
      <c r="AF162" s="21">
        <v>1</v>
      </c>
      <c r="AG162" s="21">
        <v>1</v>
      </c>
      <c r="AH162" s="21">
        <v>1</v>
      </c>
      <c r="AI162" s="21">
        <v>1</v>
      </c>
      <c r="AJ162" s="21">
        <v>1</v>
      </c>
      <c r="AK162" s="21">
        <v>1</v>
      </c>
      <c r="AL162" s="21">
        <v>1</v>
      </c>
      <c r="AM162" s="21">
        <v>1</v>
      </c>
      <c r="AN162" s="21">
        <v>1</v>
      </c>
      <c r="AO162" s="21">
        <v>1</v>
      </c>
      <c r="AP162" s="21">
        <v>1</v>
      </c>
      <c r="AQ162" s="21">
        <v>1</v>
      </c>
      <c r="AR162" s="21">
        <v>1</v>
      </c>
      <c r="AS162" s="21">
        <v>1</v>
      </c>
      <c r="AT162" s="21">
        <v>1</v>
      </c>
      <c r="AU162" s="21">
        <v>1</v>
      </c>
      <c r="AV162" s="21">
        <v>1</v>
      </c>
      <c r="AW162" s="21">
        <v>1</v>
      </c>
      <c r="AX162" s="21">
        <v>1</v>
      </c>
      <c r="AY162" s="21">
        <v>1</v>
      </c>
      <c r="AZ162" s="21">
        <v>1</v>
      </c>
      <c r="BA162" s="21">
        <v>1</v>
      </c>
      <c r="BB162" s="21">
        <v>1</v>
      </c>
      <c r="BC162" s="21">
        <v>1</v>
      </c>
      <c r="BD162" s="21">
        <v>1</v>
      </c>
      <c r="BE162" s="21">
        <v>1</v>
      </c>
      <c r="BF162" s="21">
        <v>1</v>
      </c>
      <c r="BG162" s="21">
        <v>1</v>
      </c>
      <c r="BH162" s="21">
        <v>1</v>
      </c>
      <c r="BI162">
        <v>-1</v>
      </c>
      <c r="BJ162">
        <v>-1</v>
      </c>
      <c r="BK162">
        <v>-1</v>
      </c>
    </row>
    <row r="163" spans="1:63" x14ac:dyDescent="0.3">
      <c r="A163" t="s">
        <v>650</v>
      </c>
      <c r="B163">
        <f t="shared" si="6"/>
        <v>1.1111111111111112E-2</v>
      </c>
      <c r="C163" s="2">
        <f>'vehicles specifications'!S29</f>
        <v>41.962499999999999</v>
      </c>
      <c r="D163">
        <f t="shared" si="6"/>
        <v>1.1111111111111112E-2</v>
      </c>
      <c r="F163">
        <f>1+'vehicles specifications'!AD29</f>
        <v>1</v>
      </c>
      <c r="G163">
        <f>1+'vehicles specifications'!AD29</f>
        <v>1</v>
      </c>
      <c r="H163">
        <v>1</v>
      </c>
      <c r="I163">
        <v>1</v>
      </c>
      <c r="K163">
        <f>1/('fuels and tailpipe emissions'!$C$3*3.6)</f>
        <v>2.358490566037736E-2</v>
      </c>
      <c r="L163" s="21">
        <f t="shared" si="7"/>
        <v>0.30555555555555558</v>
      </c>
      <c r="M163">
        <f>1/'vehicles specifications'!J29</f>
        <v>2.9940119760479042E-5</v>
      </c>
      <c r="N163" s="21">
        <v>1</v>
      </c>
      <c r="O163">
        <f>1</f>
        <v>1</v>
      </c>
      <c r="P163">
        <v>-1</v>
      </c>
      <c r="Q163">
        <v>-1</v>
      </c>
      <c r="R163">
        <f>-1-'vehicles specifications'!AD29</f>
        <v>-1</v>
      </c>
      <c r="S163">
        <v>1</v>
      </c>
      <c r="T163">
        <v>1</v>
      </c>
      <c r="U163">
        <v>1</v>
      </c>
      <c r="V163">
        <v>1</v>
      </c>
      <c r="W163">
        <v>1</v>
      </c>
      <c r="X163">
        <v>1</v>
      </c>
      <c r="Y163">
        <v>1</v>
      </c>
      <c r="Z163">
        <v>1</v>
      </c>
      <c r="AA163">
        <v>1</v>
      </c>
      <c r="AB163">
        <v>1</v>
      </c>
      <c r="AC163" s="21">
        <v>1</v>
      </c>
      <c r="AD163" s="21">
        <v>1</v>
      </c>
      <c r="AE163" s="21">
        <v>1</v>
      </c>
      <c r="AF163" s="21">
        <v>1</v>
      </c>
      <c r="AG163" s="21">
        <v>1</v>
      </c>
      <c r="AH163" s="21">
        <v>1</v>
      </c>
      <c r="AI163" s="21">
        <v>1</v>
      </c>
      <c r="AJ163" s="21">
        <v>1</v>
      </c>
      <c r="AK163" s="21">
        <v>1</v>
      </c>
      <c r="AL163" s="21">
        <v>1</v>
      </c>
      <c r="AM163" s="21">
        <v>1</v>
      </c>
      <c r="AN163" s="21">
        <v>1</v>
      </c>
      <c r="AO163" s="21">
        <v>1</v>
      </c>
      <c r="AP163" s="21">
        <v>1</v>
      </c>
      <c r="AQ163" s="21">
        <v>1</v>
      </c>
      <c r="AR163" s="21">
        <v>1</v>
      </c>
      <c r="AS163" s="21">
        <v>1</v>
      </c>
      <c r="AT163" s="21">
        <v>1</v>
      </c>
      <c r="AU163" s="21">
        <v>1</v>
      </c>
      <c r="AV163" s="21">
        <v>1</v>
      </c>
      <c r="AW163" s="21">
        <v>1</v>
      </c>
      <c r="AX163" s="21">
        <v>1</v>
      </c>
      <c r="AY163" s="21">
        <v>1</v>
      </c>
      <c r="AZ163" s="21">
        <v>1</v>
      </c>
      <c r="BA163" s="21">
        <v>1</v>
      </c>
      <c r="BB163" s="21">
        <v>1</v>
      </c>
      <c r="BC163" s="21">
        <v>1</v>
      </c>
      <c r="BD163" s="21">
        <v>1</v>
      </c>
      <c r="BE163" s="21">
        <v>1</v>
      </c>
      <c r="BF163" s="21">
        <v>1</v>
      </c>
      <c r="BG163" s="21">
        <v>1</v>
      </c>
      <c r="BH163" s="21">
        <v>1</v>
      </c>
      <c r="BI163">
        <v>-1</v>
      </c>
      <c r="BJ163">
        <v>-1</v>
      </c>
      <c r="BK163">
        <v>-1</v>
      </c>
    </row>
    <row r="164" spans="1:63" x14ac:dyDescent="0.3">
      <c r="A164" t="s">
        <v>651</v>
      </c>
      <c r="B164">
        <f t="shared" si="6"/>
        <v>1.1111111111111112E-2</v>
      </c>
      <c r="C164" s="2">
        <f>'vehicles specifications'!S30</f>
        <v>42.362499999999997</v>
      </c>
      <c r="D164">
        <f t="shared" si="6"/>
        <v>1.1111111111111112E-2</v>
      </c>
      <c r="F164">
        <f>1+'vehicles specifications'!AD30</f>
        <v>1</v>
      </c>
      <c r="G164">
        <f>1+'vehicles specifications'!AD30</f>
        <v>1</v>
      </c>
      <c r="H164">
        <v>1</v>
      </c>
      <c r="I164">
        <v>1</v>
      </c>
      <c r="K164">
        <f>1/('fuels and tailpipe emissions'!$C$3*3.6)</f>
        <v>2.358490566037736E-2</v>
      </c>
      <c r="L164" s="21">
        <f t="shared" si="7"/>
        <v>0.30555555555555558</v>
      </c>
      <c r="M164">
        <f>1/'vehicles specifications'!J30</f>
        <v>2.9940119760479042E-5</v>
      </c>
      <c r="N164" s="21">
        <v>1</v>
      </c>
      <c r="O164">
        <f>1</f>
        <v>1</v>
      </c>
      <c r="P164">
        <v>-1</v>
      </c>
      <c r="Q164">
        <v>-1</v>
      </c>
      <c r="R164">
        <f>-1-'vehicles specifications'!AD30</f>
        <v>-1</v>
      </c>
      <c r="S164">
        <v>1</v>
      </c>
      <c r="T164">
        <v>1</v>
      </c>
      <c r="U164">
        <v>1</v>
      </c>
      <c r="V164">
        <v>1</v>
      </c>
      <c r="W164">
        <v>1</v>
      </c>
      <c r="X164">
        <v>1</v>
      </c>
      <c r="Y164">
        <v>1</v>
      </c>
      <c r="Z164">
        <v>1</v>
      </c>
      <c r="AA164">
        <v>1</v>
      </c>
      <c r="AB164">
        <v>1</v>
      </c>
      <c r="AC164" s="21">
        <v>1</v>
      </c>
      <c r="AD164" s="21">
        <v>1</v>
      </c>
      <c r="AE164" s="21">
        <v>1</v>
      </c>
      <c r="AF164" s="21">
        <v>1</v>
      </c>
      <c r="AG164" s="21">
        <v>1</v>
      </c>
      <c r="AH164" s="21">
        <v>1</v>
      </c>
      <c r="AI164" s="21">
        <v>1</v>
      </c>
      <c r="AJ164" s="21">
        <v>1</v>
      </c>
      <c r="AK164" s="21">
        <v>1</v>
      </c>
      <c r="AL164" s="21">
        <v>1</v>
      </c>
      <c r="AM164" s="21">
        <v>1</v>
      </c>
      <c r="AN164" s="21">
        <v>1</v>
      </c>
      <c r="AO164" s="21">
        <v>1</v>
      </c>
      <c r="AP164" s="21">
        <v>1</v>
      </c>
      <c r="AQ164" s="21">
        <v>1</v>
      </c>
      <c r="AR164" s="21">
        <v>1</v>
      </c>
      <c r="AS164" s="21">
        <v>1</v>
      </c>
      <c r="AT164" s="21">
        <v>1</v>
      </c>
      <c r="AU164" s="21">
        <v>1</v>
      </c>
      <c r="AV164" s="21">
        <v>1</v>
      </c>
      <c r="AW164" s="21">
        <v>1</v>
      </c>
      <c r="AX164" s="21">
        <v>1</v>
      </c>
      <c r="AY164" s="21">
        <v>1</v>
      </c>
      <c r="AZ164" s="21">
        <v>1</v>
      </c>
      <c r="BA164" s="21">
        <v>1</v>
      </c>
      <c r="BB164" s="21">
        <v>1</v>
      </c>
      <c r="BC164" s="21">
        <v>1</v>
      </c>
      <c r="BD164" s="21">
        <v>1</v>
      </c>
      <c r="BE164" s="21">
        <v>1</v>
      </c>
      <c r="BF164" s="21">
        <v>1</v>
      </c>
      <c r="BG164" s="21">
        <v>1</v>
      </c>
      <c r="BH164" s="21">
        <v>1</v>
      </c>
      <c r="BI164">
        <v>-1</v>
      </c>
      <c r="BJ164">
        <v>-1</v>
      </c>
      <c r="BK164">
        <v>-1</v>
      </c>
    </row>
    <row r="165" spans="1:63" x14ac:dyDescent="0.3">
      <c r="A165" t="s">
        <v>652</v>
      </c>
      <c r="B165">
        <f t="shared" si="6"/>
        <v>1.1111111111111112E-2</v>
      </c>
      <c r="C165" s="2">
        <f>'vehicles specifications'!S31</f>
        <v>42.862499999999997</v>
      </c>
      <c r="D165">
        <f t="shared" si="6"/>
        <v>1.1111111111111112E-2</v>
      </c>
      <c r="F165">
        <f>1+'vehicles specifications'!AD31</f>
        <v>1</v>
      </c>
      <c r="G165">
        <f>1+'vehicles specifications'!AD31</f>
        <v>1</v>
      </c>
      <c r="H165">
        <v>1</v>
      </c>
      <c r="I165">
        <v>1</v>
      </c>
      <c r="K165">
        <f>1/('fuels and tailpipe emissions'!$C$3*3.6)</f>
        <v>2.358490566037736E-2</v>
      </c>
      <c r="L165" s="21">
        <f t="shared" si="7"/>
        <v>0.30555555555555558</v>
      </c>
      <c r="M165">
        <f>1/'vehicles specifications'!J31</f>
        <v>2.9940119760479042E-5</v>
      </c>
      <c r="N165" s="21">
        <v>1</v>
      </c>
      <c r="O165">
        <f>1</f>
        <v>1</v>
      </c>
      <c r="P165">
        <v>-1</v>
      </c>
      <c r="Q165">
        <v>-1</v>
      </c>
      <c r="R165">
        <f>-1-'vehicles specifications'!AD31</f>
        <v>-1</v>
      </c>
      <c r="S165">
        <v>1</v>
      </c>
      <c r="T165">
        <v>1</v>
      </c>
      <c r="U165">
        <v>1</v>
      </c>
      <c r="V165">
        <v>1</v>
      </c>
      <c r="W165">
        <v>1</v>
      </c>
      <c r="X165">
        <v>1</v>
      </c>
      <c r="Y165">
        <v>1</v>
      </c>
      <c r="Z165">
        <v>1</v>
      </c>
      <c r="AA165">
        <v>1</v>
      </c>
      <c r="AB165">
        <v>1</v>
      </c>
      <c r="AC165" s="21">
        <v>1</v>
      </c>
      <c r="AD165" s="21">
        <v>1</v>
      </c>
      <c r="AE165" s="21">
        <v>1</v>
      </c>
      <c r="AF165" s="21">
        <v>1</v>
      </c>
      <c r="AG165" s="21">
        <v>1</v>
      </c>
      <c r="AH165" s="21">
        <v>1</v>
      </c>
      <c r="AI165" s="21">
        <v>1</v>
      </c>
      <c r="AJ165" s="21">
        <v>1</v>
      </c>
      <c r="AK165" s="21">
        <v>1</v>
      </c>
      <c r="AL165" s="21">
        <v>1</v>
      </c>
      <c r="AM165" s="21">
        <v>1</v>
      </c>
      <c r="AN165" s="21">
        <v>1</v>
      </c>
      <c r="AO165" s="21">
        <v>1</v>
      </c>
      <c r="AP165" s="21">
        <v>1</v>
      </c>
      <c r="AQ165" s="21">
        <v>1</v>
      </c>
      <c r="AR165" s="21">
        <v>1</v>
      </c>
      <c r="AS165" s="21">
        <v>1</v>
      </c>
      <c r="AT165" s="21">
        <v>1</v>
      </c>
      <c r="AU165" s="21">
        <v>1</v>
      </c>
      <c r="AV165" s="21">
        <v>1</v>
      </c>
      <c r="AW165" s="21">
        <v>1</v>
      </c>
      <c r="AX165" s="21">
        <v>1</v>
      </c>
      <c r="AY165" s="21">
        <v>1</v>
      </c>
      <c r="AZ165" s="21">
        <v>1</v>
      </c>
      <c r="BA165" s="21">
        <v>1</v>
      </c>
      <c r="BB165" s="21">
        <v>1</v>
      </c>
      <c r="BC165" s="21">
        <v>1</v>
      </c>
      <c r="BD165" s="21">
        <v>1</v>
      </c>
      <c r="BE165" s="21">
        <v>1</v>
      </c>
      <c r="BF165" s="21">
        <v>1</v>
      </c>
      <c r="BG165" s="21">
        <v>1</v>
      </c>
      <c r="BH165" s="21">
        <v>1</v>
      </c>
      <c r="BI165">
        <v>-1</v>
      </c>
      <c r="BJ165">
        <v>-1</v>
      </c>
      <c r="BK165">
        <v>-1</v>
      </c>
    </row>
    <row r="166" spans="1:63" x14ac:dyDescent="0.3">
      <c r="A166" t="s">
        <v>653</v>
      </c>
      <c r="B166">
        <f t="shared" si="6"/>
        <v>1.1111111111111112E-2</v>
      </c>
      <c r="C166" s="2">
        <f>'vehicles specifications'!S32</f>
        <v>43.262500000000003</v>
      </c>
      <c r="D166">
        <f t="shared" si="6"/>
        <v>1.1111111111111112E-2</v>
      </c>
      <c r="F166">
        <f>1+'vehicles specifications'!AD32</f>
        <v>1</v>
      </c>
      <c r="G166">
        <f>1+'vehicles specifications'!AD32</f>
        <v>1</v>
      </c>
      <c r="H166">
        <v>1</v>
      </c>
      <c r="I166">
        <v>1</v>
      </c>
      <c r="K166">
        <f>1/('fuels and tailpipe emissions'!$C$3*3.6)</f>
        <v>2.358490566037736E-2</v>
      </c>
      <c r="L166" s="21">
        <f t="shared" si="7"/>
        <v>0.30555555555555558</v>
      </c>
      <c r="M166">
        <f>1/'vehicles specifications'!J32</f>
        <v>2.9940119760479042E-5</v>
      </c>
      <c r="N166" s="21">
        <v>1</v>
      </c>
      <c r="O166">
        <f>1</f>
        <v>1</v>
      </c>
      <c r="P166">
        <v>-1</v>
      </c>
      <c r="Q166">
        <v>-1</v>
      </c>
      <c r="R166">
        <f>-1-'vehicles specifications'!AD32</f>
        <v>-1</v>
      </c>
      <c r="S166">
        <v>1</v>
      </c>
      <c r="T166">
        <v>1</v>
      </c>
      <c r="U166">
        <v>1</v>
      </c>
      <c r="V166">
        <v>1</v>
      </c>
      <c r="W166">
        <v>1</v>
      </c>
      <c r="X166">
        <v>1</v>
      </c>
      <c r="Y166">
        <v>1</v>
      </c>
      <c r="Z166">
        <v>1</v>
      </c>
      <c r="AA166">
        <v>1</v>
      </c>
      <c r="AB166">
        <v>1</v>
      </c>
      <c r="AC166" s="21">
        <v>1</v>
      </c>
      <c r="AD166" s="21">
        <v>1</v>
      </c>
      <c r="AE166" s="21">
        <v>1</v>
      </c>
      <c r="AF166" s="21">
        <v>1</v>
      </c>
      <c r="AG166" s="21">
        <v>1</v>
      </c>
      <c r="AH166" s="21">
        <v>1</v>
      </c>
      <c r="AI166" s="21">
        <v>1</v>
      </c>
      <c r="AJ166" s="21">
        <v>1</v>
      </c>
      <c r="AK166" s="21">
        <v>1</v>
      </c>
      <c r="AL166" s="21">
        <v>1</v>
      </c>
      <c r="AM166" s="21">
        <v>1</v>
      </c>
      <c r="AN166" s="21">
        <v>1</v>
      </c>
      <c r="AO166" s="21">
        <v>1</v>
      </c>
      <c r="AP166" s="21">
        <v>1</v>
      </c>
      <c r="AQ166" s="21">
        <v>1</v>
      </c>
      <c r="AR166" s="21">
        <v>1</v>
      </c>
      <c r="AS166" s="21">
        <v>1</v>
      </c>
      <c r="AT166" s="21">
        <v>1</v>
      </c>
      <c r="AU166" s="21">
        <v>1</v>
      </c>
      <c r="AV166" s="21">
        <v>1</v>
      </c>
      <c r="AW166" s="21">
        <v>1</v>
      </c>
      <c r="AX166" s="21">
        <v>1</v>
      </c>
      <c r="AY166" s="21">
        <v>1</v>
      </c>
      <c r="AZ166" s="21">
        <v>1</v>
      </c>
      <c r="BA166" s="21">
        <v>1</v>
      </c>
      <c r="BB166" s="21">
        <v>1</v>
      </c>
      <c r="BC166" s="21">
        <v>1</v>
      </c>
      <c r="BD166" s="21">
        <v>1</v>
      </c>
      <c r="BE166" s="21">
        <v>1</v>
      </c>
      <c r="BF166" s="21">
        <v>1</v>
      </c>
      <c r="BG166" s="21">
        <v>1</v>
      </c>
      <c r="BH166" s="21">
        <v>1</v>
      </c>
      <c r="BI166">
        <v>-1</v>
      </c>
      <c r="BJ166">
        <v>-1</v>
      </c>
      <c r="BK166">
        <v>-1</v>
      </c>
    </row>
    <row r="167" spans="1:63" s="21" customFormat="1" x14ac:dyDescent="0.3">
      <c r="A167" s="21" t="s">
        <v>682</v>
      </c>
      <c r="B167" s="21">
        <f t="shared" si="6"/>
        <v>1.1111111111111112E-2</v>
      </c>
      <c r="C167" s="2">
        <f>'vehicles specifications'!S33</f>
        <v>53</v>
      </c>
      <c r="D167" s="21">
        <f t="shared" si="6"/>
        <v>1.1111111111111112E-2</v>
      </c>
      <c r="F167" s="21">
        <f>1+'vehicles specifications'!AD33</f>
        <v>1</v>
      </c>
      <c r="G167" s="21">
        <f>1+'vehicles specifications'!AD33</f>
        <v>1</v>
      </c>
      <c r="H167" s="21">
        <v>1</v>
      </c>
      <c r="I167" s="21">
        <v>1</v>
      </c>
      <c r="K167" s="21">
        <f>1/('fuels and tailpipe emissions'!$C$3*3.6)</f>
        <v>2.358490566037736E-2</v>
      </c>
      <c r="L167" s="21">
        <f t="shared" si="7"/>
        <v>0.30555555555555558</v>
      </c>
      <c r="M167" s="21">
        <f>1/'vehicles specifications'!J33</f>
        <v>2.9940119760479042E-5</v>
      </c>
      <c r="N167" s="21">
        <v>1</v>
      </c>
      <c r="O167" s="21">
        <f>1</f>
        <v>1</v>
      </c>
      <c r="P167" s="21">
        <v>-1</v>
      </c>
      <c r="Q167" s="21">
        <v>-1</v>
      </c>
      <c r="R167" s="21">
        <f>-1-'vehicles specifications'!AD33</f>
        <v>-1</v>
      </c>
      <c r="S167" s="21">
        <v>1</v>
      </c>
      <c r="T167" s="21">
        <v>1</v>
      </c>
      <c r="U167" s="21">
        <v>1</v>
      </c>
      <c r="V167" s="21">
        <v>1</v>
      </c>
      <c r="W167" s="21">
        <v>1</v>
      </c>
      <c r="X167" s="21">
        <v>1</v>
      </c>
      <c r="Y167" s="21">
        <v>1</v>
      </c>
      <c r="Z167" s="21">
        <v>1</v>
      </c>
      <c r="AA167" s="21">
        <v>1</v>
      </c>
      <c r="AB167" s="21">
        <v>1</v>
      </c>
      <c r="AC167" s="21">
        <v>1</v>
      </c>
      <c r="AD167" s="21">
        <v>1</v>
      </c>
      <c r="AE167" s="21">
        <v>1</v>
      </c>
      <c r="AF167" s="21">
        <v>1</v>
      </c>
      <c r="AG167" s="21">
        <v>1</v>
      </c>
      <c r="AH167" s="21">
        <v>1</v>
      </c>
      <c r="AI167" s="21">
        <v>1</v>
      </c>
      <c r="AJ167" s="21">
        <v>1</v>
      </c>
      <c r="AK167" s="21">
        <v>1</v>
      </c>
      <c r="AL167" s="21">
        <v>1</v>
      </c>
      <c r="AM167" s="21">
        <v>1</v>
      </c>
      <c r="AN167" s="21">
        <v>1</v>
      </c>
      <c r="AO167" s="21">
        <v>1</v>
      </c>
      <c r="AP167" s="21">
        <v>1</v>
      </c>
      <c r="AQ167" s="21">
        <v>1</v>
      </c>
      <c r="AR167" s="21">
        <v>1</v>
      </c>
      <c r="AS167" s="21">
        <v>1</v>
      </c>
      <c r="AT167" s="21">
        <v>1</v>
      </c>
      <c r="AU167" s="21">
        <v>1</v>
      </c>
      <c r="AV167" s="21">
        <v>1</v>
      </c>
      <c r="AW167" s="21">
        <v>1</v>
      </c>
      <c r="AX167" s="21">
        <v>1</v>
      </c>
      <c r="AY167" s="21">
        <v>1</v>
      </c>
      <c r="AZ167" s="21">
        <v>1</v>
      </c>
      <c r="BA167" s="21">
        <v>1</v>
      </c>
      <c r="BB167" s="21">
        <v>1</v>
      </c>
      <c r="BC167" s="21">
        <v>1</v>
      </c>
      <c r="BD167" s="21">
        <v>1</v>
      </c>
      <c r="BE167" s="21">
        <v>1</v>
      </c>
      <c r="BF167" s="21">
        <v>1</v>
      </c>
      <c r="BG167" s="21">
        <v>1</v>
      </c>
      <c r="BH167" s="21">
        <v>1</v>
      </c>
      <c r="BI167" s="21">
        <v>-1</v>
      </c>
      <c r="BJ167" s="21">
        <v>-1</v>
      </c>
      <c r="BK167" s="21">
        <v>-1</v>
      </c>
    </row>
    <row r="168" spans="1:63" s="21" customFormat="1" x14ac:dyDescent="0.3">
      <c r="A168" s="21" t="s">
        <v>683</v>
      </c>
      <c r="B168" s="21">
        <f t="shared" si="6"/>
        <v>1.1111111111111112E-2</v>
      </c>
      <c r="C168" s="2">
        <f>'vehicles specifications'!S34</f>
        <v>53</v>
      </c>
      <c r="D168" s="21">
        <f t="shared" si="6"/>
        <v>1.1111111111111112E-2</v>
      </c>
      <c r="F168" s="21">
        <f>1+'vehicles specifications'!AD34</f>
        <v>1</v>
      </c>
      <c r="G168" s="21">
        <f>1+'vehicles specifications'!AD34</f>
        <v>1</v>
      </c>
      <c r="H168" s="21">
        <v>1</v>
      </c>
      <c r="I168" s="21">
        <v>1</v>
      </c>
      <c r="K168" s="21">
        <f>1/('fuels and tailpipe emissions'!$C$3*3.6)</f>
        <v>2.358490566037736E-2</v>
      </c>
      <c r="L168" s="21">
        <f t="shared" si="7"/>
        <v>0.30555555555555558</v>
      </c>
      <c r="M168" s="21">
        <f>1/'vehicles specifications'!J34</f>
        <v>2.9940119760479042E-5</v>
      </c>
      <c r="N168" s="21">
        <v>1</v>
      </c>
      <c r="O168" s="21">
        <f>1</f>
        <v>1</v>
      </c>
      <c r="P168" s="21">
        <v>-1</v>
      </c>
      <c r="Q168" s="21">
        <v>-1</v>
      </c>
      <c r="R168" s="21">
        <f>-1-'vehicles specifications'!AD34</f>
        <v>-1</v>
      </c>
      <c r="S168" s="21">
        <v>1</v>
      </c>
      <c r="T168" s="21">
        <v>1</v>
      </c>
      <c r="U168" s="21">
        <v>1</v>
      </c>
      <c r="V168" s="21">
        <v>1</v>
      </c>
      <c r="W168" s="21">
        <v>1</v>
      </c>
      <c r="X168" s="21">
        <v>1</v>
      </c>
      <c r="Y168" s="21">
        <v>1</v>
      </c>
      <c r="Z168" s="21">
        <v>1</v>
      </c>
      <c r="AA168" s="21">
        <v>1</v>
      </c>
      <c r="AB168" s="21">
        <v>1</v>
      </c>
      <c r="AC168" s="21">
        <v>1</v>
      </c>
      <c r="AD168" s="21">
        <v>1</v>
      </c>
      <c r="AE168" s="21">
        <v>1</v>
      </c>
      <c r="AF168" s="21">
        <v>1</v>
      </c>
      <c r="AG168" s="21">
        <v>1</v>
      </c>
      <c r="AH168" s="21">
        <v>1</v>
      </c>
      <c r="AI168" s="21">
        <v>1</v>
      </c>
      <c r="AJ168" s="21">
        <v>1</v>
      </c>
      <c r="AK168" s="21">
        <v>1</v>
      </c>
      <c r="AL168" s="21">
        <v>1</v>
      </c>
      <c r="AM168" s="21">
        <v>1</v>
      </c>
      <c r="AN168" s="21">
        <v>1</v>
      </c>
      <c r="AO168" s="21">
        <v>1</v>
      </c>
      <c r="AP168" s="21">
        <v>1</v>
      </c>
      <c r="AQ168" s="21">
        <v>1</v>
      </c>
      <c r="AR168" s="21">
        <v>1</v>
      </c>
      <c r="AS168" s="21">
        <v>1</v>
      </c>
      <c r="AT168" s="21">
        <v>1</v>
      </c>
      <c r="AU168" s="21">
        <v>1</v>
      </c>
      <c r="AV168" s="21">
        <v>1</v>
      </c>
      <c r="AW168" s="21">
        <v>1</v>
      </c>
      <c r="AX168" s="21">
        <v>1</v>
      </c>
      <c r="AY168" s="21">
        <v>1</v>
      </c>
      <c r="AZ168" s="21">
        <v>1</v>
      </c>
      <c r="BA168" s="21">
        <v>1</v>
      </c>
      <c r="BB168" s="21">
        <v>1</v>
      </c>
      <c r="BC168" s="21">
        <v>1</v>
      </c>
      <c r="BD168" s="21">
        <v>1</v>
      </c>
      <c r="BE168" s="21">
        <v>1</v>
      </c>
      <c r="BF168" s="21">
        <v>1</v>
      </c>
      <c r="BG168" s="21">
        <v>1</v>
      </c>
      <c r="BH168" s="21">
        <v>1</v>
      </c>
      <c r="BI168" s="21">
        <v>-1</v>
      </c>
      <c r="BJ168" s="21">
        <v>-1</v>
      </c>
      <c r="BK168" s="21">
        <v>-1</v>
      </c>
    </row>
    <row r="169" spans="1:63" s="21" customFormat="1" x14ac:dyDescent="0.3">
      <c r="A169" s="21" t="s">
        <v>684</v>
      </c>
      <c r="B169" s="21">
        <f t="shared" si="6"/>
        <v>1.1111111111111112E-2</v>
      </c>
      <c r="C169" s="2">
        <f>'vehicles specifications'!S35</f>
        <v>53</v>
      </c>
      <c r="D169" s="21">
        <f t="shared" si="6"/>
        <v>1.1111111111111112E-2</v>
      </c>
      <c r="F169" s="21">
        <f>1+'vehicles specifications'!AD35</f>
        <v>1</v>
      </c>
      <c r="G169" s="21">
        <f>1+'vehicles specifications'!AD35</f>
        <v>1</v>
      </c>
      <c r="H169" s="21">
        <v>1</v>
      </c>
      <c r="I169" s="21">
        <v>1</v>
      </c>
      <c r="K169" s="21">
        <f>1/('fuels and tailpipe emissions'!$C$3*3.6)</f>
        <v>2.358490566037736E-2</v>
      </c>
      <c r="L169" s="21">
        <f t="shared" si="7"/>
        <v>0.30555555555555558</v>
      </c>
      <c r="M169" s="21">
        <f>1/'vehicles specifications'!J35</f>
        <v>2.9940119760479042E-5</v>
      </c>
      <c r="N169" s="21">
        <v>1</v>
      </c>
      <c r="O169" s="21">
        <f>1</f>
        <v>1</v>
      </c>
      <c r="P169" s="21">
        <v>-1</v>
      </c>
      <c r="Q169" s="21">
        <v>-1</v>
      </c>
      <c r="R169" s="21">
        <f>-1-'vehicles specifications'!AD35</f>
        <v>-1</v>
      </c>
      <c r="S169" s="21">
        <v>1</v>
      </c>
      <c r="T169" s="21">
        <v>1</v>
      </c>
      <c r="U169" s="21">
        <v>1</v>
      </c>
      <c r="V169" s="21">
        <v>1</v>
      </c>
      <c r="W169" s="21">
        <v>1</v>
      </c>
      <c r="X169" s="21">
        <v>1</v>
      </c>
      <c r="Y169" s="21">
        <v>1</v>
      </c>
      <c r="Z169" s="21">
        <v>1</v>
      </c>
      <c r="AA169" s="21">
        <v>1</v>
      </c>
      <c r="AB169" s="21">
        <v>1</v>
      </c>
      <c r="AC169" s="21">
        <v>1</v>
      </c>
      <c r="AD169" s="21">
        <v>1</v>
      </c>
      <c r="AE169" s="21">
        <v>1</v>
      </c>
      <c r="AF169" s="21">
        <v>1</v>
      </c>
      <c r="AG169" s="21">
        <v>1</v>
      </c>
      <c r="AH169" s="21">
        <v>1</v>
      </c>
      <c r="AI169" s="21">
        <v>1</v>
      </c>
      <c r="AJ169" s="21">
        <v>1</v>
      </c>
      <c r="AK169" s="21">
        <v>1</v>
      </c>
      <c r="AL169" s="21">
        <v>1</v>
      </c>
      <c r="AM169" s="21">
        <v>1</v>
      </c>
      <c r="AN169" s="21">
        <v>1</v>
      </c>
      <c r="AO169" s="21">
        <v>1</v>
      </c>
      <c r="AP169" s="21">
        <v>1</v>
      </c>
      <c r="AQ169" s="21">
        <v>1</v>
      </c>
      <c r="AR169" s="21">
        <v>1</v>
      </c>
      <c r="AS169" s="21">
        <v>1</v>
      </c>
      <c r="AT169" s="21">
        <v>1</v>
      </c>
      <c r="AU169" s="21">
        <v>1</v>
      </c>
      <c r="AV169" s="21">
        <v>1</v>
      </c>
      <c r="AW169" s="21">
        <v>1</v>
      </c>
      <c r="AX169" s="21">
        <v>1</v>
      </c>
      <c r="AY169" s="21">
        <v>1</v>
      </c>
      <c r="AZ169" s="21">
        <v>1</v>
      </c>
      <c r="BA169" s="21">
        <v>1</v>
      </c>
      <c r="BB169" s="21">
        <v>1</v>
      </c>
      <c r="BC169" s="21">
        <v>1</v>
      </c>
      <c r="BD169" s="21">
        <v>1</v>
      </c>
      <c r="BE169" s="21">
        <v>1</v>
      </c>
      <c r="BF169" s="21">
        <v>1</v>
      </c>
      <c r="BG169" s="21">
        <v>1</v>
      </c>
      <c r="BH169" s="21">
        <v>1</v>
      </c>
      <c r="BI169" s="21">
        <v>-1</v>
      </c>
      <c r="BJ169" s="21">
        <v>-1</v>
      </c>
      <c r="BK169" s="21">
        <v>-1</v>
      </c>
    </row>
    <row r="170" spans="1:63" s="21" customFormat="1" x14ac:dyDescent="0.3">
      <c r="A170" s="21" t="s">
        <v>685</v>
      </c>
      <c r="B170" s="21">
        <f t="shared" si="6"/>
        <v>1.1111111111111112E-2</v>
      </c>
      <c r="C170" s="2">
        <f>'vehicles specifications'!S36</f>
        <v>53</v>
      </c>
      <c r="D170" s="21">
        <f t="shared" si="6"/>
        <v>1.1111111111111112E-2</v>
      </c>
      <c r="F170" s="21">
        <f>1+'vehicles specifications'!AD36</f>
        <v>1</v>
      </c>
      <c r="G170" s="21">
        <f>1+'vehicles specifications'!AD36</f>
        <v>1</v>
      </c>
      <c r="H170" s="21">
        <v>1</v>
      </c>
      <c r="I170" s="21">
        <v>1</v>
      </c>
      <c r="K170" s="21">
        <f>1/('fuels and tailpipe emissions'!$C$3*3.6)</f>
        <v>2.358490566037736E-2</v>
      </c>
      <c r="L170" s="21">
        <f t="shared" si="7"/>
        <v>0.30555555555555558</v>
      </c>
      <c r="M170" s="21">
        <f>1/'vehicles specifications'!J36</f>
        <v>2.9940119760479042E-5</v>
      </c>
      <c r="N170" s="21">
        <v>1</v>
      </c>
      <c r="O170" s="21">
        <f>1</f>
        <v>1</v>
      </c>
      <c r="P170" s="21">
        <v>-1</v>
      </c>
      <c r="Q170" s="21">
        <v>-1</v>
      </c>
      <c r="R170" s="21">
        <f>-1-'vehicles specifications'!AD36</f>
        <v>-1</v>
      </c>
      <c r="S170" s="21">
        <v>1</v>
      </c>
      <c r="T170" s="21">
        <v>1</v>
      </c>
      <c r="U170" s="21">
        <v>1</v>
      </c>
      <c r="V170" s="21">
        <v>1</v>
      </c>
      <c r="W170" s="21">
        <v>1</v>
      </c>
      <c r="X170" s="21">
        <v>1</v>
      </c>
      <c r="Y170" s="21">
        <v>1</v>
      </c>
      <c r="Z170" s="21">
        <v>1</v>
      </c>
      <c r="AA170" s="21">
        <v>1</v>
      </c>
      <c r="AB170" s="21">
        <v>1</v>
      </c>
      <c r="AC170" s="21">
        <v>1</v>
      </c>
      <c r="AD170" s="21">
        <v>1</v>
      </c>
      <c r="AE170" s="21">
        <v>1</v>
      </c>
      <c r="AF170" s="21">
        <v>1</v>
      </c>
      <c r="AG170" s="21">
        <v>1</v>
      </c>
      <c r="AH170" s="21">
        <v>1</v>
      </c>
      <c r="AI170" s="21">
        <v>1</v>
      </c>
      <c r="AJ170" s="21">
        <v>1</v>
      </c>
      <c r="AK170" s="21">
        <v>1</v>
      </c>
      <c r="AL170" s="21">
        <v>1</v>
      </c>
      <c r="AM170" s="21">
        <v>1</v>
      </c>
      <c r="AN170" s="21">
        <v>1</v>
      </c>
      <c r="AO170" s="21">
        <v>1</v>
      </c>
      <c r="AP170" s="21">
        <v>1</v>
      </c>
      <c r="AQ170" s="21">
        <v>1</v>
      </c>
      <c r="AR170" s="21">
        <v>1</v>
      </c>
      <c r="AS170" s="21">
        <v>1</v>
      </c>
      <c r="AT170" s="21">
        <v>1</v>
      </c>
      <c r="AU170" s="21">
        <v>1</v>
      </c>
      <c r="AV170" s="21">
        <v>1</v>
      </c>
      <c r="AW170" s="21">
        <v>1</v>
      </c>
      <c r="AX170" s="21">
        <v>1</v>
      </c>
      <c r="AY170" s="21">
        <v>1</v>
      </c>
      <c r="AZ170" s="21">
        <v>1</v>
      </c>
      <c r="BA170" s="21">
        <v>1</v>
      </c>
      <c r="BB170" s="21">
        <v>1</v>
      </c>
      <c r="BC170" s="21">
        <v>1</v>
      </c>
      <c r="BD170" s="21">
        <v>1</v>
      </c>
      <c r="BE170" s="21">
        <v>1</v>
      </c>
      <c r="BF170" s="21">
        <v>1</v>
      </c>
      <c r="BG170" s="21">
        <v>1</v>
      </c>
      <c r="BH170" s="21">
        <v>1</v>
      </c>
      <c r="BI170" s="21">
        <v>-1</v>
      </c>
      <c r="BJ170" s="21">
        <v>-1</v>
      </c>
      <c r="BK170" s="21">
        <v>-1</v>
      </c>
    </row>
    <row r="171" spans="1:63" s="21" customFormat="1" x14ac:dyDescent="0.3">
      <c r="A171" s="21" t="s">
        <v>686</v>
      </c>
      <c r="B171" s="21">
        <f t="shared" si="6"/>
        <v>1.1111111111111112E-2</v>
      </c>
      <c r="C171" s="2">
        <f>'vehicles specifications'!S37</f>
        <v>53</v>
      </c>
      <c r="D171" s="21">
        <f t="shared" si="6"/>
        <v>1.1111111111111112E-2</v>
      </c>
      <c r="F171" s="21">
        <f>1+'vehicles specifications'!AD37</f>
        <v>1</v>
      </c>
      <c r="G171" s="21">
        <f>1+'vehicles specifications'!AD37</f>
        <v>1</v>
      </c>
      <c r="H171" s="21">
        <v>1</v>
      </c>
      <c r="I171" s="21">
        <v>1</v>
      </c>
      <c r="K171" s="21">
        <f>1/('fuels and tailpipe emissions'!$C$3*3.6)</f>
        <v>2.358490566037736E-2</v>
      </c>
      <c r="L171" s="21">
        <f t="shared" si="7"/>
        <v>0.30555555555555558</v>
      </c>
      <c r="M171" s="21">
        <f>1/'vehicles specifications'!J37</f>
        <v>2.9940119760479042E-5</v>
      </c>
      <c r="N171" s="21">
        <v>1</v>
      </c>
      <c r="O171" s="21">
        <f>1</f>
        <v>1</v>
      </c>
      <c r="P171" s="21">
        <v>-1</v>
      </c>
      <c r="Q171" s="21">
        <v>-1</v>
      </c>
      <c r="R171" s="21">
        <f>-1-'vehicles specifications'!AD37</f>
        <v>-1</v>
      </c>
      <c r="S171" s="21">
        <v>1</v>
      </c>
      <c r="T171" s="21">
        <v>1</v>
      </c>
      <c r="U171" s="21">
        <v>1</v>
      </c>
      <c r="V171" s="21">
        <v>1</v>
      </c>
      <c r="W171" s="21">
        <v>1</v>
      </c>
      <c r="X171" s="21">
        <v>1</v>
      </c>
      <c r="Y171" s="21">
        <v>1</v>
      </c>
      <c r="Z171" s="21">
        <v>1</v>
      </c>
      <c r="AA171" s="21">
        <v>1</v>
      </c>
      <c r="AB171" s="21">
        <v>1</v>
      </c>
      <c r="AC171" s="21">
        <v>1</v>
      </c>
      <c r="AD171" s="21">
        <v>1</v>
      </c>
      <c r="AE171" s="21">
        <v>1</v>
      </c>
      <c r="AF171" s="21">
        <v>1</v>
      </c>
      <c r="AG171" s="21">
        <v>1</v>
      </c>
      <c r="AH171" s="21">
        <v>1</v>
      </c>
      <c r="AI171" s="21">
        <v>1</v>
      </c>
      <c r="AJ171" s="21">
        <v>1</v>
      </c>
      <c r="AK171" s="21">
        <v>1</v>
      </c>
      <c r="AL171" s="21">
        <v>1</v>
      </c>
      <c r="AM171" s="21">
        <v>1</v>
      </c>
      <c r="AN171" s="21">
        <v>1</v>
      </c>
      <c r="AO171" s="21">
        <v>1</v>
      </c>
      <c r="AP171" s="21">
        <v>1</v>
      </c>
      <c r="AQ171" s="21">
        <v>1</v>
      </c>
      <c r="AR171" s="21">
        <v>1</v>
      </c>
      <c r="AS171" s="21">
        <v>1</v>
      </c>
      <c r="AT171" s="21">
        <v>1</v>
      </c>
      <c r="AU171" s="21">
        <v>1</v>
      </c>
      <c r="AV171" s="21">
        <v>1</v>
      </c>
      <c r="AW171" s="21">
        <v>1</v>
      </c>
      <c r="AX171" s="21">
        <v>1</v>
      </c>
      <c r="AY171" s="21">
        <v>1</v>
      </c>
      <c r="AZ171" s="21">
        <v>1</v>
      </c>
      <c r="BA171" s="21">
        <v>1</v>
      </c>
      <c r="BB171" s="21">
        <v>1</v>
      </c>
      <c r="BC171" s="21">
        <v>1</v>
      </c>
      <c r="BD171" s="21">
        <v>1</v>
      </c>
      <c r="BE171" s="21">
        <v>1</v>
      </c>
      <c r="BF171" s="21">
        <v>1</v>
      </c>
      <c r="BG171" s="21">
        <v>1</v>
      </c>
      <c r="BH171" s="21">
        <v>1</v>
      </c>
      <c r="BI171" s="21">
        <v>-1</v>
      </c>
      <c r="BJ171" s="21">
        <v>-1</v>
      </c>
      <c r="BK171" s="21">
        <v>-1</v>
      </c>
    </row>
    <row r="172" spans="1:63" s="21" customFormat="1" x14ac:dyDescent="0.3">
      <c r="A172" s="21" t="s">
        <v>687</v>
      </c>
      <c r="B172" s="21">
        <f t="shared" si="6"/>
        <v>1.1111111111111112E-2</v>
      </c>
      <c r="C172" s="2">
        <f>'vehicles specifications'!S38</f>
        <v>53</v>
      </c>
      <c r="D172" s="21">
        <f t="shared" si="6"/>
        <v>1.1111111111111112E-2</v>
      </c>
      <c r="F172" s="21">
        <f>1+'vehicles specifications'!AD38</f>
        <v>1</v>
      </c>
      <c r="G172" s="21">
        <f>1+'vehicles specifications'!AD38</f>
        <v>1</v>
      </c>
      <c r="H172" s="21">
        <v>1</v>
      </c>
      <c r="I172" s="21">
        <v>1</v>
      </c>
      <c r="K172" s="21">
        <f>1/('fuels and tailpipe emissions'!$C$3*3.6)</f>
        <v>2.358490566037736E-2</v>
      </c>
      <c r="L172" s="21">
        <f t="shared" si="7"/>
        <v>0.30555555555555558</v>
      </c>
      <c r="M172" s="21">
        <f>1/'vehicles specifications'!J38</f>
        <v>2.9940119760479042E-5</v>
      </c>
      <c r="N172" s="21">
        <v>1</v>
      </c>
      <c r="O172" s="21">
        <f>1</f>
        <v>1</v>
      </c>
      <c r="P172" s="21">
        <v>-1</v>
      </c>
      <c r="Q172" s="21">
        <v>-1</v>
      </c>
      <c r="R172" s="21">
        <f>-1-'vehicles specifications'!AD38</f>
        <v>-1</v>
      </c>
      <c r="S172" s="21">
        <v>1</v>
      </c>
      <c r="T172" s="21">
        <v>1</v>
      </c>
      <c r="U172" s="21">
        <v>1</v>
      </c>
      <c r="V172" s="21">
        <v>1</v>
      </c>
      <c r="W172" s="21">
        <v>1</v>
      </c>
      <c r="X172" s="21">
        <v>1</v>
      </c>
      <c r="Y172" s="21">
        <v>1</v>
      </c>
      <c r="Z172" s="21">
        <v>1</v>
      </c>
      <c r="AA172" s="21">
        <v>1</v>
      </c>
      <c r="AB172" s="21">
        <v>1</v>
      </c>
      <c r="AC172" s="21">
        <v>1</v>
      </c>
      <c r="AD172" s="21">
        <v>1</v>
      </c>
      <c r="AE172" s="21">
        <v>1</v>
      </c>
      <c r="AF172" s="21">
        <v>1</v>
      </c>
      <c r="AG172" s="21">
        <v>1</v>
      </c>
      <c r="AH172" s="21">
        <v>1</v>
      </c>
      <c r="AI172" s="21">
        <v>1</v>
      </c>
      <c r="AJ172" s="21">
        <v>1</v>
      </c>
      <c r="AK172" s="21">
        <v>1</v>
      </c>
      <c r="AL172" s="21">
        <v>1</v>
      </c>
      <c r="AM172" s="21">
        <v>1</v>
      </c>
      <c r="AN172" s="21">
        <v>1</v>
      </c>
      <c r="AO172" s="21">
        <v>1</v>
      </c>
      <c r="AP172" s="21">
        <v>1</v>
      </c>
      <c r="AQ172" s="21">
        <v>1</v>
      </c>
      <c r="AR172" s="21">
        <v>1</v>
      </c>
      <c r="AS172" s="21">
        <v>1</v>
      </c>
      <c r="AT172" s="21">
        <v>1</v>
      </c>
      <c r="AU172" s="21">
        <v>1</v>
      </c>
      <c r="AV172" s="21">
        <v>1</v>
      </c>
      <c r="AW172" s="21">
        <v>1</v>
      </c>
      <c r="AX172" s="21">
        <v>1</v>
      </c>
      <c r="AY172" s="21">
        <v>1</v>
      </c>
      <c r="AZ172" s="21">
        <v>1</v>
      </c>
      <c r="BA172" s="21">
        <v>1</v>
      </c>
      <c r="BB172" s="21">
        <v>1</v>
      </c>
      <c r="BC172" s="21">
        <v>1</v>
      </c>
      <c r="BD172" s="21">
        <v>1</v>
      </c>
      <c r="BE172" s="21">
        <v>1</v>
      </c>
      <c r="BF172" s="21">
        <v>1</v>
      </c>
      <c r="BG172" s="21">
        <v>1</v>
      </c>
      <c r="BH172" s="21">
        <v>1</v>
      </c>
      <c r="BI172" s="21">
        <v>-1</v>
      </c>
      <c r="BJ172" s="21">
        <v>-1</v>
      </c>
      <c r="BK172" s="21">
        <v>-1</v>
      </c>
    </row>
    <row r="173" spans="1:63" x14ac:dyDescent="0.3">
      <c r="A173" t="s">
        <v>639</v>
      </c>
      <c r="B173">
        <f t="shared" si="6"/>
        <v>1.1111111111111112E-2</v>
      </c>
      <c r="C173" s="2">
        <f>'vehicles specifications'!S39</f>
        <v>90</v>
      </c>
      <c r="D173">
        <f t="shared" si="6"/>
        <v>1.1111111111111112E-2</v>
      </c>
      <c r="F173">
        <f>1+'vehicles specifications'!AD39</f>
        <v>1</v>
      </c>
      <c r="G173">
        <f>1+'vehicles specifications'!AD39</f>
        <v>1</v>
      </c>
      <c r="H173">
        <v>1</v>
      </c>
      <c r="I173">
        <v>1</v>
      </c>
      <c r="K173">
        <f>1/('fuels and tailpipe emissions'!$C$3*3.6)</f>
        <v>2.358490566037736E-2</v>
      </c>
      <c r="L173" s="21">
        <f t="shared" si="7"/>
        <v>0.30555555555555558</v>
      </c>
      <c r="M173">
        <f>1/'vehicles specifications'!J39</f>
        <v>2.5125628140703518E-5</v>
      </c>
      <c r="N173" s="21">
        <v>1</v>
      </c>
      <c r="O173">
        <f>1</f>
        <v>1</v>
      </c>
      <c r="P173">
        <v>-1</v>
      </c>
      <c r="Q173">
        <v>-1</v>
      </c>
      <c r="R173">
        <f>-1-'vehicles specifications'!AD39</f>
        <v>-1</v>
      </c>
      <c r="S173">
        <v>1</v>
      </c>
      <c r="T173">
        <v>1</v>
      </c>
      <c r="U173">
        <v>1</v>
      </c>
      <c r="V173">
        <v>1</v>
      </c>
      <c r="W173">
        <v>1</v>
      </c>
      <c r="X173">
        <v>1</v>
      </c>
      <c r="Y173">
        <v>1</v>
      </c>
      <c r="Z173">
        <v>1</v>
      </c>
      <c r="AA173">
        <v>1</v>
      </c>
      <c r="AB173">
        <v>1</v>
      </c>
      <c r="AC173" s="21">
        <v>1</v>
      </c>
      <c r="AD173" s="21">
        <v>1</v>
      </c>
      <c r="AE173" s="21">
        <v>1</v>
      </c>
      <c r="AF173" s="21">
        <v>1</v>
      </c>
      <c r="AG173" s="21">
        <v>1</v>
      </c>
      <c r="AH173" s="21">
        <v>1</v>
      </c>
      <c r="AI173" s="21">
        <v>1</v>
      </c>
      <c r="AJ173" s="21">
        <v>1</v>
      </c>
      <c r="AK173" s="21">
        <v>1</v>
      </c>
      <c r="AL173" s="21">
        <v>1</v>
      </c>
      <c r="AM173" s="21">
        <v>1</v>
      </c>
      <c r="AN173" s="21">
        <v>1</v>
      </c>
      <c r="AO173" s="21">
        <v>1</v>
      </c>
      <c r="AP173" s="21">
        <v>1</v>
      </c>
      <c r="AQ173" s="21">
        <v>1</v>
      </c>
      <c r="AR173" s="21">
        <v>1</v>
      </c>
      <c r="AS173" s="21">
        <v>1</v>
      </c>
      <c r="AT173" s="21">
        <v>1</v>
      </c>
      <c r="AU173" s="21">
        <v>1</v>
      </c>
      <c r="AV173" s="21">
        <v>1</v>
      </c>
      <c r="AW173" s="21">
        <v>1</v>
      </c>
      <c r="AX173" s="21">
        <v>1</v>
      </c>
      <c r="AY173" s="21">
        <v>1</v>
      </c>
      <c r="AZ173" s="21">
        <v>1</v>
      </c>
      <c r="BA173" s="21">
        <v>1</v>
      </c>
      <c r="BB173" s="21">
        <v>1</v>
      </c>
      <c r="BC173" s="21">
        <v>1</v>
      </c>
      <c r="BD173" s="21">
        <v>1</v>
      </c>
      <c r="BE173" s="21">
        <v>1</v>
      </c>
      <c r="BF173" s="21">
        <v>1</v>
      </c>
      <c r="BG173" s="21">
        <v>1</v>
      </c>
      <c r="BH173" s="21">
        <v>1</v>
      </c>
      <c r="BI173">
        <v>-1</v>
      </c>
      <c r="BJ173">
        <v>-1</v>
      </c>
      <c r="BK173">
        <v>-1</v>
      </c>
    </row>
    <row r="174" spans="1:63" x14ac:dyDescent="0.3">
      <c r="A174" t="s">
        <v>640</v>
      </c>
      <c r="B174">
        <f t="shared" si="6"/>
        <v>1.1111111111111112E-2</v>
      </c>
      <c r="C174" s="2">
        <f>'vehicles specifications'!S40</f>
        <v>90</v>
      </c>
      <c r="D174">
        <f t="shared" si="6"/>
        <v>1.1111111111111112E-2</v>
      </c>
      <c r="F174">
        <f>1+'vehicles specifications'!AD40</f>
        <v>1</v>
      </c>
      <c r="G174">
        <f>1+'vehicles specifications'!AD40</f>
        <v>1</v>
      </c>
      <c r="H174">
        <v>1</v>
      </c>
      <c r="I174">
        <v>1</v>
      </c>
      <c r="K174">
        <f>1/('fuels and tailpipe emissions'!$C$3*3.6)</f>
        <v>2.358490566037736E-2</v>
      </c>
      <c r="L174" s="21">
        <f t="shared" si="7"/>
        <v>0.30555555555555558</v>
      </c>
      <c r="M174">
        <f>1/'vehicles specifications'!J40</f>
        <v>2.5125628140703518E-5</v>
      </c>
      <c r="N174" s="21">
        <v>1</v>
      </c>
      <c r="O174">
        <f>1</f>
        <v>1</v>
      </c>
      <c r="P174">
        <v>-1</v>
      </c>
      <c r="Q174">
        <v>-1</v>
      </c>
      <c r="R174">
        <f>-1-'vehicles specifications'!AD40</f>
        <v>-1</v>
      </c>
      <c r="S174">
        <v>1</v>
      </c>
      <c r="T174">
        <v>1</v>
      </c>
      <c r="U174">
        <v>1</v>
      </c>
      <c r="V174">
        <v>1</v>
      </c>
      <c r="W174">
        <v>1</v>
      </c>
      <c r="X174">
        <v>1</v>
      </c>
      <c r="Y174">
        <v>1</v>
      </c>
      <c r="Z174">
        <v>1</v>
      </c>
      <c r="AA174">
        <v>1</v>
      </c>
      <c r="AB174">
        <v>1</v>
      </c>
      <c r="AC174" s="21">
        <v>1</v>
      </c>
      <c r="AD174" s="21">
        <v>1</v>
      </c>
      <c r="AE174" s="21">
        <v>1</v>
      </c>
      <c r="AF174" s="21">
        <v>1</v>
      </c>
      <c r="AG174" s="21">
        <v>1</v>
      </c>
      <c r="AH174" s="21">
        <v>1</v>
      </c>
      <c r="AI174" s="21">
        <v>1</v>
      </c>
      <c r="AJ174" s="21">
        <v>1</v>
      </c>
      <c r="AK174" s="21">
        <v>1</v>
      </c>
      <c r="AL174" s="21">
        <v>1</v>
      </c>
      <c r="AM174" s="21">
        <v>1</v>
      </c>
      <c r="AN174" s="21">
        <v>1</v>
      </c>
      <c r="AO174" s="21">
        <v>1</v>
      </c>
      <c r="AP174" s="21">
        <v>1</v>
      </c>
      <c r="AQ174" s="21">
        <v>1</v>
      </c>
      <c r="AR174" s="21">
        <v>1</v>
      </c>
      <c r="AS174" s="21">
        <v>1</v>
      </c>
      <c r="AT174" s="21">
        <v>1</v>
      </c>
      <c r="AU174" s="21">
        <v>1</v>
      </c>
      <c r="AV174" s="21">
        <v>1</v>
      </c>
      <c r="AW174" s="21">
        <v>1</v>
      </c>
      <c r="AX174" s="21">
        <v>1</v>
      </c>
      <c r="AY174" s="21">
        <v>1</v>
      </c>
      <c r="AZ174" s="21">
        <v>1</v>
      </c>
      <c r="BA174" s="21">
        <v>1</v>
      </c>
      <c r="BB174" s="21">
        <v>1</v>
      </c>
      <c r="BC174" s="21">
        <v>1</v>
      </c>
      <c r="BD174" s="21">
        <v>1</v>
      </c>
      <c r="BE174" s="21">
        <v>1</v>
      </c>
      <c r="BF174" s="21">
        <v>1</v>
      </c>
      <c r="BG174" s="21">
        <v>1</v>
      </c>
      <c r="BH174" s="21">
        <v>1</v>
      </c>
      <c r="BI174">
        <v>-1</v>
      </c>
      <c r="BJ174">
        <v>-1</v>
      </c>
      <c r="BK174">
        <v>-1</v>
      </c>
    </row>
    <row r="175" spans="1:63" x14ac:dyDescent="0.3">
      <c r="A175" t="s">
        <v>641</v>
      </c>
      <c r="B175">
        <f t="shared" si="6"/>
        <v>1.1111111111111112E-2</v>
      </c>
      <c r="C175" s="2">
        <f>'vehicles specifications'!S41</f>
        <v>90</v>
      </c>
      <c r="D175">
        <f t="shared" si="6"/>
        <v>1.1111111111111112E-2</v>
      </c>
      <c r="F175">
        <f>1+'vehicles specifications'!AD41</f>
        <v>1</v>
      </c>
      <c r="G175">
        <f>1+'vehicles specifications'!AD41</f>
        <v>1</v>
      </c>
      <c r="H175">
        <v>1</v>
      </c>
      <c r="I175">
        <v>1</v>
      </c>
      <c r="K175">
        <f>1/('fuels and tailpipe emissions'!$C$3*3.6)</f>
        <v>2.358490566037736E-2</v>
      </c>
      <c r="L175" s="21">
        <f t="shared" si="7"/>
        <v>0.30555555555555558</v>
      </c>
      <c r="M175">
        <f>1/'vehicles specifications'!J41</f>
        <v>2.5125628140703518E-5</v>
      </c>
      <c r="N175" s="21">
        <v>1</v>
      </c>
      <c r="O175">
        <f>1</f>
        <v>1</v>
      </c>
      <c r="P175">
        <v>-1</v>
      </c>
      <c r="Q175">
        <v>-1</v>
      </c>
      <c r="R175">
        <f>-1-'vehicles specifications'!AD41</f>
        <v>-1</v>
      </c>
      <c r="S175">
        <v>1</v>
      </c>
      <c r="T175">
        <v>1</v>
      </c>
      <c r="U175">
        <v>1</v>
      </c>
      <c r="V175">
        <v>1</v>
      </c>
      <c r="W175">
        <v>1</v>
      </c>
      <c r="X175">
        <v>1</v>
      </c>
      <c r="Y175">
        <v>1</v>
      </c>
      <c r="Z175">
        <v>1</v>
      </c>
      <c r="AA175">
        <v>1</v>
      </c>
      <c r="AB175">
        <v>1</v>
      </c>
      <c r="AC175" s="21">
        <v>1</v>
      </c>
      <c r="AD175" s="21">
        <v>1</v>
      </c>
      <c r="AE175" s="21">
        <v>1</v>
      </c>
      <c r="AF175" s="21">
        <v>1</v>
      </c>
      <c r="AG175" s="21">
        <v>1</v>
      </c>
      <c r="AH175" s="21">
        <v>1</v>
      </c>
      <c r="AI175" s="21">
        <v>1</v>
      </c>
      <c r="AJ175" s="21">
        <v>1</v>
      </c>
      <c r="AK175" s="21">
        <v>1</v>
      </c>
      <c r="AL175" s="21">
        <v>1</v>
      </c>
      <c r="AM175" s="21">
        <v>1</v>
      </c>
      <c r="AN175" s="21">
        <v>1</v>
      </c>
      <c r="AO175" s="21">
        <v>1</v>
      </c>
      <c r="AP175" s="21">
        <v>1</v>
      </c>
      <c r="AQ175" s="21">
        <v>1</v>
      </c>
      <c r="AR175" s="21">
        <v>1</v>
      </c>
      <c r="AS175" s="21">
        <v>1</v>
      </c>
      <c r="AT175" s="21">
        <v>1</v>
      </c>
      <c r="AU175" s="21">
        <v>1</v>
      </c>
      <c r="AV175" s="21">
        <v>1</v>
      </c>
      <c r="AW175" s="21">
        <v>1</v>
      </c>
      <c r="AX175" s="21">
        <v>1</v>
      </c>
      <c r="AY175" s="21">
        <v>1</v>
      </c>
      <c r="AZ175" s="21">
        <v>1</v>
      </c>
      <c r="BA175" s="21">
        <v>1</v>
      </c>
      <c r="BB175" s="21">
        <v>1</v>
      </c>
      <c r="BC175" s="21">
        <v>1</v>
      </c>
      <c r="BD175" s="21">
        <v>1</v>
      </c>
      <c r="BE175" s="21">
        <v>1</v>
      </c>
      <c r="BF175" s="21">
        <v>1</v>
      </c>
      <c r="BG175" s="21">
        <v>1</v>
      </c>
      <c r="BH175" s="21">
        <v>1</v>
      </c>
      <c r="BI175">
        <v>-1</v>
      </c>
      <c r="BJ175">
        <v>-1</v>
      </c>
      <c r="BK175">
        <v>-1</v>
      </c>
    </row>
    <row r="176" spans="1:63" x14ac:dyDescent="0.3">
      <c r="A176" t="s">
        <v>642</v>
      </c>
      <c r="B176">
        <f t="shared" si="6"/>
        <v>1.1111111111111112E-2</v>
      </c>
      <c r="C176" s="2">
        <f>'vehicles specifications'!S42</f>
        <v>90</v>
      </c>
      <c r="D176">
        <f t="shared" si="6"/>
        <v>1.1111111111111112E-2</v>
      </c>
      <c r="F176">
        <f>1+'vehicles specifications'!AD42</f>
        <v>1</v>
      </c>
      <c r="G176">
        <f>1+'vehicles specifications'!AD42</f>
        <v>1</v>
      </c>
      <c r="H176">
        <v>1</v>
      </c>
      <c r="I176">
        <v>1</v>
      </c>
      <c r="K176">
        <f>1/('fuels and tailpipe emissions'!$C$3*3.6)</f>
        <v>2.358490566037736E-2</v>
      </c>
      <c r="L176" s="21">
        <f t="shared" si="7"/>
        <v>0.30555555555555558</v>
      </c>
      <c r="M176">
        <f>1/'vehicles specifications'!J42</f>
        <v>2.5125628140703518E-5</v>
      </c>
      <c r="N176" s="21">
        <v>1</v>
      </c>
      <c r="O176">
        <f>1</f>
        <v>1</v>
      </c>
      <c r="P176">
        <v>-1</v>
      </c>
      <c r="Q176">
        <v>-1</v>
      </c>
      <c r="R176">
        <f>-1-'vehicles specifications'!AD42</f>
        <v>-1</v>
      </c>
      <c r="S176">
        <v>1</v>
      </c>
      <c r="T176">
        <v>1</v>
      </c>
      <c r="U176">
        <v>1</v>
      </c>
      <c r="V176">
        <v>1</v>
      </c>
      <c r="W176">
        <v>1</v>
      </c>
      <c r="X176">
        <v>1</v>
      </c>
      <c r="Y176">
        <v>1</v>
      </c>
      <c r="Z176">
        <v>1</v>
      </c>
      <c r="AA176">
        <v>1</v>
      </c>
      <c r="AB176">
        <v>1</v>
      </c>
      <c r="AC176" s="21">
        <v>1</v>
      </c>
      <c r="AD176" s="21">
        <v>1</v>
      </c>
      <c r="AE176" s="21">
        <v>1</v>
      </c>
      <c r="AF176" s="21">
        <v>1</v>
      </c>
      <c r="AG176" s="21">
        <v>1</v>
      </c>
      <c r="AH176" s="21">
        <v>1</v>
      </c>
      <c r="AI176" s="21">
        <v>1</v>
      </c>
      <c r="AJ176" s="21">
        <v>1</v>
      </c>
      <c r="AK176" s="21">
        <v>1</v>
      </c>
      <c r="AL176" s="21">
        <v>1</v>
      </c>
      <c r="AM176" s="21">
        <v>1</v>
      </c>
      <c r="AN176" s="21">
        <v>1</v>
      </c>
      <c r="AO176" s="21">
        <v>1</v>
      </c>
      <c r="AP176" s="21">
        <v>1</v>
      </c>
      <c r="AQ176" s="21">
        <v>1</v>
      </c>
      <c r="AR176" s="21">
        <v>1</v>
      </c>
      <c r="AS176" s="21">
        <v>1</v>
      </c>
      <c r="AT176" s="21">
        <v>1</v>
      </c>
      <c r="AU176" s="21">
        <v>1</v>
      </c>
      <c r="AV176" s="21">
        <v>1</v>
      </c>
      <c r="AW176" s="21">
        <v>1</v>
      </c>
      <c r="AX176" s="21">
        <v>1</v>
      </c>
      <c r="AY176" s="21">
        <v>1</v>
      </c>
      <c r="AZ176" s="21">
        <v>1</v>
      </c>
      <c r="BA176" s="21">
        <v>1</v>
      </c>
      <c r="BB176" s="21">
        <v>1</v>
      </c>
      <c r="BC176" s="21">
        <v>1</v>
      </c>
      <c r="BD176" s="21">
        <v>1</v>
      </c>
      <c r="BE176" s="21">
        <v>1</v>
      </c>
      <c r="BF176" s="21">
        <v>1</v>
      </c>
      <c r="BG176" s="21">
        <v>1</v>
      </c>
      <c r="BH176" s="21">
        <v>1</v>
      </c>
      <c r="BI176">
        <v>-1</v>
      </c>
      <c r="BJ176">
        <v>-1</v>
      </c>
      <c r="BK176">
        <v>-1</v>
      </c>
    </row>
    <row r="177" spans="1:63" x14ac:dyDescent="0.3">
      <c r="A177" t="s">
        <v>643</v>
      </c>
      <c r="B177">
        <f t="shared" si="6"/>
        <v>1.1111111111111112E-2</v>
      </c>
      <c r="C177" s="2">
        <f>'vehicles specifications'!S43</f>
        <v>90</v>
      </c>
      <c r="D177">
        <f t="shared" si="6"/>
        <v>1.1111111111111112E-2</v>
      </c>
      <c r="F177">
        <f>1+'vehicles specifications'!AD43</f>
        <v>1</v>
      </c>
      <c r="G177">
        <f>1+'vehicles specifications'!AD43</f>
        <v>1</v>
      </c>
      <c r="H177">
        <v>1</v>
      </c>
      <c r="I177">
        <v>1</v>
      </c>
      <c r="K177">
        <f>1/('fuels and tailpipe emissions'!$C$3*3.6)</f>
        <v>2.358490566037736E-2</v>
      </c>
      <c r="L177" s="21">
        <f t="shared" si="7"/>
        <v>0.30555555555555558</v>
      </c>
      <c r="M177">
        <f>1/'vehicles specifications'!J43</f>
        <v>2.5125628140703518E-5</v>
      </c>
      <c r="N177" s="21">
        <v>1</v>
      </c>
      <c r="O177">
        <f>1</f>
        <v>1</v>
      </c>
      <c r="P177">
        <v>-1</v>
      </c>
      <c r="Q177">
        <v>-1</v>
      </c>
      <c r="R177">
        <f>-1-'vehicles specifications'!AD43</f>
        <v>-1</v>
      </c>
      <c r="S177">
        <v>1</v>
      </c>
      <c r="T177">
        <v>1</v>
      </c>
      <c r="U177">
        <v>1</v>
      </c>
      <c r="V177">
        <v>1</v>
      </c>
      <c r="W177">
        <v>1</v>
      </c>
      <c r="X177">
        <v>1</v>
      </c>
      <c r="Y177">
        <v>1</v>
      </c>
      <c r="Z177">
        <v>1</v>
      </c>
      <c r="AA177">
        <v>1</v>
      </c>
      <c r="AB177">
        <v>1</v>
      </c>
      <c r="AC177" s="21">
        <v>1</v>
      </c>
      <c r="AD177" s="21">
        <v>1</v>
      </c>
      <c r="AE177" s="21">
        <v>1</v>
      </c>
      <c r="AF177" s="21">
        <v>1</v>
      </c>
      <c r="AG177" s="21">
        <v>1</v>
      </c>
      <c r="AH177" s="21">
        <v>1</v>
      </c>
      <c r="AI177" s="21">
        <v>1</v>
      </c>
      <c r="AJ177" s="21">
        <v>1</v>
      </c>
      <c r="AK177" s="21">
        <v>1</v>
      </c>
      <c r="AL177" s="21">
        <v>1</v>
      </c>
      <c r="AM177" s="21">
        <v>1</v>
      </c>
      <c r="AN177" s="21">
        <v>1</v>
      </c>
      <c r="AO177" s="21">
        <v>1</v>
      </c>
      <c r="AP177" s="21">
        <v>1</v>
      </c>
      <c r="AQ177" s="21">
        <v>1</v>
      </c>
      <c r="AR177" s="21">
        <v>1</v>
      </c>
      <c r="AS177" s="21">
        <v>1</v>
      </c>
      <c r="AT177" s="21">
        <v>1</v>
      </c>
      <c r="AU177" s="21">
        <v>1</v>
      </c>
      <c r="AV177" s="21">
        <v>1</v>
      </c>
      <c r="AW177" s="21">
        <v>1</v>
      </c>
      <c r="AX177" s="21">
        <v>1</v>
      </c>
      <c r="AY177" s="21">
        <v>1</v>
      </c>
      <c r="AZ177" s="21">
        <v>1</v>
      </c>
      <c r="BA177" s="21">
        <v>1</v>
      </c>
      <c r="BB177" s="21">
        <v>1</v>
      </c>
      <c r="BC177" s="21">
        <v>1</v>
      </c>
      <c r="BD177" s="21">
        <v>1</v>
      </c>
      <c r="BE177" s="21">
        <v>1</v>
      </c>
      <c r="BF177" s="21">
        <v>1</v>
      </c>
      <c r="BG177" s="21">
        <v>1</v>
      </c>
      <c r="BH177" s="21">
        <v>1</v>
      </c>
      <c r="BI177">
        <v>-1</v>
      </c>
      <c r="BJ177">
        <v>-1</v>
      </c>
      <c r="BK177">
        <v>-1</v>
      </c>
    </row>
    <row r="178" spans="1:63" x14ac:dyDescent="0.3">
      <c r="A178" t="s">
        <v>644</v>
      </c>
      <c r="B178">
        <f t="shared" si="6"/>
        <v>1.1111111111111112E-2</v>
      </c>
      <c r="C178" s="2">
        <f>'vehicles specifications'!S44</f>
        <v>90</v>
      </c>
      <c r="D178">
        <f t="shared" si="6"/>
        <v>1.1111111111111112E-2</v>
      </c>
      <c r="F178">
        <f>1+'vehicles specifications'!AD44</f>
        <v>1</v>
      </c>
      <c r="G178">
        <f>1+'vehicles specifications'!AD44</f>
        <v>1</v>
      </c>
      <c r="H178">
        <v>1</v>
      </c>
      <c r="I178">
        <v>1</v>
      </c>
      <c r="K178">
        <f>1/('fuels and tailpipe emissions'!$C$3*3.6)</f>
        <v>2.358490566037736E-2</v>
      </c>
      <c r="L178" s="21">
        <f t="shared" si="7"/>
        <v>0.30555555555555558</v>
      </c>
      <c r="M178">
        <f>1/'vehicles specifications'!J44</f>
        <v>2.5125628140703518E-5</v>
      </c>
      <c r="N178" s="21">
        <v>1</v>
      </c>
      <c r="O178">
        <f>1</f>
        <v>1</v>
      </c>
      <c r="P178">
        <v>-1</v>
      </c>
      <c r="Q178">
        <v>-1</v>
      </c>
      <c r="R178">
        <f>-1-'vehicles specifications'!AD44</f>
        <v>-1</v>
      </c>
      <c r="S178">
        <v>1</v>
      </c>
      <c r="T178">
        <v>1</v>
      </c>
      <c r="U178">
        <v>1</v>
      </c>
      <c r="V178">
        <v>1</v>
      </c>
      <c r="W178">
        <v>1</v>
      </c>
      <c r="X178">
        <v>1</v>
      </c>
      <c r="Y178">
        <v>1</v>
      </c>
      <c r="Z178">
        <v>1</v>
      </c>
      <c r="AA178">
        <v>1</v>
      </c>
      <c r="AB178">
        <v>1</v>
      </c>
      <c r="AC178" s="21">
        <v>1</v>
      </c>
      <c r="AD178" s="21">
        <v>1</v>
      </c>
      <c r="AE178" s="21">
        <v>1</v>
      </c>
      <c r="AF178" s="21">
        <v>1</v>
      </c>
      <c r="AG178" s="21">
        <v>1</v>
      </c>
      <c r="AH178" s="21">
        <v>1</v>
      </c>
      <c r="AI178" s="21">
        <v>1</v>
      </c>
      <c r="AJ178" s="21">
        <v>1</v>
      </c>
      <c r="AK178" s="21">
        <v>1</v>
      </c>
      <c r="AL178" s="21">
        <v>1</v>
      </c>
      <c r="AM178" s="21">
        <v>1</v>
      </c>
      <c r="AN178" s="21">
        <v>1</v>
      </c>
      <c r="AO178" s="21">
        <v>1</v>
      </c>
      <c r="AP178" s="21">
        <v>1</v>
      </c>
      <c r="AQ178" s="21">
        <v>1</v>
      </c>
      <c r="AR178" s="21">
        <v>1</v>
      </c>
      <c r="AS178" s="21">
        <v>1</v>
      </c>
      <c r="AT178" s="21">
        <v>1</v>
      </c>
      <c r="AU178" s="21">
        <v>1</v>
      </c>
      <c r="AV178" s="21">
        <v>1</v>
      </c>
      <c r="AW178" s="21">
        <v>1</v>
      </c>
      <c r="AX178" s="21">
        <v>1</v>
      </c>
      <c r="AY178" s="21">
        <v>1</v>
      </c>
      <c r="AZ178" s="21">
        <v>1</v>
      </c>
      <c r="BA178" s="21">
        <v>1</v>
      </c>
      <c r="BB178" s="21">
        <v>1</v>
      </c>
      <c r="BC178" s="21">
        <v>1</v>
      </c>
      <c r="BD178" s="21">
        <v>1</v>
      </c>
      <c r="BE178" s="21">
        <v>1</v>
      </c>
      <c r="BF178" s="21">
        <v>1</v>
      </c>
      <c r="BG178" s="21">
        <v>1</v>
      </c>
      <c r="BH178" s="21">
        <v>1</v>
      </c>
      <c r="BI178">
        <v>-1</v>
      </c>
      <c r="BJ178">
        <v>-1</v>
      </c>
      <c r="BK178">
        <v>-1</v>
      </c>
    </row>
    <row r="179" spans="1:63" s="21" customFormat="1" x14ac:dyDescent="0.3">
      <c r="A179" s="21" t="s">
        <v>678</v>
      </c>
      <c r="B179" s="21">
        <v>1</v>
      </c>
      <c r="C179" s="2">
        <f>'vehicles specifications'!S45</f>
        <v>73</v>
      </c>
      <c r="D179" s="21">
        <v>1</v>
      </c>
      <c r="E179" s="21">
        <v>1</v>
      </c>
      <c r="F179" s="21">
        <f>1+'vehicles specifications'!AD45</f>
        <v>2</v>
      </c>
      <c r="G179" s="21">
        <f>1+'vehicles specifications'!AD45</f>
        <v>2</v>
      </c>
      <c r="J179" s="21">
        <v>1</v>
      </c>
      <c r="K179" s="21">
        <f>1/('fuels and tailpipe emissions'!$C$3*3.6)</f>
        <v>2.358490566037736E-2</v>
      </c>
      <c r="L179" s="21">
        <f t="shared" si="7"/>
        <v>0.30555555555555558</v>
      </c>
      <c r="M179" s="21">
        <f>1/'vehicles specifications'!J45</f>
        <v>2.9940119760479042E-5</v>
      </c>
      <c r="N179" s="21">
        <v>1</v>
      </c>
      <c r="O179" s="21">
        <f>1</f>
        <v>1</v>
      </c>
      <c r="P179" s="21">
        <v>1</v>
      </c>
      <c r="Q179" s="21">
        <v>1</v>
      </c>
      <c r="R179" s="21">
        <f>-1-'vehicles specifications'!AD45</f>
        <v>-2</v>
      </c>
      <c r="S179" s="21">
        <v>1</v>
      </c>
      <c r="T179" s="21">
        <v>1</v>
      </c>
      <c r="U179" s="21">
        <v>1</v>
      </c>
      <c r="V179" s="21">
        <v>1</v>
      </c>
      <c r="W179" s="21">
        <v>1</v>
      </c>
      <c r="X179" s="21">
        <v>1</v>
      </c>
      <c r="Y179" s="21">
        <v>1</v>
      </c>
      <c r="Z179" s="21">
        <v>1</v>
      </c>
      <c r="AA179" s="21">
        <v>1</v>
      </c>
      <c r="AB179" s="21">
        <v>1</v>
      </c>
      <c r="AC179" s="21">
        <v>1</v>
      </c>
      <c r="AD179" s="21">
        <v>1</v>
      </c>
      <c r="AE179" s="21">
        <v>1</v>
      </c>
      <c r="AF179" s="21">
        <v>1</v>
      </c>
      <c r="AG179" s="21">
        <v>1</v>
      </c>
      <c r="AH179" s="21">
        <v>1</v>
      </c>
      <c r="AI179" s="21">
        <v>1</v>
      </c>
      <c r="AJ179" s="21">
        <v>1</v>
      </c>
      <c r="AK179" s="21">
        <v>1</v>
      </c>
      <c r="AL179" s="21">
        <v>1</v>
      </c>
      <c r="AM179" s="21">
        <v>1</v>
      </c>
      <c r="AN179" s="21">
        <v>1</v>
      </c>
      <c r="AO179" s="21">
        <v>1</v>
      </c>
      <c r="AP179" s="21">
        <v>1</v>
      </c>
      <c r="AQ179" s="21">
        <v>1</v>
      </c>
      <c r="AR179" s="21">
        <v>1</v>
      </c>
      <c r="AS179" s="21">
        <v>1</v>
      </c>
      <c r="AT179" s="21">
        <v>1</v>
      </c>
      <c r="AU179" s="21">
        <v>1</v>
      </c>
      <c r="AV179" s="21">
        <v>1</v>
      </c>
      <c r="AW179" s="21">
        <v>1</v>
      </c>
      <c r="AX179" s="21">
        <v>1</v>
      </c>
      <c r="AY179" s="21">
        <v>1</v>
      </c>
      <c r="AZ179" s="21">
        <v>1</v>
      </c>
      <c r="BA179" s="21">
        <v>1</v>
      </c>
      <c r="BB179" s="21">
        <v>1</v>
      </c>
      <c r="BC179" s="21">
        <v>1</v>
      </c>
      <c r="BD179" s="21">
        <v>1</v>
      </c>
      <c r="BE179" s="21">
        <v>1</v>
      </c>
      <c r="BF179" s="21">
        <v>1</v>
      </c>
      <c r="BG179" s="21">
        <v>1</v>
      </c>
      <c r="BH179" s="21">
        <v>1</v>
      </c>
      <c r="BI179" s="21">
        <v>-1</v>
      </c>
      <c r="BJ179" s="21">
        <v>-1</v>
      </c>
      <c r="BK179" s="21">
        <v>-1</v>
      </c>
    </row>
    <row r="180" spans="1:63" s="21" customFormat="1" x14ac:dyDescent="0.3">
      <c r="A180" s="21" t="s">
        <v>679</v>
      </c>
      <c r="B180" s="21">
        <v>1</v>
      </c>
      <c r="C180" s="2">
        <f>'vehicles specifications'!S46</f>
        <v>73</v>
      </c>
      <c r="D180" s="21">
        <v>1</v>
      </c>
      <c r="E180" s="21">
        <v>1</v>
      </c>
      <c r="F180" s="21">
        <f>1+'vehicles specifications'!AD46</f>
        <v>1.5</v>
      </c>
      <c r="G180" s="21">
        <f>1+'vehicles specifications'!AD46</f>
        <v>1.5</v>
      </c>
      <c r="J180" s="21">
        <v>1</v>
      </c>
      <c r="K180" s="21">
        <f>1/('fuels and tailpipe emissions'!$C$3*3.6)</f>
        <v>2.358490566037736E-2</v>
      </c>
      <c r="L180" s="21">
        <f t="shared" si="7"/>
        <v>0.30555555555555558</v>
      </c>
      <c r="M180" s="21">
        <f>1/'vehicles specifications'!J46</f>
        <v>2.9940119760479042E-5</v>
      </c>
      <c r="N180" s="21">
        <v>1</v>
      </c>
      <c r="O180" s="21">
        <f>1</f>
        <v>1</v>
      </c>
      <c r="P180" s="21">
        <v>1</v>
      </c>
      <c r="Q180" s="21">
        <v>1</v>
      </c>
      <c r="R180" s="21">
        <f>-1-'vehicles specifications'!AD46</f>
        <v>-1.5</v>
      </c>
      <c r="S180" s="21">
        <v>1</v>
      </c>
      <c r="T180" s="21">
        <v>1</v>
      </c>
      <c r="U180" s="21">
        <v>1</v>
      </c>
      <c r="V180" s="21">
        <v>1</v>
      </c>
      <c r="W180" s="21">
        <v>1</v>
      </c>
      <c r="X180" s="21">
        <v>1</v>
      </c>
      <c r="Y180" s="21">
        <v>1</v>
      </c>
      <c r="Z180" s="21">
        <v>1</v>
      </c>
      <c r="AA180" s="21">
        <v>1</v>
      </c>
      <c r="AB180" s="21">
        <v>1</v>
      </c>
      <c r="AC180" s="21">
        <v>1</v>
      </c>
      <c r="AD180" s="21">
        <v>1</v>
      </c>
      <c r="AE180" s="21">
        <v>1</v>
      </c>
      <c r="AF180" s="21">
        <v>1</v>
      </c>
      <c r="AG180" s="21">
        <v>1</v>
      </c>
      <c r="AH180" s="21">
        <v>1</v>
      </c>
      <c r="AI180" s="21">
        <v>1</v>
      </c>
      <c r="AJ180" s="21">
        <v>1</v>
      </c>
      <c r="AK180" s="21">
        <v>1</v>
      </c>
      <c r="AL180" s="21">
        <v>1</v>
      </c>
      <c r="AM180" s="21">
        <v>1</v>
      </c>
      <c r="AN180" s="21">
        <v>1</v>
      </c>
      <c r="AO180" s="21">
        <v>1</v>
      </c>
      <c r="AP180" s="21">
        <v>1</v>
      </c>
      <c r="AQ180" s="21">
        <v>1</v>
      </c>
      <c r="AR180" s="21">
        <v>1</v>
      </c>
      <c r="AS180" s="21">
        <v>1</v>
      </c>
      <c r="AT180" s="21">
        <v>1</v>
      </c>
      <c r="AU180" s="21">
        <v>1</v>
      </c>
      <c r="AV180" s="21">
        <v>1</v>
      </c>
      <c r="AW180" s="21">
        <v>1</v>
      </c>
      <c r="AX180" s="21">
        <v>1</v>
      </c>
      <c r="AY180" s="21">
        <v>1</v>
      </c>
      <c r="AZ180" s="21">
        <v>1</v>
      </c>
      <c r="BA180" s="21">
        <v>1</v>
      </c>
      <c r="BB180" s="21">
        <v>1</v>
      </c>
      <c r="BC180" s="21">
        <v>1</v>
      </c>
      <c r="BD180" s="21">
        <v>1</v>
      </c>
      <c r="BE180" s="21">
        <v>1</v>
      </c>
      <c r="BF180" s="21">
        <v>1</v>
      </c>
      <c r="BG180" s="21">
        <v>1</v>
      </c>
      <c r="BH180" s="21">
        <v>1</v>
      </c>
      <c r="BI180" s="21">
        <v>-1</v>
      </c>
      <c r="BJ180" s="21">
        <v>-1</v>
      </c>
      <c r="BK180" s="21">
        <v>-1</v>
      </c>
    </row>
    <row r="181" spans="1:63" s="21" customFormat="1" x14ac:dyDescent="0.3">
      <c r="A181" s="21" t="s">
        <v>680</v>
      </c>
      <c r="B181" s="21">
        <v>1</v>
      </c>
      <c r="C181" s="2">
        <f>'vehicles specifications'!S47</f>
        <v>73</v>
      </c>
      <c r="D181" s="21">
        <v>1</v>
      </c>
      <c r="E181" s="21">
        <v>1</v>
      </c>
      <c r="F181" s="21">
        <f>1+'vehicles specifications'!AD47</f>
        <v>1.25</v>
      </c>
      <c r="G181" s="21">
        <f>1+'vehicles specifications'!AD47</f>
        <v>1.25</v>
      </c>
      <c r="J181" s="21">
        <v>1</v>
      </c>
      <c r="K181" s="21">
        <f>1/('fuels and tailpipe emissions'!$C$3*3.6)</f>
        <v>2.358490566037736E-2</v>
      </c>
      <c r="L181" s="21">
        <f t="shared" si="7"/>
        <v>0.30555555555555558</v>
      </c>
      <c r="M181" s="21">
        <f>1/'vehicles specifications'!J47</f>
        <v>2.9940119760479042E-5</v>
      </c>
      <c r="N181" s="21">
        <v>1</v>
      </c>
      <c r="O181" s="21">
        <f>1</f>
        <v>1</v>
      </c>
      <c r="P181" s="21">
        <v>1</v>
      </c>
      <c r="Q181" s="21">
        <v>1</v>
      </c>
      <c r="R181" s="21">
        <f>-1-'vehicles specifications'!AD47</f>
        <v>-1.25</v>
      </c>
      <c r="S181" s="21">
        <v>1</v>
      </c>
      <c r="T181" s="21">
        <v>1</v>
      </c>
      <c r="U181" s="21">
        <v>1</v>
      </c>
      <c r="V181" s="21">
        <v>1</v>
      </c>
      <c r="W181" s="21">
        <v>1</v>
      </c>
      <c r="X181" s="21">
        <v>1</v>
      </c>
      <c r="Y181" s="21">
        <v>1</v>
      </c>
      <c r="Z181" s="21">
        <v>1</v>
      </c>
      <c r="AA181" s="21">
        <v>1</v>
      </c>
      <c r="AB181" s="21">
        <v>1</v>
      </c>
      <c r="AC181" s="21">
        <v>1</v>
      </c>
      <c r="AD181" s="21">
        <v>1</v>
      </c>
      <c r="AE181" s="21">
        <v>1</v>
      </c>
      <c r="AF181" s="21">
        <v>1</v>
      </c>
      <c r="AG181" s="21">
        <v>1</v>
      </c>
      <c r="AH181" s="21">
        <v>1</v>
      </c>
      <c r="AI181" s="21">
        <v>1</v>
      </c>
      <c r="AJ181" s="21">
        <v>1</v>
      </c>
      <c r="AK181" s="21">
        <v>1</v>
      </c>
      <c r="AL181" s="21">
        <v>1</v>
      </c>
      <c r="AM181" s="21">
        <v>1</v>
      </c>
      <c r="AN181" s="21">
        <v>1</v>
      </c>
      <c r="AO181" s="21">
        <v>1</v>
      </c>
      <c r="AP181" s="21">
        <v>1</v>
      </c>
      <c r="AQ181" s="21">
        <v>1</v>
      </c>
      <c r="AR181" s="21">
        <v>1</v>
      </c>
      <c r="AS181" s="21">
        <v>1</v>
      </c>
      <c r="AT181" s="21">
        <v>1</v>
      </c>
      <c r="AU181" s="21">
        <v>1</v>
      </c>
      <c r="AV181" s="21">
        <v>1</v>
      </c>
      <c r="AW181" s="21">
        <v>1</v>
      </c>
      <c r="AX181" s="21">
        <v>1</v>
      </c>
      <c r="AY181" s="21">
        <v>1</v>
      </c>
      <c r="AZ181" s="21">
        <v>1</v>
      </c>
      <c r="BA181" s="21">
        <v>1</v>
      </c>
      <c r="BB181" s="21">
        <v>1</v>
      </c>
      <c r="BC181" s="21">
        <v>1</v>
      </c>
      <c r="BD181" s="21">
        <v>1</v>
      </c>
      <c r="BE181" s="21">
        <v>1</v>
      </c>
      <c r="BF181" s="21">
        <v>1</v>
      </c>
      <c r="BG181" s="21">
        <v>1</v>
      </c>
      <c r="BH181" s="21">
        <v>1</v>
      </c>
      <c r="BI181" s="21">
        <v>-1</v>
      </c>
      <c r="BJ181" s="21">
        <v>-1</v>
      </c>
      <c r="BK181" s="21">
        <v>-1</v>
      </c>
    </row>
    <row r="182" spans="1:63" s="21" customFormat="1" x14ac:dyDescent="0.3">
      <c r="A182" s="21" t="s">
        <v>681</v>
      </c>
      <c r="B182" s="21">
        <v>1</v>
      </c>
      <c r="C182" s="2">
        <f>'vehicles specifications'!S48</f>
        <v>73</v>
      </c>
      <c r="D182" s="21">
        <v>1</v>
      </c>
      <c r="E182" s="21">
        <v>1</v>
      </c>
      <c r="F182" s="21">
        <f>1+'vehicles specifications'!AD48</f>
        <v>1</v>
      </c>
      <c r="G182" s="21">
        <f>1+'vehicles specifications'!AD48</f>
        <v>1</v>
      </c>
      <c r="J182" s="21">
        <v>1</v>
      </c>
      <c r="K182" s="21">
        <f>1/('fuels and tailpipe emissions'!$C$3*3.6)</f>
        <v>2.358490566037736E-2</v>
      </c>
      <c r="L182" s="21">
        <f t="shared" si="7"/>
        <v>0.30555555555555558</v>
      </c>
      <c r="M182" s="21">
        <f>1/'vehicles specifications'!J48</f>
        <v>2.9940119760479042E-5</v>
      </c>
      <c r="N182" s="21">
        <v>1</v>
      </c>
      <c r="O182" s="21">
        <f>1</f>
        <v>1</v>
      </c>
      <c r="P182" s="21">
        <v>1</v>
      </c>
      <c r="Q182" s="21">
        <v>1</v>
      </c>
      <c r="R182" s="21">
        <f>-1-'vehicles specifications'!AD48</f>
        <v>-1</v>
      </c>
      <c r="S182" s="21">
        <v>1</v>
      </c>
      <c r="T182" s="21">
        <v>1</v>
      </c>
      <c r="U182" s="21">
        <v>1</v>
      </c>
      <c r="V182" s="21">
        <v>1</v>
      </c>
      <c r="W182" s="21">
        <v>1</v>
      </c>
      <c r="X182" s="21">
        <v>1</v>
      </c>
      <c r="Y182" s="21">
        <v>1</v>
      </c>
      <c r="Z182" s="21">
        <v>1</v>
      </c>
      <c r="AA182" s="21">
        <v>1</v>
      </c>
      <c r="AB182" s="21">
        <v>1</v>
      </c>
      <c r="AC182" s="21">
        <v>1</v>
      </c>
      <c r="AD182" s="21">
        <v>1</v>
      </c>
      <c r="AE182" s="21">
        <v>1</v>
      </c>
      <c r="AF182" s="21">
        <v>1</v>
      </c>
      <c r="AG182" s="21">
        <v>1</v>
      </c>
      <c r="AH182" s="21">
        <v>1</v>
      </c>
      <c r="AI182" s="21">
        <v>1</v>
      </c>
      <c r="AJ182" s="21">
        <v>1</v>
      </c>
      <c r="AK182" s="21">
        <v>1</v>
      </c>
      <c r="AL182" s="21">
        <v>1</v>
      </c>
      <c r="AM182" s="21">
        <v>1</v>
      </c>
      <c r="AN182" s="21">
        <v>1</v>
      </c>
      <c r="AO182" s="21">
        <v>1</v>
      </c>
      <c r="AP182" s="21">
        <v>1</v>
      </c>
      <c r="AQ182" s="21">
        <v>1</v>
      </c>
      <c r="AR182" s="21">
        <v>1</v>
      </c>
      <c r="AS182" s="21">
        <v>1</v>
      </c>
      <c r="AT182" s="21">
        <v>1</v>
      </c>
      <c r="AU182" s="21">
        <v>1</v>
      </c>
      <c r="AV182" s="21">
        <v>1</v>
      </c>
      <c r="AW182" s="21">
        <v>1</v>
      </c>
      <c r="AX182" s="21">
        <v>1</v>
      </c>
      <c r="AY182" s="21">
        <v>1</v>
      </c>
      <c r="AZ182" s="21">
        <v>1</v>
      </c>
      <c r="BA182" s="21">
        <v>1</v>
      </c>
      <c r="BB182" s="21">
        <v>1</v>
      </c>
      <c r="BC182" s="21">
        <v>1</v>
      </c>
      <c r="BD182" s="21">
        <v>1</v>
      </c>
      <c r="BE182" s="21">
        <v>1</v>
      </c>
      <c r="BF182" s="21">
        <v>1</v>
      </c>
      <c r="BG182" s="21">
        <v>1</v>
      </c>
      <c r="BH182" s="21">
        <v>1</v>
      </c>
      <c r="BI182" s="21">
        <v>-1</v>
      </c>
      <c r="BJ182" s="21">
        <v>-1</v>
      </c>
      <c r="BK182" s="21">
        <v>-1</v>
      </c>
    </row>
    <row r="183" spans="1:63" x14ac:dyDescent="0.3">
      <c r="A183" t="s">
        <v>632</v>
      </c>
      <c r="B183">
        <v>1</v>
      </c>
      <c r="C183" s="2">
        <f>'vehicles specifications'!S49</f>
        <v>84</v>
      </c>
      <c r="D183">
        <v>1</v>
      </c>
      <c r="E183">
        <v>1</v>
      </c>
      <c r="F183">
        <f>1+'vehicles specifications'!AD49</f>
        <v>2</v>
      </c>
      <c r="G183">
        <f>1+'vehicles specifications'!AD49</f>
        <v>2</v>
      </c>
      <c r="J183">
        <v>1</v>
      </c>
      <c r="K183">
        <f>1/('fuels and tailpipe emissions'!$C$3*3.6)</f>
        <v>2.358490566037736E-2</v>
      </c>
      <c r="L183" s="21">
        <f t="shared" si="7"/>
        <v>0.30555555555555558</v>
      </c>
      <c r="M183">
        <f>1/'vehicles specifications'!J49</f>
        <v>2.5125628140703518E-5</v>
      </c>
      <c r="N183" s="21">
        <v>1</v>
      </c>
      <c r="O183">
        <f>1</f>
        <v>1</v>
      </c>
      <c r="P183">
        <v>1</v>
      </c>
      <c r="Q183">
        <v>1</v>
      </c>
      <c r="R183">
        <f>-1-'vehicles specifications'!AD49</f>
        <v>-2</v>
      </c>
      <c r="S183">
        <v>1</v>
      </c>
      <c r="T183">
        <v>1</v>
      </c>
      <c r="U183">
        <v>1</v>
      </c>
      <c r="V183">
        <v>1</v>
      </c>
      <c r="W183">
        <v>1</v>
      </c>
      <c r="X183">
        <v>1</v>
      </c>
      <c r="Y183">
        <v>1</v>
      </c>
      <c r="Z183">
        <v>1</v>
      </c>
      <c r="AA183">
        <v>1</v>
      </c>
      <c r="AB183">
        <v>1</v>
      </c>
      <c r="AC183" s="21">
        <v>1</v>
      </c>
      <c r="AD183" s="21">
        <v>1</v>
      </c>
      <c r="AE183" s="21">
        <v>1</v>
      </c>
      <c r="AF183" s="21">
        <v>1</v>
      </c>
      <c r="AG183" s="21">
        <v>1</v>
      </c>
      <c r="AH183" s="21">
        <v>1</v>
      </c>
      <c r="AI183" s="21">
        <v>1</v>
      </c>
      <c r="AJ183" s="21">
        <v>1</v>
      </c>
      <c r="AK183" s="21">
        <v>1</v>
      </c>
      <c r="AL183" s="21">
        <v>1</v>
      </c>
      <c r="AM183" s="21">
        <v>1</v>
      </c>
      <c r="AN183" s="21">
        <v>1</v>
      </c>
      <c r="AO183" s="21">
        <v>1</v>
      </c>
      <c r="AP183" s="21">
        <v>1</v>
      </c>
      <c r="AQ183" s="21">
        <v>1</v>
      </c>
      <c r="AR183" s="21">
        <v>1</v>
      </c>
      <c r="AS183" s="21">
        <v>1</v>
      </c>
      <c r="AT183" s="21">
        <v>1</v>
      </c>
      <c r="AU183" s="21">
        <v>1</v>
      </c>
      <c r="AV183" s="21">
        <v>1</v>
      </c>
      <c r="AW183" s="21">
        <v>1</v>
      </c>
      <c r="AX183" s="21">
        <v>1</v>
      </c>
      <c r="AY183" s="21">
        <v>1</v>
      </c>
      <c r="AZ183" s="21">
        <v>1</v>
      </c>
      <c r="BA183" s="21">
        <v>1</v>
      </c>
      <c r="BB183" s="21">
        <v>1</v>
      </c>
      <c r="BC183" s="21">
        <v>1</v>
      </c>
      <c r="BD183" s="21">
        <v>1</v>
      </c>
      <c r="BE183" s="21">
        <v>1</v>
      </c>
      <c r="BF183" s="21">
        <v>1</v>
      </c>
      <c r="BG183" s="21">
        <v>1</v>
      </c>
      <c r="BH183" s="21">
        <v>1</v>
      </c>
      <c r="BI183">
        <v>-1</v>
      </c>
      <c r="BJ183">
        <v>-1</v>
      </c>
      <c r="BK183">
        <v>-1</v>
      </c>
    </row>
    <row r="184" spans="1:63" x14ac:dyDescent="0.3">
      <c r="A184" t="s">
        <v>633</v>
      </c>
      <c r="B184" s="21">
        <v>1</v>
      </c>
      <c r="C184" s="2">
        <f>'vehicles specifications'!S50</f>
        <v>84</v>
      </c>
      <c r="D184">
        <v>1</v>
      </c>
      <c r="E184">
        <v>1</v>
      </c>
      <c r="F184">
        <f>1+'vehicles specifications'!AD50</f>
        <v>1.5</v>
      </c>
      <c r="G184">
        <f>1+'vehicles specifications'!AD50</f>
        <v>1.5</v>
      </c>
      <c r="J184">
        <v>1</v>
      </c>
      <c r="K184">
        <f>1/('fuels and tailpipe emissions'!$C$3*3.6)</f>
        <v>2.358490566037736E-2</v>
      </c>
      <c r="L184" s="21">
        <f t="shared" si="7"/>
        <v>0.30555555555555558</v>
      </c>
      <c r="M184">
        <f>1/'vehicles specifications'!J50</f>
        <v>2.5125628140703518E-5</v>
      </c>
      <c r="N184" s="21">
        <v>1</v>
      </c>
      <c r="O184">
        <f>1</f>
        <v>1</v>
      </c>
      <c r="P184">
        <v>1</v>
      </c>
      <c r="Q184">
        <v>1</v>
      </c>
      <c r="R184">
        <f>-1-'vehicles specifications'!AD50</f>
        <v>-1.5</v>
      </c>
      <c r="S184">
        <v>1</v>
      </c>
      <c r="T184">
        <v>1</v>
      </c>
      <c r="U184">
        <v>1</v>
      </c>
      <c r="V184">
        <v>1</v>
      </c>
      <c r="W184">
        <v>1</v>
      </c>
      <c r="X184">
        <v>1</v>
      </c>
      <c r="Y184">
        <v>1</v>
      </c>
      <c r="Z184">
        <v>1</v>
      </c>
      <c r="AA184">
        <v>1</v>
      </c>
      <c r="AB184">
        <v>1</v>
      </c>
      <c r="AC184" s="21">
        <v>1</v>
      </c>
      <c r="AD184" s="21">
        <v>1</v>
      </c>
      <c r="AE184" s="21">
        <v>1</v>
      </c>
      <c r="AF184" s="21">
        <v>1</v>
      </c>
      <c r="AG184" s="21">
        <v>1</v>
      </c>
      <c r="AH184" s="21">
        <v>1</v>
      </c>
      <c r="AI184" s="21">
        <v>1</v>
      </c>
      <c r="AJ184" s="21">
        <v>1</v>
      </c>
      <c r="AK184" s="21">
        <v>1</v>
      </c>
      <c r="AL184" s="21">
        <v>1</v>
      </c>
      <c r="AM184" s="21">
        <v>1</v>
      </c>
      <c r="AN184" s="21">
        <v>1</v>
      </c>
      <c r="AO184" s="21">
        <v>1</v>
      </c>
      <c r="AP184" s="21">
        <v>1</v>
      </c>
      <c r="AQ184" s="21">
        <v>1</v>
      </c>
      <c r="AR184" s="21">
        <v>1</v>
      </c>
      <c r="AS184" s="21">
        <v>1</v>
      </c>
      <c r="AT184" s="21">
        <v>1</v>
      </c>
      <c r="AU184" s="21">
        <v>1</v>
      </c>
      <c r="AV184" s="21">
        <v>1</v>
      </c>
      <c r="AW184" s="21">
        <v>1</v>
      </c>
      <c r="AX184" s="21">
        <v>1</v>
      </c>
      <c r="AY184" s="21">
        <v>1</v>
      </c>
      <c r="AZ184" s="21">
        <v>1</v>
      </c>
      <c r="BA184" s="21">
        <v>1</v>
      </c>
      <c r="BB184" s="21">
        <v>1</v>
      </c>
      <c r="BC184" s="21">
        <v>1</v>
      </c>
      <c r="BD184" s="21">
        <v>1</v>
      </c>
      <c r="BE184" s="21">
        <v>1</v>
      </c>
      <c r="BF184" s="21">
        <v>1</v>
      </c>
      <c r="BG184" s="21">
        <v>1</v>
      </c>
      <c r="BH184" s="21">
        <v>1</v>
      </c>
      <c r="BI184">
        <v>-1</v>
      </c>
      <c r="BJ184">
        <v>-1</v>
      </c>
      <c r="BK184">
        <v>-1</v>
      </c>
    </row>
    <row r="185" spans="1:63" x14ac:dyDescent="0.3">
      <c r="A185" t="s">
        <v>634</v>
      </c>
      <c r="B185" s="21">
        <v>1</v>
      </c>
      <c r="C185" s="2">
        <f>'vehicles specifications'!S51</f>
        <v>84</v>
      </c>
      <c r="D185">
        <v>1</v>
      </c>
      <c r="E185">
        <v>1</v>
      </c>
      <c r="F185">
        <f>1+'vehicles specifications'!AD51</f>
        <v>1.25</v>
      </c>
      <c r="G185">
        <f>1+'vehicles specifications'!AD51</f>
        <v>1.25</v>
      </c>
      <c r="J185">
        <v>1</v>
      </c>
      <c r="K185">
        <f>1/('fuels and tailpipe emissions'!$C$3*3.6)</f>
        <v>2.358490566037736E-2</v>
      </c>
      <c r="L185" s="21">
        <f t="shared" si="7"/>
        <v>0.30555555555555558</v>
      </c>
      <c r="M185">
        <f>1/'vehicles specifications'!J51</f>
        <v>2.5125628140703518E-5</v>
      </c>
      <c r="N185" s="21">
        <v>1</v>
      </c>
      <c r="O185">
        <f>1</f>
        <v>1</v>
      </c>
      <c r="P185">
        <v>1</v>
      </c>
      <c r="Q185">
        <v>1</v>
      </c>
      <c r="R185">
        <f>-1-'vehicles specifications'!AD51</f>
        <v>-1.25</v>
      </c>
      <c r="S185">
        <v>1</v>
      </c>
      <c r="T185">
        <v>1</v>
      </c>
      <c r="U185">
        <v>1</v>
      </c>
      <c r="V185">
        <v>1</v>
      </c>
      <c r="W185">
        <v>1</v>
      </c>
      <c r="X185">
        <v>1</v>
      </c>
      <c r="Y185">
        <v>1</v>
      </c>
      <c r="Z185">
        <v>1</v>
      </c>
      <c r="AA185">
        <v>1</v>
      </c>
      <c r="AB185">
        <v>1</v>
      </c>
      <c r="AC185" s="21">
        <v>1</v>
      </c>
      <c r="AD185" s="21">
        <v>1</v>
      </c>
      <c r="AE185" s="21">
        <v>1</v>
      </c>
      <c r="AF185" s="21">
        <v>1</v>
      </c>
      <c r="AG185" s="21">
        <v>1</v>
      </c>
      <c r="AH185" s="21">
        <v>1</v>
      </c>
      <c r="AI185" s="21">
        <v>1</v>
      </c>
      <c r="AJ185" s="21">
        <v>1</v>
      </c>
      <c r="AK185" s="21">
        <v>1</v>
      </c>
      <c r="AL185" s="21">
        <v>1</v>
      </c>
      <c r="AM185" s="21">
        <v>1</v>
      </c>
      <c r="AN185" s="21">
        <v>1</v>
      </c>
      <c r="AO185" s="21">
        <v>1</v>
      </c>
      <c r="AP185" s="21">
        <v>1</v>
      </c>
      <c r="AQ185" s="21">
        <v>1</v>
      </c>
      <c r="AR185" s="21">
        <v>1</v>
      </c>
      <c r="AS185" s="21">
        <v>1</v>
      </c>
      <c r="AT185" s="21">
        <v>1</v>
      </c>
      <c r="AU185" s="21">
        <v>1</v>
      </c>
      <c r="AV185" s="21">
        <v>1</v>
      </c>
      <c r="AW185" s="21">
        <v>1</v>
      </c>
      <c r="AX185" s="21">
        <v>1</v>
      </c>
      <c r="AY185" s="21">
        <v>1</v>
      </c>
      <c r="AZ185" s="21">
        <v>1</v>
      </c>
      <c r="BA185" s="21">
        <v>1</v>
      </c>
      <c r="BB185" s="21">
        <v>1</v>
      </c>
      <c r="BC185" s="21">
        <v>1</v>
      </c>
      <c r="BD185" s="21">
        <v>1</v>
      </c>
      <c r="BE185" s="21">
        <v>1</v>
      </c>
      <c r="BF185" s="21">
        <v>1</v>
      </c>
      <c r="BG185" s="21">
        <v>1</v>
      </c>
      <c r="BH185" s="21">
        <v>1</v>
      </c>
      <c r="BI185">
        <v>-1</v>
      </c>
      <c r="BJ185">
        <v>-1</v>
      </c>
      <c r="BK185">
        <v>-1</v>
      </c>
    </row>
    <row r="186" spans="1:63" x14ac:dyDescent="0.3">
      <c r="A186" t="s">
        <v>635</v>
      </c>
      <c r="B186" s="21">
        <v>1</v>
      </c>
      <c r="C186" s="2">
        <f>'vehicles specifications'!S52</f>
        <v>84</v>
      </c>
      <c r="D186">
        <v>1</v>
      </c>
      <c r="E186">
        <v>1</v>
      </c>
      <c r="F186">
        <f>1+'vehicles specifications'!AD52</f>
        <v>1</v>
      </c>
      <c r="G186">
        <f>1+'vehicles specifications'!AD52</f>
        <v>1</v>
      </c>
      <c r="J186">
        <v>1</v>
      </c>
      <c r="K186">
        <f>1/('fuels and tailpipe emissions'!$C$3*3.6)</f>
        <v>2.358490566037736E-2</v>
      </c>
      <c r="L186" s="21">
        <f t="shared" si="7"/>
        <v>0.30555555555555558</v>
      </c>
      <c r="M186">
        <f>1/'vehicles specifications'!J52</f>
        <v>2.5125628140703518E-5</v>
      </c>
      <c r="N186" s="21">
        <v>1</v>
      </c>
      <c r="O186">
        <f>1</f>
        <v>1</v>
      </c>
      <c r="P186">
        <v>1</v>
      </c>
      <c r="Q186">
        <v>1</v>
      </c>
      <c r="R186">
        <f>-1-'vehicles specifications'!AD52</f>
        <v>-1</v>
      </c>
      <c r="S186">
        <v>1</v>
      </c>
      <c r="T186">
        <v>1</v>
      </c>
      <c r="U186">
        <v>1</v>
      </c>
      <c r="V186">
        <v>1</v>
      </c>
      <c r="W186">
        <v>1</v>
      </c>
      <c r="X186">
        <v>1</v>
      </c>
      <c r="Y186">
        <v>1</v>
      </c>
      <c r="Z186">
        <v>1</v>
      </c>
      <c r="AA186">
        <v>1</v>
      </c>
      <c r="AB186">
        <v>1</v>
      </c>
      <c r="AC186" s="21">
        <v>1</v>
      </c>
      <c r="AD186" s="21">
        <v>1</v>
      </c>
      <c r="AE186" s="21">
        <v>1</v>
      </c>
      <c r="AF186" s="21">
        <v>1</v>
      </c>
      <c r="AG186" s="21">
        <v>1</v>
      </c>
      <c r="AH186" s="21">
        <v>1</v>
      </c>
      <c r="AI186" s="21">
        <v>1</v>
      </c>
      <c r="AJ186" s="21">
        <v>1</v>
      </c>
      <c r="AK186" s="21">
        <v>1</v>
      </c>
      <c r="AL186" s="21">
        <v>1</v>
      </c>
      <c r="AM186" s="21">
        <v>1</v>
      </c>
      <c r="AN186" s="21">
        <v>1</v>
      </c>
      <c r="AO186" s="21">
        <v>1</v>
      </c>
      <c r="AP186" s="21">
        <v>1</v>
      </c>
      <c r="AQ186" s="21">
        <v>1</v>
      </c>
      <c r="AR186" s="21">
        <v>1</v>
      </c>
      <c r="AS186" s="21">
        <v>1</v>
      </c>
      <c r="AT186" s="21">
        <v>1</v>
      </c>
      <c r="AU186" s="21">
        <v>1</v>
      </c>
      <c r="AV186" s="21">
        <v>1</v>
      </c>
      <c r="AW186" s="21">
        <v>1</v>
      </c>
      <c r="AX186" s="21">
        <v>1</v>
      </c>
      <c r="AY186" s="21">
        <v>1</v>
      </c>
      <c r="AZ186" s="21">
        <v>1</v>
      </c>
      <c r="BA186" s="21">
        <v>1</v>
      </c>
      <c r="BB186" s="21">
        <v>1</v>
      </c>
      <c r="BC186" s="21">
        <v>1</v>
      </c>
      <c r="BD186" s="21">
        <v>1</v>
      </c>
      <c r="BE186" s="21">
        <v>1</v>
      </c>
      <c r="BF186" s="21">
        <v>1</v>
      </c>
      <c r="BG186" s="21">
        <v>1</v>
      </c>
      <c r="BH186" s="21">
        <v>1</v>
      </c>
      <c r="BI186">
        <v>-1</v>
      </c>
      <c r="BJ186">
        <v>-1</v>
      </c>
      <c r="BK186">
        <v>-1</v>
      </c>
    </row>
    <row r="187" spans="1:63" x14ac:dyDescent="0.3">
      <c r="A187" t="s">
        <v>715</v>
      </c>
      <c r="B187">
        <f t="shared" ref="B187:D204" si="8">1/90</f>
        <v>1.1111111111111112E-2</v>
      </c>
      <c r="C187" s="2">
        <f>'vehicles specifications'!S53</f>
        <v>65.433826960328489</v>
      </c>
      <c r="D187">
        <f t="shared" si="8"/>
        <v>1.1111111111111112E-2</v>
      </c>
      <c r="F187">
        <f>1+'vehicles specifications'!AD53</f>
        <v>1</v>
      </c>
      <c r="G187">
        <f>1+'vehicles specifications'!AD53</f>
        <v>1</v>
      </c>
      <c r="H187">
        <v>1</v>
      </c>
      <c r="I187">
        <v>1</v>
      </c>
      <c r="K187">
        <f>1/('fuels and tailpipe emissions'!$C$3*3.6)</f>
        <v>2.358490566037736E-2</v>
      </c>
      <c r="L187" s="21">
        <f t="shared" si="7"/>
        <v>0.30555555555555558</v>
      </c>
      <c r="M187">
        <f>1/'vehicles specifications'!J53</f>
        <v>2.5125628140703518E-5</v>
      </c>
      <c r="N187" s="21">
        <v>1</v>
      </c>
      <c r="O187">
        <f>1</f>
        <v>1</v>
      </c>
      <c r="P187">
        <v>-1</v>
      </c>
      <c r="Q187">
        <v>-1</v>
      </c>
      <c r="R187">
        <f>-1-'vehicles specifications'!AD53</f>
        <v>-1</v>
      </c>
      <c r="S187">
        <v>1</v>
      </c>
      <c r="T187">
        <v>1</v>
      </c>
      <c r="U187">
        <v>1</v>
      </c>
      <c r="V187">
        <v>1</v>
      </c>
      <c r="W187">
        <v>1</v>
      </c>
      <c r="X187">
        <v>1</v>
      </c>
      <c r="Y187">
        <v>1</v>
      </c>
      <c r="Z187">
        <v>1</v>
      </c>
      <c r="AA187">
        <v>1</v>
      </c>
      <c r="AB187">
        <v>1</v>
      </c>
      <c r="AC187" s="21">
        <v>1</v>
      </c>
      <c r="AD187" s="21">
        <v>1</v>
      </c>
      <c r="AE187" s="21">
        <v>1</v>
      </c>
      <c r="AF187" s="21">
        <v>1</v>
      </c>
      <c r="AG187" s="21">
        <v>1</v>
      </c>
      <c r="AH187" s="21">
        <v>1</v>
      </c>
      <c r="AI187" s="21">
        <v>1</v>
      </c>
      <c r="AJ187" s="21">
        <v>1</v>
      </c>
      <c r="AK187" s="21">
        <v>1</v>
      </c>
      <c r="AL187" s="21">
        <v>1</v>
      </c>
      <c r="AM187" s="21">
        <v>1</v>
      </c>
      <c r="AN187" s="21">
        <v>1</v>
      </c>
      <c r="AO187" s="21">
        <v>1</v>
      </c>
      <c r="AP187" s="21">
        <v>1</v>
      </c>
      <c r="AQ187" s="21">
        <v>1</v>
      </c>
      <c r="AR187" s="21">
        <v>1</v>
      </c>
      <c r="AS187" s="21">
        <v>1</v>
      </c>
      <c r="AT187" s="21">
        <v>1</v>
      </c>
      <c r="AU187" s="21">
        <v>1</v>
      </c>
      <c r="AV187" s="21">
        <v>1</v>
      </c>
      <c r="AW187" s="21">
        <v>1</v>
      </c>
      <c r="AX187" s="21">
        <v>1</v>
      </c>
      <c r="AY187" s="21">
        <v>1</v>
      </c>
      <c r="AZ187" s="21">
        <v>1</v>
      </c>
      <c r="BA187" s="21">
        <v>1</v>
      </c>
      <c r="BB187" s="21">
        <v>1</v>
      </c>
      <c r="BC187" s="21">
        <v>1</v>
      </c>
      <c r="BD187" s="21">
        <v>1</v>
      </c>
      <c r="BE187" s="21">
        <v>1</v>
      </c>
      <c r="BF187" s="21">
        <v>1</v>
      </c>
      <c r="BG187" s="21">
        <v>1</v>
      </c>
      <c r="BH187" s="21">
        <v>1</v>
      </c>
      <c r="BI187">
        <v>-1</v>
      </c>
      <c r="BJ187">
        <v>-1</v>
      </c>
      <c r="BK187">
        <v>-1</v>
      </c>
    </row>
    <row r="188" spans="1:63" x14ac:dyDescent="0.3">
      <c r="A188" t="s">
        <v>716</v>
      </c>
      <c r="B188">
        <f t="shared" si="8"/>
        <v>1.1111111111111112E-2</v>
      </c>
      <c r="C188" s="2">
        <f>'vehicles specifications'!S54</f>
        <v>65.433826960328489</v>
      </c>
      <c r="D188">
        <f t="shared" si="8"/>
        <v>1.1111111111111112E-2</v>
      </c>
      <c r="F188">
        <f>1+'vehicles specifications'!AD54</f>
        <v>1</v>
      </c>
      <c r="G188">
        <f>1+'vehicles specifications'!AD54</f>
        <v>1</v>
      </c>
      <c r="H188">
        <v>1</v>
      </c>
      <c r="I188">
        <v>1</v>
      </c>
      <c r="K188">
        <f>1/('fuels and tailpipe emissions'!$C$3*3.6)</f>
        <v>2.358490566037736E-2</v>
      </c>
      <c r="L188" s="21">
        <f t="shared" si="7"/>
        <v>0.30555555555555558</v>
      </c>
      <c r="M188">
        <f>1/'vehicles specifications'!J54</f>
        <v>2.5125628140703518E-5</v>
      </c>
      <c r="N188" s="21">
        <v>1</v>
      </c>
      <c r="O188">
        <f>1</f>
        <v>1</v>
      </c>
      <c r="P188">
        <v>-1</v>
      </c>
      <c r="Q188">
        <v>-1</v>
      </c>
      <c r="R188">
        <f>-1-'vehicles specifications'!AD54</f>
        <v>-1</v>
      </c>
      <c r="S188">
        <v>1</v>
      </c>
      <c r="T188">
        <v>1</v>
      </c>
      <c r="U188">
        <v>1</v>
      </c>
      <c r="V188">
        <v>1</v>
      </c>
      <c r="W188">
        <v>1</v>
      </c>
      <c r="X188">
        <v>1</v>
      </c>
      <c r="Y188">
        <v>1</v>
      </c>
      <c r="Z188">
        <v>1</v>
      </c>
      <c r="AA188">
        <v>1</v>
      </c>
      <c r="AB188">
        <v>1</v>
      </c>
      <c r="AC188" s="21">
        <v>1</v>
      </c>
      <c r="AD188" s="21">
        <v>1</v>
      </c>
      <c r="AE188" s="21">
        <v>1</v>
      </c>
      <c r="AF188" s="21">
        <v>1</v>
      </c>
      <c r="AG188" s="21">
        <v>1</v>
      </c>
      <c r="AH188" s="21">
        <v>1</v>
      </c>
      <c r="AI188" s="21">
        <v>1</v>
      </c>
      <c r="AJ188" s="21">
        <v>1</v>
      </c>
      <c r="AK188" s="21">
        <v>1</v>
      </c>
      <c r="AL188" s="21">
        <v>1</v>
      </c>
      <c r="AM188" s="21">
        <v>1</v>
      </c>
      <c r="AN188" s="21">
        <v>1</v>
      </c>
      <c r="AO188" s="21">
        <v>1</v>
      </c>
      <c r="AP188" s="21">
        <v>1</v>
      </c>
      <c r="AQ188" s="21">
        <v>1</v>
      </c>
      <c r="AR188" s="21">
        <v>1</v>
      </c>
      <c r="AS188" s="21">
        <v>1</v>
      </c>
      <c r="AT188" s="21">
        <v>1</v>
      </c>
      <c r="AU188" s="21">
        <v>1</v>
      </c>
      <c r="AV188" s="21">
        <v>1</v>
      </c>
      <c r="AW188" s="21">
        <v>1</v>
      </c>
      <c r="AX188" s="21">
        <v>1</v>
      </c>
      <c r="AY188" s="21">
        <v>1</v>
      </c>
      <c r="AZ188" s="21">
        <v>1</v>
      </c>
      <c r="BA188" s="21">
        <v>1</v>
      </c>
      <c r="BB188" s="21">
        <v>1</v>
      </c>
      <c r="BC188" s="21">
        <v>1</v>
      </c>
      <c r="BD188" s="21">
        <v>1</v>
      </c>
      <c r="BE188" s="21">
        <v>1</v>
      </c>
      <c r="BF188" s="21">
        <v>1</v>
      </c>
      <c r="BG188" s="21">
        <v>1</v>
      </c>
      <c r="BH188" s="21">
        <v>1</v>
      </c>
      <c r="BI188">
        <v>-1</v>
      </c>
      <c r="BJ188">
        <v>-1</v>
      </c>
      <c r="BK188">
        <v>-1</v>
      </c>
    </row>
    <row r="189" spans="1:63" x14ac:dyDescent="0.3">
      <c r="A189" t="s">
        <v>717</v>
      </c>
      <c r="B189">
        <f t="shared" si="8"/>
        <v>1.1111111111111112E-2</v>
      </c>
      <c r="C189" s="2">
        <f>'vehicles specifications'!S55</f>
        <v>65.433826960328489</v>
      </c>
      <c r="D189">
        <f t="shared" si="8"/>
        <v>1.1111111111111112E-2</v>
      </c>
      <c r="F189">
        <f>1+'vehicles specifications'!AD55</f>
        <v>1</v>
      </c>
      <c r="G189">
        <f>1+'vehicles specifications'!AD55</f>
        <v>1</v>
      </c>
      <c r="H189">
        <v>1</v>
      </c>
      <c r="I189">
        <v>1</v>
      </c>
      <c r="K189">
        <f>1/('fuels and tailpipe emissions'!$C$3*3.6)</f>
        <v>2.358490566037736E-2</v>
      </c>
      <c r="L189" s="21">
        <f t="shared" si="7"/>
        <v>0.30555555555555558</v>
      </c>
      <c r="M189">
        <f>1/'vehicles specifications'!J55</f>
        <v>2.5125628140703518E-5</v>
      </c>
      <c r="N189" s="21">
        <v>1</v>
      </c>
      <c r="O189">
        <f>1</f>
        <v>1</v>
      </c>
      <c r="P189">
        <v>-1</v>
      </c>
      <c r="Q189">
        <v>-1</v>
      </c>
      <c r="R189">
        <f>-1-'vehicles specifications'!AD55</f>
        <v>-1</v>
      </c>
      <c r="S189">
        <v>1</v>
      </c>
      <c r="T189">
        <v>1</v>
      </c>
      <c r="U189">
        <v>1</v>
      </c>
      <c r="V189">
        <v>1</v>
      </c>
      <c r="W189">
        <v>1</v>
      </c>
      <c r="X189">
        <v>1</v>
      </c>
      <c r="Y189">
        <v>1</v>
      </c>
      <c r="Z189">
        <v>1</v>
      </c>
      <c r="AA189">
        <v>1</v>
      </c>
      <c r="AB189">
        <v>1</v>
      </c>
      <c r="AC189" s="21">
        <v>1</v>
      </c>
      <c r="AD189" s="21">
        <v>1</v>
      </c>
      <c r="AE189" s="21">
        <v>1</v>
      </c>
      <c r="AF189" s="21">
        <v>1</v>
      </c>
      <c r="AG189" s="21">
        <v>1</v>
      </c>
      <c r="AH189" s="21">
        <v>1</v>
      </c>
      <c r="AI189" s="21">
        <v>1</v>
      </c>
      <c r="AJ189" s="21">
        <v>1</v>
      </c>
      <c r="AK189" s="21">
        <v>1</v>
      </c>
      <c r="AL189" s="21">
        <v>1</v>
      </c>
      <c r="AM189" s="21">
        <v>1</v>
      </c>
      <c r="AN189" s="21">
        <v>1</v>
      </c>
      <c r="AO189" s="21">
        <v>1</v>
      </c>
      <c r="AP189" s="21">
        <v>1</v>
      </c>
      <c r="AQ189" s="21">
        <v>1</v>
      </c>
      <c r="AR189" s="21">
        <v>1</v>
      </c>
      <c r="AS189" s="21">
        <v>1</v>
      </c>
      <c r="AT189" s="21">
        <v>1</v>
      </c>
      <c r="AU189" s="21">
        <v>1</v>
      </c>
      <c r="AV189" s="21">
        <v>1</v>
      </c>
      <c r="AW189" s="21">
        <v>1</v>
      </c>
      <c r="AX189" s="21">
        <v>1</v>
      </c>
      <c r="AY189" s="21">
        <v>1</v>
      </c>
      <c r="AZ189" s="21">
        <v>1</v>
      </c>
      <c r="BA189" s="21">
        <v>1</v>
      </c>
      <c r="BB189" s="21">
        <v>1</v>
      </c>
      <c r="BC189" s="21">
        <v>1</v>
      </c>
      <c r="BD189" s="21">
        <v>1</v>
      </c>
      <c r="BE189" s="21">
        <v>1</v>
      </c>
      <c r="BF189" s="21">
        <v>1</v>
      </c>
      <c r="BG189" s="21">
        <v>1</v>
      </c>
      <c r="BH189" s="21">
        <v>1</v>
      </c>
      <c r="BI189">
        <v>-1</v>
      </c>
      <c r="BJ189">
        <v>-1</v>
      </c>
      <c r="BK189">
        <v>-1</v>
      </c>
    </row>
    <row r="190" spans="1:63" x14ac:dyDescent="0.3">
      <c r="A190" t="s">
        <v>718</v>
      </c>
      <c r="B190">
        <f t="shared" si="8"/>
        <v>1.1111111111111112E-2</v>
      </c>
      <c r="C190" s="2">
        <f>'vehicles specifications'!S56</f>
        <v>65.433826960328489</v>
      </c>
      <c r="D190">
        <f t="shared" si="8"/>
        <v>1.1111111111111112E-2</v>
      </c>
      <c r="F190">
        <f>1+'vehicles specifications'!AD56</f>
        <v>1</v>
      </c>
      <c r="G190">
        <f>1+'vehicles specifications'!AD56</f>
        <v>1</v>
      </c>
      <c r="H190">
        <v>1</v>
      </c>
      <c r="I190">
        <v>1</v>
      </c>
      <c r="K190">
        <f>1/('fuels and tailpipe emissions'!$C$3*3.6)</f>
        <v>2.358490566037736E-2</v>
      </c>
      <c r="L190" s="21">
        <f t="shared" si="7"/>
        <v>0.30555555555555558</v>
      </c>
      <c r="M190">
        <f>1/'vehicles specifications'!J56</f>
        <v>2.5125628140703518E-5</v>
      </c>
      <c r="N190" s="21">
        <v>1</v>
      </c>
      <c r="O190">
        <f>1</f>
        <v>1</v>
      </c>
      <c r="P190">
        <v>-1</v>
      </c>
      <c r="Q190">
        <v>-1</v>
      </c>
      <c r="R190">
        <f>-1-'vehicles specifications'!AD56</f>
        <v>-1</v>
      </c>
      <c r="S190">
        <v>1</v>
      </c>
      <c r="T190">
        <v>1</v>
      </c>
      <c r="U190">
        <v>1</v>
      </c>
      <c r="V190">
        <v>1</v>
      </c>
      <c r="W190">
        <v>1</v>
      </c>
      <c r="X190">
        <v>1</v>
      </c>
      <c r="Y190">
        <v>1</v>
      </c>
      <c r="Z190">
        <v>1</v>
      </c>
      <c r="AA190">
        <v>1</v>
      </c>
      <c r="AB190">
        <v>1</v>
      </c>
      <c r="AC190" s="21">
        <v>1</v>
      </c>
      <c r="AD190" s="21">
        <v>1</v>
      </c>
      <c r="AE190" s="21">
        <v>1</v>
      </c>
      <c r="AF190" s="21">
        <v>1</v>
      </c>
      <c r="AG190" s="21">
        <v>1</v>
      </c>
      <c r="AH190" s="21">
        <v>1</v>
      </c>
      <c r="AI190" s="21">
        <v>1</v>
      </c>
      <c r="AJ190" s="21">
        <v>1</v>
      </c>
      <c r="AK190" s="21">
        <v>1</v>
      </c>
      <c r="AL190" s="21">
        <v>1</v>
      </c>
      <c r="AM190" s="21">
        <v>1</v>
      </c>
      <c r="AN190" s="21">
        <v>1</v>
      </c>
      <c r="AO190" s="21">
        <v>1</v>
      </c>
      <c r="AP190" s="21">
        <v>1</v>
      </c>
      <c r="AQ190" s="21">
        <v>1</v>
      </c>
      <c r="AR190" s="21">
        <v>1</v>
      </c>
      <c r="AS190" s="21">
        <v>1</v>
      </c>
      <c r="AT190" s="21">
        <v>1</v>
      </c>
      <c r="AU190" s="21">
        <v>1</v>
      </c>
      <c r="AV190" s="21">
        <v>1</v>
      </c>
      <c r="AW190" s="21">
        <v>1</v>
      </c>
      <c r="AX190" s="21">
        <v>1</v>
      </c>
      <c r="AY190" s="21">
        <v>1</v>
      </c>
      <c r="AZ190" s="21">
        <v>1</v>
      </c>
      <c r="BA190" s="21">
        <v>1</v>
      </c>
      <c r="BB190" s="21">
        <v>1</v>
      </c>
      <c r="BC190" s="21">
        <v>1</v>
      </c>
      <c r="BD190" s="21">
        <v>1</v>
      </c>
      <c r="BE190" s="21">
        <v>1</v>
      </c>
      <c r="BF190" s="21">
        <v>1</v>
      </c>
      <c r="BG190" s="21">
        <v>1</v>
      </c>
      <c r="BH190" s="21">
        <v>1</v>
      </c>
      <c r="BI190">
        <v>-1</v>
      </c>
      <c r="BJ190">
        <v>-1</v>
      </c>
      <c r="BK190">
        <v>-1</v>
      </c>
    </row>
    <row r="191" spans="1:63" x14ac:dyDescent="0.3">
      <c r="A191" t="s">
        <v>719</v>
      </c>
      <c r="B191">
        <f t="shared" si="8"/>
        <v>1.1111111111111112E-2</v>
      </c>
      <c r="C191" s="2">
        <f>'vehicles specifications'!S57</f>
        <v>65.433826960328489</v>
      </c>
      <c r="D191">
        <f t="shared" si="8"/>
        <v>1.1111111111111112E-2</v>
      </c>
      <c r="F191">
        <f>1+'vehicles specifications'!AD57</f>
        <v>1</v>
      </c>
      <c r="G191">
        <f>1+'vehicles specifications'!AD57</f>
        <v>1</v>
      </c>
      <c r="H191">
        <v>1</v>
      </c>
      <c r="I191">
        <v>1</v>
      </c>
      <c r="K191">
        <f>1/('fuels and tailpipe emissions'!$C$3*3.6)</f>
        <v>2.358490566037736E-2</v>
      </c>
      <c r="L191" s="21">
        <f t="shared" si="7"/>
        <v>0.30555555555555558</v>
      </c>
      <c r="M191">
        <f>1/'vehicles specifications'!J57</f>
        <v>2.5125628140703518E-5</v>
      </c>
      <c r="N191" s="21">
        <v>1</v>
      </c>
      <c r="O191">
        <f>1</f>
        <v>1</v>
      </c>
      <c r="P191">
        <v>-1</v>
      </c>
      <c r="Q191">
        <v>-1</v>
      </c>
      <c r="R191">
        <f>-1-'vehicles specifications'!AD57</f>
        <v>-1</v>
      </c>
      <c r="S191">
        <v>1</v>
      </c>
      <c r="T191">
        <v>1</v>
      </c>
      <c r="U191">
        <v>1</v>
      </c>
      <c r="V191">
        <v>1</v>
      </c>
      <c r="W191">
        <v>1</v>
      </c>
      <c r="X191">
        <v>1</v>
      </c>
      <c r="Y191">
        <v>1</v>
      </c>
      <c r="Z191">
        <v>1</v>
      </c>
      <c r="AA191">
        <v>1</v>
      </c>
      <c r="AB191">
        <v>1</v>
      </c>
      <c r="AC191" s="21">
        <v>1</v>
      </c>
      <c r="AD191" s="21">
        <v>1</v>
      </c>
      <c r="AE191" s="21">
        <v>1</v>
      </c>
      <c r="AF191" s="21">
        <v>1</v>
      </c>
      <c r="AG191" s="21">
        <v>1</v>
      </c>
      <c r="AH191" s="21">
        <v>1</v>
      </c>
      <c r="AI191" s="21">
        <v>1</v>
      </c>
      <c r="AJ191" s="21">
        <v>1</v>
      </c>
      <c r="AK191" s="21">
        <v>1</v>
      </c>
      <c r="AL191" s="21">
        <v>1</v>
      </c>
      <c r="AM191" s="21">
        <v>1</v>
      </c>
      <c r="AN191" s="21">
        <v>1</v>
      </c>
      <c r="AO191" s="21">
        <v>1</v>
      </c>
      <c r="AP191" s="21">
        <v>1</v>
      </c>
      <c r="AQ191" s="21">
        <v>1</v>
      </c>
      <c r="AR191" s="21">
        <v>1</v>
      </c>
      <c r="AS191" s="21">
        <v>1</v>
      </c>
      <c r="AT191" s="21">
        <v>1</v>
      </c>
      <c r="AU191" s="21">
        <v>1</v>
      </c>
      <c r="AV191" s="21">
        <v>1</v>
      </c>
      <c r="AW191" s="21">
        <v>1</v>
      </c>
      <c r="AX191" s="21">
        <v>1</v>
      </c>
      <c r="AY191" s="21">
        <v>1</v>
      </c>
      <c r="AZ191" s="21">
        <v>1</v>
      </c>
      <c r="BA191" s="21">
        <v>1</v>
      </c>
      <c r="BB191" s="21">
        <v>1</v>
      </c>
      <c r="BC191" s="21">
        <v>1</v>
      </c>
      <c r="BD191" s="21">
        <v>1</v>
      </c>
      <c r="BE191" s="21">
        <v>1</v>
      </c>
      <c r="BF191" s="21">
        <v>1</v>
      </c>
      <c r="BG191" s="21">
        <v>1</v>
      </c>
      <c r="BH191" s="21">
        <v>1</v>
      </c>
      <c r="BI191">
        <v>-1</v>
      </c>
      <c r="BJ191">
        <v>-1</v>
      </c>
      <c r="BK191">
        <v>-1</v>
      </c>
    </row>
    <row r="192" spans="1:63" x14ac:dyDescent="0.3">
      <c r="A192" t="s">
        <v>720</v>
      </c>
      <c r="B192">
        <f t="shared" si="8"/>
        <v>1.1111111111111112E-2</v>
      </c>
      <c r="C192" s="2">
        <f>'vehicles specifications'!S58</f>
        <v>65.433826960328489</v>
      </c>
      <c r="D192">
        <f t="shared" si="8"/>
        <v>1.1111111111111112E-2</v>
      </c>
      <c r="F192">
        <f>1+'vehicles specifications'!AD58</f>
        <v>1</v>
      </c>
      <c r="G192">
        <f>1+'vehicles specifications'!AD58</f>
        <v>1</v>
      </c>
      <c r="H192">
        <v>1</v>
      </c>
      <c r="I192">
        <v>1</v>
      </c>
      <c r="K192">
        <f>1/('fuels and tailpipe emissions'!$C$3*3.6)</f>
        <v>2.358490566037736E-2</v>
      </c>
      <c r="L192" s="21">
        <f t="shared" si="7"/>
        <v>0.30555555555555558</v>
      </c>
      <c r="M192">
        <f>1/'vehicles specifications'!J58</f>
        <v>2.5125628140703518E-5</v>
      </c>
      <c r="N192" s="21">
        <v>1</v>
      </c>
      <c r="O192">
        <f>1</f>
        <v>1</v>
      </c>
      <c r="P192">
        <v>-1</v>
      </c>
      <c r="Q192">
        <v>-1</v>
      </c>
      <c r="R192">
        <f>-1-'vehicles specifications'!AD58</f>
        <v>-1</v>
      </c>
      <c r="S192">
        <v>1</v>
      </c>
      <c r="T192">
        <v>1</v>
      </c>
      <c r="U192">
        <v>1</v>
      </c>
      <c r="V192">
        <v>1</v>
      </c>
      <c r="W192">
        <v>1</v>
      </c>
      <c r="X192">
        <v>1</v>
      </c>
      <c r="Y192">
        <v>1</v>
      </c>
      <c r="Z192">
        <v>1</v>
      </c>
      <c r="AA192">
        <v>1</v>
      </c>
      <c r="AB192">
        <v>1</v>
      </c>
      <c r="AC192" s="21">
        <v>1</v>
      </c>
      <c r="AD192" s="21">
        <v>1</v>
      </c>
      <c r="AE192" s="21">
        <v>1</v>
      </c>
      <c r="AF192" s="21">
        <v>1</v>
      </c>
      <c r="AG192" s="21">
        <v>1</v>
      </c>
      <c r="AH192" s="21">
        <v>1</v>
      </c>
      <c r="AI192" s="21">
        <v>1</v>
      </c>
      <c r="AJ192" s="21">
        <v>1</v>
      </c>
      <c r="AK192" s="21">
        <v>1</v>
      </c>
      <c r="AL192" s="21">
        <v>1</v>
      </c>
      <c r="AM192" s="21">
        <v>1</v>
      </c>
      <c r="AN192" s="21">
        <v>1</v>
      </c>
      <c r="AO192" s="21">
        <v>1</v>
      </c>
      <c r="AP192" s="21">
        <v>1</v>
      </c>
      <c r="AQ192" s="21">
        <v>1</v>
      </c>
      <c r="AR192" s="21">
        <v>1</v>
      </c>
      <c r="AS192" s="21">
        <v>1</v>
      </c>
      <c r="AT192" s="21">
        <v>1</v>
      </c>
      <c r="AU192" s="21">
        <v>1</v>
      </c>
      <c r="AV192" s="21">
        <v>1</v>
      </c>
      <c r="AW192" s="21">
        <v>1</v>
      </c>
      <c r="AX192" s="21">
        <v>1</v>
      </c>
      <c r="AY192" s="21">
        <v>1</v>
      </c>
      <c r="AZ192" s="21">
        <v>1</v>
      </c>
      <c r="BA192" s="21">
        <v>1</v>
      </c>
      <c r="BB192" s="21">
        <v>1</v>
      </c>
      <c r="BC192" s="21">
        <v>1</v>
      </c>
      <c r="BD192" s="21">
        <v>1</v>
      </c>
      <c r="BE192" s="21">
        <v>1</v>
      </c>
      <c r="BF192" s="21">
        <v>1</v>
      </c>
      <c r="BG192" s="21">
        <v>1</v>
      </c>
      <c r="BH192" s="21">
        <v>1</v>
      </c>
      <c r="BI192">
        <v>-1</v>
      </c>
      <c r="BJ192">
        <v>-1</v>
      </c>
      <c r="BK192">
        <v>-1</v>
      </c>
    </row>
    <row r="193" spans="1:63" x14ac:dyDescent="0.3">
      <c r="A193" t="s">
        <v>697</v>
      </c>
      <c r="B193">
        <f t="shared" si="8"/>
        <v>1.1111111111111112E-2</v>
      </c>
      <c r="C193" s="2">
        <f>'vehicles specifications'!S59</f>
        <v>81</v>
      </c>
      <c r="D193">
        <f t="shared" si="8"/>
        <v>1.1111111111111112E-2</v>
      </c>
      <c r="F193">
        <f>1+'vehicles specifications'!AD59</f>
        <v>1</v>
      </c>
      <c r="G193">
        <f>1+'vehicles specifications'!AD59</f>
        <v>1</v>
      </c>
      <c r="H193">
        <v>1</v>
      </c>
      <c r="I193">
        <v>1</v>
      </c>
      <c r="K193">
        <f>1/('fuels and tailpipe emissions'!$C$3*3.6)</f>
        <v>2.358490566037736E-2</v>
      </c>
      <c r="L193" s="21">
        <f t="shared" si="7"/>
        <v>0.30555555555555558</v>
      </c>
      <c r="M193">
        <f>1/'vehicles specifications'!J59</f>
        <v>1.6103059581320449E-5</v>
      </c>
      <c r="N193" s="21">
        <v>1</v>
      </c>
      <c r="O193">
        <f>1</f>
        <v>1</v>
      </c>
      <c r="P193">
        <v>-1</v>
      </c>
      <c r="Q193">
        <v>-1</v>
      </c>
      <c r="R193">
        <f>-1-'vehicles specifications'!AD59</f>
        <v>-1</v>
      </c>
      <c r="S193">
        <v>1</v>
      </c>
      <c r="T193">
        <v>1</v>
      </c>
      <c r="U193">
        <v>1</v>
      </c>
      <c r="V193">
        <v>1</v>
      </c>
      <c r="W193">
        <v>1</v>
      </c>
      <c r="X193">
        <v>1</v>
      </c>
      <c r="Y193">
        <v>1</v>
      </c>
      <c r="Z193">
        <v>1</v>
      </c>
      <c r="AA193">
        <v>1</v>
      </c>
      <c r="AB193">
        <v>1</v>
      </c>
      <c r="AC193" s="21">
        <v>1</v>
      </c>
      <c r="AD193" s="21">
        <v>1</v>
      </c>
      <c r="AE193" s="21">
        <v>1</v>
      </c>
      <c r="AF193" s="21">
        <v>1</v>
      </c>
      <c r="AG193" s="21">
        <v>1</v>
      </c>
      <c r="AH193" s="21">
        <v>1</v>
      </c>
      <c r="AI193" s="21">
        <v>1</v>
      </c>
      <c r="AJ193" s="21">
        <v>1</v>
      </c>
      <c r="AK193" s="21">
        <v>1</v>
      </c>
      <c r="AL193" s="21">
        <v>1</v>
      </c>
      <c r="AM193" s="21">
        <v>1</v>
      </c>
      <c r="AN193" s="21">
        <v>1</v>
      </c>
      <c r="AO193" s="21">
        <v>1</v>
      </c>
      <c r="AP193" s="21">
        <v>1</v>
      </c>
      <c r="AQ193" s="21">
        <v>1</v>
      </c>
      <c r="AR193" s="21">
        <v>1</v>
      </c>
      <c r="AS193" s="21">
        <v>1</v>
      </c>
      <c r="AT193" s="21">
        <v>1</v>
      </c>
      <c r="AU193" s="21">
        <v>1</v>
      </c>
      <c r="AV193" s="21">
        <v>1</v>
      </c>
      <c r="AW193" s="21">
        <v>1</v>
      </c>
      <c r="AX193" s="21">
        <v>1</v>
      </c>
      <c r="AY193" s="21">
        <v>1</v>
      </c>
      <c r="AZ193" s="21">
        <v>1</v>
      </c>
      <c r="BA193" s="21">
        <v>1</v>
      </c>
      <c r="BB193" s="21">
        <v>1</v>
      </c>
      <c r="BC193" s="21">
        <v>1</v>
      </c>
      <c r="BD193" s="21">
        <v>1</v>
      </c>
      <c r="BE193" s="21">
        <v>1</v>
      </c>
      <c r="BF193" s="21">
        <v>1</v>
      </c>
      <c r="BG193" s="21">
        <v>1</v>
      </c>
      <c r="BH193" s="21">
        <v>1</v>
      </c>
      <c r="BI193">
        <v>-1</v>
      </c>
      <c r="BJ193">
        <v>-1</v>
      </c>
      <c r="BK193">
        <v>-1</v>
      </c>
    </row>
    <row r="194" spans="1:63" x14ac:dyDescent="0.3">
      <c r="A194" t="s">
        <v>698</v>
      </c>
      <c r="B194">
        <f t="shared" si="8"/>
        <v>1.1111111111111112E-2</v>
      </c>
      <c r="C194" s="2">
        <f>'vehicles specifications'!S60</f>
        <v>81</v>
      </c>
      <c r="D194">
        <f t="shared" si="8"/>
        <v>1.1111111111111112E-2</v>
      </c>
      <c r="F194">
        <f>1+'vehicles specifications'!AD60</f>
        <v>1</v>
      </c>
      <c r="G194">
        <f>1+'vehicles specifications'!AD60</f>
        <v>1</v>
      </c>
      <c r="H194">
        <v>1</v>
      </c>
      <c r="I194">
        <v>1</v>
      </c>
      <c r="K194">
        <f>1/('fuels and tailpipe emissions'!$C$3*3.6)</f>
        <v>2.358490566037736E-2</v>
      </c>
      <c r="L194" s="21">
        <f t="shared" si="7"/>
        <v>0.30555555555555558</v>
      </c>
      <c r="M194">
        <f>1/'vehicles specifications'!J60</f>
        <v>1.6103059581320449E-5</v>
      </c>
      <c r="N194" s="21">
        <v>1</v>
      </c>
      <c r="O194">
        <f>1</f>
        <v>1</v>
      </c>
      <c r="P194">
        <v>-1</v>
      </c>
      <c r="Q194">
        <v>-1</v>
      </c>
      <c r="R194">
        <f>-1-'vehicles specifications'!AD60</f>
        <v>-1</v>
      </c>
      <c r="S194">
        <v>1</v>
      </c>
      <c r="T194">
        <v>1</v>
      </c>
      <c r="U194">
        <v>1</v>
      </c>
      <c r="V194">
        <v>1</v>
      </c>
      <c r="W194">
        <v>1</v>
      </c>
      <c r="X194">
        <v>1</v>
      </c>
      <c r="Y194">
        <v>1</v>
      </c>
      <c r="Z194">
        <v>1</v>
      </c>
      <c r="AA194">
        <v>1</v>
      </c>
      <c r="AB194">
        <v>1</v>
      </c>
      <c r="AC194" s="21">
        <v>1</v>
      </c>
      <c r="AD194" s="21">
        <v>1</v>
      </c>
      <c r="AE194" s="21">
        <v>1</v>
      </c>
      <c r="AF194" s="21">
        <v>1</v>
      </c>
      <c r="AG194" s="21">
        <v>1</v>
      </c>
      <c r="AH194" s="21">
        <v>1</v>
      </c>
      <c r="AI194" s="21">
        <v>1</v>
      </c>
      <c r="AJ194" s="21">
        <v>1</v>
      </c>
      <c r="AK194" s="21">
        <v>1</v>
      </c>
      <c r="AL194" s="21">
        <v>1</v>
      </c>
      <c r="AM194" s="21">
        <v>1</v>
      </c>
      <c r="AN194" s="21">
        <v>1</v>
      </c>
      <c r="AO194" s="21">
        <v>1</v>
      </c>
      <c r="AP194" s="21">
        <v>1</v>
      </c>
      <c r="AQ194" s="21">
        <v>1</v>
      </c>
      <c r="AR194" s="21">
        <v>1</v>
      </c>
      <c r="AS194" s="21">
        <v>1</v>
      </c>
      <c r="AT194" s="21">
        <v>1</v>
      </c>
      <c r="AU194" s="21">
        <v>1</v>
      </c>
      <c r="AV194" s="21">
        <v>1</v>
      </c>
      <c r="AW194" s="21">
        <v>1</v>
      </c>
      <c r="AX194" s="21">
        <v>1</v>
      </c>
      <c r="AY194" s="21">
        <v>1</v>
      </c>
      <c r="AZ194" s="21">
        <v>1</v>
      </c>
      <c r="BA194" s="21">
        <v>1</v>
      </c>
      <c r="BB194" s="21">
        <v>1</v>
      </c>
      <c r="BC194" s="21">
        <v>1</v>
      </c>
      <c r="BD194" s="21">
        <v>1</v>
      </c>
      <c r="BE194" s="21">
        <v>1</v>
      </c>
      <c r="BF194" s="21">
        <v>1</v>
      </c>
      <c r="BG194" s="21">
        <v>1</v>
      </c>
      <c r="BH194" s="21">
        <v>1</v>
      </c>
      <c r="BI194">
        <v>-1</v>
      </c>
      <c r="BJ194">
        <v>-1</v>
      </c>
      <c r="BK194">
        <v>-1</v>
      </c>
    </row>
    <row r="195" spans="1:63" x14ac:dyDescent="0.3">
      <c r="A195" t="s">
        <v>699</v>
      </c>
      <c r="B195">
        <f t="shared" si="8"/>
        <v>1.1111111111111112E-2</v>
      </c>
      <c r="C195" s="2">
        <f>'vehicles specifications'!S61</f>
        <v>81</v>
      </c>
      <c r="D195">
        <f t="shared" si="8"/>
        <v>1.1111111111111112E-2</v>
      </c>
      <c r="F195">
        <f>1+'vehicles specifications'!AD61</f>
        <v>1</v>
      </c>
      <c r="G195">
        <f>1+'vehicles specifications'!AD61</f>
        <v>1</v>
      </c>
      <c r="H195">
        <v>1</v>
      </c>
      <c r="I195">
        <v>1</v>
      </c>
      <c r="K195">
        <f>1/('fuels and tailpipe emissions'!$C$3*3.6)</f>
        <v>2.358490566037736E-2</v>
      </c>
      <c r="L195" s="21">
        <f t="shared" si="7"/>
        <v>0.30555555555555558</v>
      </c>
      <c r="M195">
        <f>1/'vehicles specifications'!J61</f>
        <v>1.6103059581320449E-5</v>
      </c>
      <c r="N195" s="21">
        <v>1</v>
      </c>
      <c r="O195">
        <f>1</f>
        <v>1</v>
      </c>
      <c r="P195">
        <v>-1</v>
      </c>
      <c r="Q195">
        <v>-1</v>
      </c>
      <c r="R195">
        <f>-1-'vehicles specifications'!AD61</f>
        <v>-1</v>
      </c>
      <c r="S195">
        <v>1</v>
      </c>
      <c r="T195">
        <v>1</v>
      </c>
      <c r="U195">
        <v>1</v>
      </c>
      <c r="V195">
        <v>1</v>
      </c>
      <c r="W195">
        <v>1</v>
      </c>
      <c r="X195">
        <v>1</v>
      </c>
      <c r="Y195">
        <v>1</v>
      </c>
      <c r="Z195">
        <v>1</v>
      </c>
      <c r="AA195">
        <v>1</v>
      </c>
      <c r="AB195">
        <v>1</v>
      </c>
      <c r="AC195" s="21">
        <v>1</v>
      </c>
      <c r="AD195" s="21">
        <v>1</v>
      </c>
      <c r="AE195" s="21">
        <v>1</v>
      </c>
      <c r="AF195" s="21">
        <v>1</v>
      </c>
      <c r="AG195" s="21">
        <v>1</v>
      </c>
      <c r="AH195" s="21">
        <v>1</v>
      </c>
      <c r="AI195" s="21">
        <v>1</v>
      </c>
      <c r="AJ195" s="21">
        <v>1</v>
      </c>
      <c r="AK195" s="21">
        <v>1</v>
      </c>
      <c r="AL195" s="21">
        <v>1</v>
      </c>
      <c r="AM195" s="21">
        <v>1</v>
      </c>
      <c r="AN195" s="21">
        <v>1</v>
      </c>
      <c r="AO195" s="21">
        <v>1</v>
      </c>
      <c r="AP195" s="21">
        <v>1</v>
      </c>
      <c r="AQ195" s="21">
        <v>1</v>
      </c>
      <c r="AR195" s="21">
        <v>1</v>
      </c>
      <c r="AS195" s="21">
        <v>1</v>
      </c>
      <c r="AT195" s="21">
        <v>1</v>
      </c>
      <c r="AU195" s="21">
        <v>1</v>
      </c>
      <c r="AV195" s="21">
        <v>1</v>
      </c>
      <c r="AW195" s="21">
        <v>1</v>
      </c>
      <c r="AX195" s="21">
        <v>1</v>
      </c>
      <c r="AY195" s="21">
        <v>1</v>
      </c>
      <c r="AZ195" s="21">
        <v>1</v>
      </c>
      <c r="BA195" s="21">
        <v>1</v>
      </c>
      <c r="BB195" s="21">
        <v>1</v>
      </c>
      <c r="BC195" s="21">
        <v>1</v>
      </c>
      <c r="BD195" s="21">
        <v>1</v>
      </c>
      <c r="BE195" s="21">
        <v>1</v>
      </c>
      <c r="BF195" s="21">
        <v>1</v>
      </c>
      <c r="BG195" s="21">
        <v>1</v>
      </c>
      <c r="BH195" s="21">
        <v>1</v>
      </c>
      <c r="BI195">
        <v>-1</v>
      </c>
      <c r="BJ195">
        <v>-1</v>
      </c>
      <c r="BK195">
        <v>-1</v>
      </c>
    </row>
    <row r="196" spans="1:63" x14ac:dyDescent="0.3">
      <c r="A196" t="s">
        <v>700</v>
      </c>
      <c r="B196">
        <f t="shared" si="8"/>
        <v>1.1111111111111112E-2</v>
      </c>
      <c r="C196" s="2">
        <f>'vehicles specifications'!S62</f>
        <v>81</v>
      </c>
      <c r="D196">
        <f t="shared" si="8"/>
        <v>1.1111111111111112E-2</v>
      </c>
      <c r="F196">
        <f>1+'vehicles specifications'!AD62</f>
        <v>1</v>
      </c>
      <c r="G196">
        <f>1+'vehicles specifications'!AD62</f>
        <v>1</v>
      </c>
      <c r="H196">
        <v>1</v>
      </c>
      <c r="I196">
        <v>1</v>
      </c>
      <c r="K196">
        <f>1/('fuels and tailpipe emissions'!$C$3*3.6)</f>
        <v>2.358490566037736E-2</v>
      </c>
      <c r="L196" s="21">
        <f t="shared" si="7"/>
        <v>0.30555555555555558</v>
      </c>
      <c r="M196">
        <f>1/'vehicles specifications'!J62</f>
        <v>1.6103059581320449E-5</v>
      </c>
      <c r="N196" s="21">
        <v>1</v>
      </c>
      <c r="O196">
        <f>1</f>
        <v>1</v>
      </c>
      <c r="P196">
        <v>-1</v>
      </c>
      <c r="Q196">
        <v>-1</v>
      </c>
      <c r="R196">
        <f>-1-'vehicles specifications'!AD62</f>
        <v>-1</v>
      </c>
      <c r="S196">
        <v>1</v>
      </c>
      <c r="T196">
        <v>1</v>
      </c>
      <c r="U196">
        <v>1</v>
      </c>
      <c r="V196">
        <v>1</v>
      </c>
      <c r="W196">
        <v>1</v>
      </c>
      <c r="X196">
        <v>1</v>
      </c>
      <c r="Y196">
        <v>1</v>
      </c>
      <c r="Z196">
        <v>1</v>
      </c>
      <c r="AA196">
        <v>1</v>
      </c>
      <c r="AB196">
        <v>1</v>
      </c>
      <c r="AC196" s="21">
        <v>1</v>
      </c>
      <c r="AD196" s="21">
        <v>1</v>
      </c>
      <c r="AE196" s="21">
        <v>1</v>
      </c>
      <c r="AF196" s="21">
        <v>1</v>
      </c>
      <c r="AG196" s="21">
        <v>1</v>
      </c>
      <c r="AH196" s="21">
        <v>1</v>
      </c>
      <c r="AI196" s="21">
        <v>1</v>
      </c>
      <c r="AJ196" s="21">
        <v>1</v>
      </c>
      <c r="AK196" s="21">
        <v>1</v>
      </c>
      <c r="AL196" s="21">
        <v>1</v>
      </c>
      <c r="AM196" s="21">
        <v>1</v>
      </c>
      <c r="AN196" s="21">
        <v>1</v>
      </c>
      <c r="AO196" s="21">
        <v>1</v>
      </c>
      <c r="AP196" s="21">
        <v>1</v>
      </c>
      <c r="AQ196" s="21">
        <v>1</v>
      </c>
      <c r="AR196" s="21">
        <v>1</v>
      </c>
      <c r="AS196" s="21">
        <v>1</v>
      </c>
      <c r="AT196" s="21">
        <v>1</v>
      </c>
      <c r="AU196" s="21">
        <v>1</v>
      </c>
      <c r="AV196" s="21">
        <v>1</v>
      </c>
      <c r="AW196" s="21">
        <v>1</v>
      </c>
      <c r="AX196" s="21">
        <v>1</v>
      </c>
      <c r="AY196" s="21">
        <v>1</v>
      </c>
      <c r="AZ196" s="21">
        <v>1</v>
      </c>
      <c r="BA196" s="21">
        <v>1</v>
      </c>
      <c r="BB196" s="21">
        <v>1</v>
      </c>
      <c r="BC196" s="21">
        <v>1</v>
      </c>
      <c r="BD196" s="21">
        <v>1</v>
      </c>
      <c r="BE196" s="21">
        <v>1</v>
      </c>
      <c r="BF196" s="21">
        <v>1</v>
      </c>
      <c r="BG196" s="21">
        <v>1</v>
      </c>
      <c r="BH196" s="21">
        <v>1</v>
      </c>
      <c r="BI196">
        <v>-1</v>
      </c>
      <c r="BJ196">
        <v>-1</v>
      </c>
      <c r="BK196">
        <v>-1</v>
      </c>
    </row>
    <row r="197" spans="1:63" x14ac:dyDescent="0.3">
      <c r="A197" t="s">
        <v>701</v>
      </c>
      <c r="B197">
        <f t="shared" si="8"/>
        <v>1.1111111111111112E-2</v>
      </c>
      <c r="C197" s="2">
        <f>'vehicles specifications'!S63</f>
        <v>81</v>
      </c>
      <c r="D197">
        <f t="shared" si="8"/>
        <v>1.1111111111111112E-2</v>
      </c>
      <c r="F197">
        <f>1+'vehicles specifications'!AD63</f>
        <v>1</v>
      </c>
      <c r="G197">
        <f>1+'vehicles specifications'!AD63</f>
        <v>1</v>
      </c>
      <c r="H197">
        <v>1</v>
      </c>
      <c r="I197">
        <v>1</v>
      </c>
      <c r="K197">
        <f>1/('fuels and tailpipe emissions'!$C$3*3.6)</f>
        <v>2.358490566037736E-2</v>
      </c>
      <c r="L197" s="21">
        <f t="shared" si="7"/>
        <v>0.30555555555555558</v>
      </c>
      <c r="M197">
        <f>1/'vehicles specifications'!J63</f>
        <v>1.6103059581320449E-5</v>
      </c>
      <c r="N197" s="21">
        <v>1</v>
      </c>
      <c r="O197">
        <f>1</f>
        <v>1</v>
      </c>
      <c r="P197">
        <v>-1</v>
      </c>
      <c r="Q197">
        <v>-1</v>
      </c>
      <c r="R197">
        <f>-1-'vehicles specifications'!AD63</f>
        <v>-1</v>
      </c>
      <c r="S197">
        <v>1</v>
      </c>
      <c r="T197">
        <v>1</v>
      </c>
      <c r="U197">
        <v>1</v>
      </c>
      <c r="V197">
        <v>1</v>
      </c>
      <c r="W197">
        <v>1</v>
      </c>
      <c r="X197">
        <v>1</v>
      </c>
      <c r="Y197">
        <v>1</v>
      </c>
      <c r="Z197">
        <v>1</v>
      </c>
      <c r="AA197">
        <v>1</v>
      </c>
      <c r="AB197">
        <v>1</v>
      </c>
      <c r="AC197" s="21">
        <v>1</v>
      </c>
      <c r="AD197" s="21">
        <v>1</v>
      </c>
      <c r="AE197" s="21">
        <v>1</v>
      </c>
      <c r="AF197" s="21">
        <v>1</v>
      </c>
      <c r="AG197" s="21">
        <v>1</v>
      </c>
      <c r="AH197" s="21">
        <v>1</v>
      </c>
      <c r="AI197" s="21">
        <v>1</v>
      </c>
      <c r="AJ197" s="21">
        <v>1</v>
      </c>
      <c r="AK197" s="21">
        <v>1</v>
      </c>
      <c r="AL197" s="21">
        <v>1</v>
      </c>
      <c r="AM197" s="21">
        <v>1</v>
      </c>
      <c r="AN197" s="21">
        <v>1</v>
      </c>
      <c r="AO197" s="21">
        <v>1</v>
      </c>
      <c r="AP197" s="21">
        <v>1</v>
      </c>
      <c r="AQ197" s="21">
        <v>1</v>
      </c>
      <c r="AR197" s="21">
        <v>1</v>
      </c>
      <c r="AS197" s="21">
        <v>1</v>
      </c>
      <c r="AT197" s="21">
        <v>1</v>
      </c>
      <c r="AU197" s="21">
        <v>1</v>
      </c>
      <c r="AV197" s="21">
        <v>1</v>
      </c>
      <c r="AW197" s="21">
        <v>1</v>
      </c>
      <c r="AX197" s="21">
        <v>1</v>
      </c>
      <c r="AY197" s="21">
        <v>1</v>
      </c>
      <c r="AZ197" s="21">
        <v>1</v>
      </c>
      <c r="BA197" s="21">
        <v>1</v>
      </c>
      <c r="BB197" s="21">
        <v>1</v>
      </c>
      <c r="BC197" s="21">
        <v>1</v>
      </c>
      <c r="BD197" s="21">
        <v>1</v>
      </c>
      <c r="BE197" s="21">
        <v>1</v>
      </c>
      <c r="BF197" s="21">
        <v>1</v>
      </c>
      <c r="BG197" s="21">
        <v>1</v>
      </c>
      <c r="BH197" s="21">
        <v>1</v>
      </c>
      <c r="BI197">
        <v>-1</v>
      </c>
      <c r="BJ197">
        <v>-1</v>
      </c>
      <c r="BK197">
        <v>-1</v>
      </c>
    </row>
    <row r="198" spans="1:63" x14ac:dyDescent="0.3">
      <c r="A198" t="s">
        <v>702</v>
      </c>
      <c r="B198">
        <f t="shared" si="8"/>
        <v>1.1111111111111112E-2</v>
      </c>
      <c r="C198" s="2">
        <f>'vehicles specifications'!S64</f>
        <v>81</v>
      </c>
      <c r="D198">
        <f t="shared" si="8"/>
        <v>1.1111111111111112E-2</v>
      </c>
      <c r="F198">
        <f>1+'vehicles specifications'!AD64</f>
        <v>1</v>
      </c>
      <c r="G198">
        <f>1+'vehicles specifications'!AD64</f>
        <v>1</v>
      </c>
      <c r="H198">
        <v>1</v>
      </c>
      <c r="I198">
        <v>1</v>
      </c>
      <c r="K198">
        <f>1/('fuels and tailpipe emissions'!$C$3*3.6)</f>
        <v>2.358490566037736E-2</v>
      </c>
      <c r="L198" s="21">
        <f t="shared" si="7"/>
        <v>0.30555555555555558</v>
      </c>
      <c r="M198">
        <f>1/'vehicles specifications'!J64</f>
        <v>1.6103059581320449E-5</v>
      </c>
      <c r="N198" s="21">
        <v>1</v>
      </c>
      <c r="O198">
        <f>1</f>
        <v>1</v>
      </c>
      <c r="P198">
        <v>-1</v>
      </c>
      <c r="Q198">
        <v>-1</v>
      </c>
      <c r="R198">
        <f>-1-'vehicles specifications'!AD64</f>
        <v>-1</v>
      </c>
      <c r="S198">
        <v>1</v>
      </c>
      <c r="T198">
        <v>1</v>
      </c>
      <c r="U198">
        <v>1</v>
      </c>
      <c r="V198">
        <v>1</v>
      </c>
      <c r="W198">
        <v>1</v>
      </c>
      <c r="X198">
        <v>1</v>
      </c>
      <c r="Y198">
        <v>1</v>
      </c>
      <c r="Z198">
        <v>1</v>
      </c>
      <c r="AA198">
        <v>1</v>
      </c>
      <c r="AB198">
        <v>1</v>
      </c>
      <c r="AC198" s="21">
        <v>1</v>
      </c>
      <c r="AD198" s="21">
        <v>1</v>
      </c>
      <c r="AE198" s="21">
        <v>1</v>
      </c>
      <c r="AF198" s="21">
        <v>1</v>
      </c>
      <c r="AG198" s="21">
        <v>1</v>
      </c>
      <c r="AH198" s="21">
        <v>1</v>
      </c>
      <c r="AI198" s="21">
        <v>1</v>
      </c>
      <c r="AJ198" s="21">
        <v>1</v>
      </c>
      <c r="AK198" s="21">
        <v>1</v>
      </c>
      <c r="AL198" s="21">
        <v>1</v>
      </c>
      <c r="AM198" s="21">
        <v>1</v>
      </c>
      <c r="AN198" s="21">
        <v>1</v>
      </c>
      <c r="AO198" s="21">
        <v>1</v>
      </c>
      <c r="AP198" s="21">
        <v>1</v>
      </c>
      <c r="AQ198" s="21">
        <v>1</v>
      </c>
      <c r="AR198" s="21">
        <v>1</v>
      </c>
      <c r="AS198" s="21">
        <v>1</v>
      </c>
      <c r="AT198" s="21">
        <v>1</v>
      </c>
      <c r="AU198" s="21">
        <v>1</v>
      </c>
      <c r="AV198" s="21">
        <v>1</v>
      </c>
      <c r="AW198" s="21">
        <v>1</v>
      </c>
      <c r="AX198" s="21">
        <v>1</v>
      </c>
      <c r="AY198" s="21">
        <v>1</v>
      </c>
      <c r="AZ198" s="21">
        <v>1</v>
      </c>
      <c r="BA198" s="21">
        <v>1</v>
      </c>
      <c r="BB198" s="21">
        <v>1</v>
      </c>
      <c r="BC198" s="21">
        <v>1</v>
      </c>
      <c r="BD198" s="21">
        <v>1</v>
      </c>
      <c r="BE198" s="21">
        <v>1</v>
      </c>
      <c r="BF198" s="21">
        <v>1</v>
      </c>
      <c r="BG198" s="21">
        <v>1</v>
      </c>
      <c r="BH198" s="21">
        <v>1</v>
      </c>
      <c r="BI198">
        <v>-1</v>
      </c>
      <c r="BJ198">
        <v>-1</v>
      </c>
      <c r="BK198">
        <v>-1</v>
      </c>
    </row>
    <row r="199" spans="1:63" x14ac:dyDescent="0.3">
      <c r="A199" t="s">
        <v>706</v>
      </c>
      <c r="B199">
        <f t="shared" si="8"/>
        <v>1.1111111111111112E-2</v>
      </c>
      <c r="C199" s="2">
        <f>'vehicles specifications'!S65</f>
        <v>111</v>
      </c>
      <c r="D199">
        <f t="shared" si="8"/>
        <v>1.1111111111111112E-2</v>
      </c>
      <c r="F199">
        <f>1+'vehicles specifications'!AD65</f>
        <v>1</v>
      </c>
      <c r="G199">
        <f>1+'vehicles specifications'!AD65</f>
        <v>1</v>
      </c>
      <c r="H199">
        <v>1</v>
      </c>
      <c r="I199">
        <v>1</v>
      </c>
      <c r="K199">
        <f>1/('fuels and tailpipe emissions'!$C$3*3.6)</f>
        <v>2.358490566037736E-2</v>
      </c>
      <c r="L199" s="21">
        <f t="shared" si="7"/>
        <v>0.30555555555555558</v>
      </c>
      <c r="M199">
        <f>1/'vehicles specifications'!J65</f>
        <v>1.6103059581320449E-5</v>
      </c>
      <c r="N199" s="21">
        <v>1</v>
      </c>
      <c r="O199">
        <f>1</f>
        <v>1</v>
      </c>
      <c r="P199">
        <v>-1</v>
      </c>
      <c r="Q199">
        <v>-1</v>
      </c>
      <c r="R199">
        <f>-1-'vehicles specifications'!AD65</f>
        <v>-1</v>
      </c>
      <c r="S199">
        <v>1</v>
      </c>
      <c r="T199">
        <v>1</v>
      </c>
      <c r="U199">
        <v>1</v>
      </c>
      <c r="V199">
        <v>1</v>
      </c>
      <c r="W199">
        <v>1</v>
      </c>
      <c r="X199">
        <v>1</v>
      </c>
      <c r="Y199">
        <v>1</v>
      </c>
      <c r="Z199">
        <v>1</v>
      </c>
      <c r="AA199">
        <v>1</v>
      </c>
      <c r="AB199">
        <v>1</v>
      </c>
      <c r="AC199" s="21">
        <v>1</v>
      </c>
      <c r="AD199" s="21">
        <v>1</v>
      </c>
      <c r="AE199" s="21">
        <v>1</v>
      </c>
      <c r="AF199" s="21">
        <v>1</v>
      </c>
      <c r="AG199" s="21">
        <v>1</v>
      </c>
      <c r="AH199" s="21">
        <v>1</v>
      </c>
      <c r="AI199" s="21">
        <v>1</v>
      </c>
      <c r="AJ199" s="21">
        <v>1</v>
      </c>
      <c r="AK199" s="21">
        <v>1</v>
      </c>
      <c r="AL199" s="21">
        <v>1</v>
      </c>
      <c r="AM199" s="21">
        <v>1</v>
      </c>
      <c r="AN199" s="21">
        <v>1</v>
      </c>
      <c r="AO199" s="21">
        <v>1</v>
      </c>
      <c r="AP199" s="21">
        <v>1</v>
      </c>
      <c r="AQ199" s="21">
        <v>1</v>
      </c>
      <c r="AR199" s="21">
        <v>1</v>
      </c>
      <c r="AS199" s="21">
        <v>1</v>
      </c>
      <c r="AT199" s="21">
        <v>1</v>
      </c>
      <c r="AU199" s="21">
        <v>1</v>
      </c>
      <c r="AV199" s="21">
        <v>1</v>
      </c>
      <c r="AW199" s="21">
        <v>1</v>
      </c>
      <c r="AX199" s="21">
        <v>1</v>
      </c>
      <c r="AY199" s="21">
        <v>1</v>
      </c>
      <c r="AZ199" s="21">
        <v>1</v>
      </c>
      <c r="BA199" s="21">
        <v>1</v>
      </c>
      <c r="BB199" s="21">
        <v>1</v>
      </c>
      <c r="BC199" s="21">
        <v>1</v>
      </c>
      <c r="BD199" s="21">
        <v>1</v>
      </c>
      <c r="BE199" s="21">
        <v>1</v>
      </c>
      <c r="BF199" s="21">
        <v>1</v>
      </c>
      <c r="BG199" s="21">
        <v>1</v>
      </c>
      <c r="BH199" s="21">
        <v>1</v>
      </c>
      <c r="BI199">
        <v>-1</v>
      </c>
      <c r="BJ199">
        <v>-1</v>
      </c>
      <c r="BK199">
        <v>-1</v>
      </c>
    </row>
    <row r="200" spans="1:63" x14ac:dyDescent="0.3">
      <c r="A200" t="s">
        <v>707</v>
      </c>
      <c r="B200">
        <f t="shared" si="8"/>
        <v>1.1111111111111112E-2</v>
      </c>
      <c r="C200" s="2">
        <f>'vehicles specifications'!S66</f>
        <v>111</v>
      </c>
      <c r="D200">
        <f t="shared" si="8"/>
        <v>1.1111111111111112E-2</v>
      </c>
      <c r="F200">
        <f>1+'vehicles specifications'!AD66</f>
        <v>1</v>
      </c>
      <c r="G200">
        <f>1+'vehicles specifications'!AD66</f>
        <v>1</v>
      </c>
      <c r="H200">
        <v>1</v>
      </c>
      <c r="I200">
        <v>1</v>
      </c>
      <c r="K200">
        <f>1/('fuels and tailpipe emissions'!$C$3*3.6)</f>
        <v>2.358490566037736E-2</v>
      </c>
      <c r="L200" s="21">
        <f t="shared" si="7"/>
        <v>0.30555555555555558</v>
      </c>
      <c r="M200">
        <f>1/'vehicles specifications'!J66</f>
        <v>1.6103059581320449E-5</v>
      </c>
      <c r="N200" s="21">
        <v>1</v>
      </c>
      <c r="O200">
        <f>1</f>
        <v>1</v>
      </c>
      <c r="P200">
        <v>-1</v>
      </c>
      <c r="Q200">
        <v>-1</v>
      </c>
      <c r="R200">
        <f>-1-'vehicles specifications'!AD66</f>
        <v>-1</v>
      </c>
      <c r="S200">
        <v>1</v>
      </c>
      <c r="T200">
        <v>1</v>
      </c>
      <c r="U200">
        <v>1</v>
      </c>
      <c r="V200">
        <v>1</v>
      </c>
      <c r="W200">
        <v>1</v>
      </c>
      <c r="X200">
        <v>1</v>
      </c>
      <c r="Y200">
        <v>1</v>
      </c>
      <c r="Z200">
        <v>1</v>
      </c>
      <c r="AA200">
        <v>1</v>
      </c>
      <c r="AB200">
        <v>1</v>
      </c>
      <c r="AC200" s="21">
        <v>1</v>
      </c>
      <c r="AD200" s="21">
        <v>1</v>
      </c>
      <c r="AE200" s="21">
        <v>1</v>
      </c>
      <c r="AF200" s="21">
        <v>1</v>
      </c>
      <c r="AG200" s="21">
        <v>1</v>
      </c>
      <c r="AH200" s="21">
        <v>1</v>
      </c>
      <c r="AI200" s="21">
        <v>1</v>
      </c>
      <c r="AJ200" s="21">
        <v>1</v>
      </c>
      <c r="AK200" s="21">
        <v>1</v>
      </c>
      <c r="AL200" s="21">
        <v>1</v>
      </c>
      <c r="AM200" s="21">
        <v>1</v>
      </c>
      <c r="AN200" s="21">
        <v>1</v>
      </c>
      <c r="AO200" s="21">
        <v>1</v>
      </c>
      <c r="AP200" s="21">
        <v>1</v>
      </c>
      <c r="AQ200" s="21">
        <v>1</v>
      </c>
      <c r="AR200" s="21">
        <v>1</v>
      </c>
      <c r="AS200" s="21">
        <v>1</v>
      </c>
      <c r="AT200" s="21">
        <v>1</v>
      </c>
      <c r="AU200" s="21">
        <v>1</v>
      </c>
      <c r="AV200" s="21">
        <v>1</v>
      </c>
      <c r="AW200" s="21">
        <v>1</v>
      </c>
      <c r="AX200" s="21">
        <v>1</v>
      </c>
      <c r="AY200" s="21">
        <v>1</v>
      </c>
      <c r="AZ200" s="21">
        <v>1</v>
      </c>
      <c r="BA200" s="21">
        <v>1</v>
      </c>
      <c r="BB200" s="21">
        <v>1</v>
      </c>
      <c r="BC200" s="21">
        <v>1</v>
      </c>
      <c r="BD200" s="21">
        <v>1</v>
      </c>
      <c r="BE200" s="21">
        <v>1</v>
      </c>
      <c r="BF200" s="21">
        <v>1</v>
      </c>
      <c r="BG200" s="21">
        <v>1</v>
      </c>
      <c r="BH200" s="21">
        <v>1</v>
      </c>
      <c r="BI200">
        <v>-1</v>
      </c>
      <c r="BJ200">
        <v>-1</v>
      </c>
      <c r="BK200">
        <v>-1</v>
      </c>
    </row>
    <row r="201" spans="1:63" x14ac:dyDescent="0.3">
      <c r="A201" t="s">
        <v>708</v>
      </c>
      <c r="B201">
        <f t="shared" si="8"/>
        <v>1.1111111111111112E-2</v>
      </c>
      <c r="C201" s="2">
        <f>'vehicles specifications'!S67</f>
        <v>111</v>
      </c>
      <c r="D201">
        <f t="shared" si="8"/>
        <v>1.1111111111111112E-2</v>
      </c>
      <c r="F201">
        <f>1+'vehicles specifications'!AD67</f>
        <v>1</v>
      </c>
      <c r="G201">
        <f>1+'vehicles specifications'!AD67</f>
        <v>1</v>
      </c>
      <c r="H201">
        <v>1</v>
      </c>
      <c r="I201">
        <v>1</v>
      </c>
      <c r="K201">
        <f>1/('fuels and tailpipe emissions'!$C$3*3.6)</f>
        <v>2.358490566037736E-2</v>
      </c>
      <c r="L201" s="21">
        <f t="shared" si="7"/>
        <v>0.30555555555555558</v>
      </c>
      <c r="M201">
        <f>1/'vehicles specifications'!J67</f>
        <v>1.6103059581320449E-5</v>
      </c>
      <c r="N201" s="21">
        <v>1</v>
      </c>
      <c r="O201">
        <f>1</f>
        <v>1</v>
      </c>
      <c r="P201">
        <v>-1</v>
      </c>
      <c r="Q201">
        <v>-1</v>
      </c>
      <c r="R201">
        <f>-1-'vehicles specifications'!AD67</f>
        <v>-1</v>
      </c>
      <c r="S201">
        <v>1</v>
      </c>
      <c r="T201">
        <v>1</v>
      </c>
      <c r="U201">
        <v>1</v>
      </c>
      <c r="V201">
        <v>1</v>
      </c>
      <c r="W201">
        <v>1</v>
      </c>
      <c r="X201">
        <v>1</v>
      </c>
      <c r="Y201">
        <v>1</v>
      </c>
      <c r="Z201">
        <v>1</v>
      </c>
      <c r="AA201">
        <v>1</v>
      </c>
      <c r="AB201">
        <v>1</v>
      </c>
      <c r="AC201" s="21">
        <v>1</v>
      </c>
      <c r="AD201" s="21">
        <v>1</v>
      </c>
      <c r="AE201" s="21">
        <v>1</v>
      </c>
      <c r="AF201" s="21">
        <v>1</v>
      </c>
      <c r="AG201" s="21">
        <v>1</v>
      </c>
      <c r="AH201" s="21">
        <v>1</v>
      </c>
      <c r="AI201" s="21">
        <v>1</v>
      </c>
      <c r="AJ201" s="21">
        <v>1</v>
      </c>
      <c r="AK201" s="21">
        <v>1</v>
      </c>
      <c r="AL201" s="21">
        <v>1</v>
      </c>
      <c r="AM201" s="21">
        <v>1</v>
      </c>
      <c r="AN201" s="21">
        <v>1</v>
      </c>
      <c r="AO201" s="21">
        <v>1</v>
      </c>
      <c r="AP201" s="21">
        <v>1</v>
      </c>
      <c r="AQ201" s="21">
        <v>1</v>
      </c>
      <c r="AR201" s="21">
        <v>1</v>
      </c>
      <c r="AS201" s="21">
        <v>1</v>
      </c>
      <c r="AT201" s="21">
        <v>1</v>
      </c>
      <c r="AU201" s="21">
        <v>1</v>
      </c>
      <c r="AV201" s="21">
        <v>1</v>
      </c>
      <c r="AW201" s="21">
        <v>1</v>
      </c>
      <c r="AX201" s="21">
        <v>1</v>
      </c>
      <c r="AY201" s="21">
        <v>1</v>
      </c>
      <c r="AZ201" s="21">
        <v>1</v>
      </c>
      <c r="BA201" s="21">
        <v>1</v>
      </c>
      <c r="BB201" s="21">
        <v>1</v>
      </c>
      <c r="BC201" s="21">
        <v>1</v>
      </c>
      <c r="BD201" s="21">
        <v>1</v>
      </c>
      <c r="BE201" s="21">
        <v>1</v>
      </c>
      <c r="BF201" s="21">
        <v>1</v>
      </c>
      <c r="BG201" s="21">
        <v>1</v>
      </c>
      <c r="BH201" s="21">
        <v>1</v>
      </c>
      <c r="BI201">
        <v>-1</v>
      </c>
      <c r="BJ201">
        <v>-1</v>
      </c>
      <c r="BK201">
        <v>-1</v>
      </c>
    </row>
    <row r="202" spans="1:63" x14ac:dyDescent="0.3">
      <c r="A202" t="s">
        <v>709</v>
      </c>
      <c r="B202">
        <f t="shared" si="8"/>
        <v>1.1111111111111112E-2</v>
      </c>
      <c r="C202" s="2">
        <f>'vehicles specifications'!S68</f>
        <v>111</v>
      </c>
      <c r="D202">
        <f t="shared" si="8"/>
        <v>1.1111111111111112E-2</v>
      </c>
      <c r="F202">
        <f>1+'vehicles specifications'!AD68</f>
        <v>1</v>
      </c>
      <c r="G202">
        <f>1+'vehicles specifications'!AD68</f>
        <v>1</v>
      </c>
      <c r="H202">
        <v>1</v>
      </c>
      <c r="I202">
        <v>1</v>
      </c>
      <c r="K202">
        <f>1/('fuels and tailpipe emissions'!$C$3*3.6)</f>
        <v>2.358490566037736E-2</v>
      </c>
      <c r="L202" s="21">
        <f t="shared" si="7"/>
        <v>0.30555555555555558</v>
      </c>
      <c r="M202">
        <f>1/'vehicles specifications'!J68</f>
        <v>1.6103059581320449E-5</v>
      </c>
      <c r="N202" s="21">
        <v>1</v>
      </c>
      <c r="O202">
        <f>1</f>
        <v>1</v>
      </c>
      <c r="P202">
        <v>-1</v>
      </c>
      <c r="Q202">
        <v>-1</v>
      </c>
      <c r="R202">
        <f>-1-'vehicles specifications'!AD68</f>
        <v>-1</v>
      </c>
      <c r="S202">
        <v>1</v>
      </c>
      <c r="T202">
        <v>1</v>
      </c>
      <c r="U202">
        <v>1</v>
      </c>
      <c r="V202">
        <v>1</v>
      </c>
      <c r="W202">
        <v>1</v>
      </c>
      <c r="X202">
        <v>1</v>
      </c>
      <c r="Y202">
        <v>1</v>
      </c>
      <c r="Z202">
        <v>1</v>
      </c>
      <c r="AA202">
        <v>1</v>
      </c>
      <c r="AB202">
        <v>1</v>
      </c>
      <c r="AC202" s="21">
        <v>1</v>
      </c>
      <c r="AD202" s="21">
        <v>1</v>
      </c>
      <c r="AE202" s="21">
        <v>1</v>
      </c>
      <c r="AF202" s="21">
        <v>1</v>
      </c>
      <c r="AG202" s="21">
        <v>1</v>
      </c>
      <c r="AH202" s="21">
        <v>1</v>
      </c>
      <c r="AI202" s="21">
        <v>1</v>
      </c>
      <c r="AJ202" s="21">
        <v>1</v>
      </c>
      <c r="AK202" s="21">
        <v>1</v>
      </c>
      <c r="AL202" s="21">
        <v>1</v>
      </c>
      <c r="AM202" s="21">
        <v>1</v>
      </c>
      <c r="AN202" s="21">
        <v>1</v>
      </c>
      <c r="AO202" s="21">
        <v>1</v>
      </c>
      <c r="AP202" s="21">
        <v>1</v>
      </c>
      <c r="AQ202" s="21">
        <v>1</v>
      </c>
      <c r="AR202" s="21">
        <v>1</v>
      </c>
      <c r="AS202" s="21">
        <v>1</v>
      </c>
      <c r="AT202" s="21">
        <v>1</v>
      </c>
      <c r="AU202" s="21">
        <v>1</v>
      </c>
      <c r="AV202" s="21">
        <v>1</v>
      </c>
      <c r="AW202" s="21">
        <v>1</v>
      </c>
      <c r="AX202" s="21">
        <v>1</v>
      </c>
      <c r="AY202" s="21">
        <v>1</v>
      </c>
      <c r="AZ202" s="21">
        <v>1</v>
      </c>
      <c r="BA202" s="21">
        <v>1</v>
      </c>
      <c r="BB202" s="21">
        <v>1</v>
      </c>
      <c r="BC202" s="21">
        <v>1</v>
      </c>
      <c r="BD202" s="21">
        <v>1</v>
      </c>
      <c r="BE202" s="21">
        <v>1</v>
      </c>
      <c r="BF202" s="21">
        <v>1</v>
      </c>
      <c r="BG202" s="21">
        <v>1</v>
      </c>
      <c r="BH202" s="21">
        <v>1</v>
      </c>
      <c r="BI202">
        <v>-1</v>
      </c>
      <c r="BJ202">
        <v>-1</v>
      </c>
      <c r="BK202">
        <v>-1</v>
      </c>
    </row>
    <row r="203" spans="1:63" x14ac:dyDescent="0.3">
      <c r="A203" t="s">
        <v>710</v>
      </c>
      <c r="B203">
        <f t="shared" si="8"/>
        <v>1.1111111111111112E-2</v>
      </c>
      <c r="C203" s="2">
        <f>'vehicles specifications'!S69</f>
        <v>111</v>
      </c>
      <c r="D203">
        <f t="shared" si="8"/>
        <v>1.1111111111111112E-2</v>
      </c>
      <c r="F203">
        <f>1+'vehicles specifications'!AD69</f>
        <v>1</v>
      </c>
      <c r="G203">
        <f>1+'vehicles specifications'!AD69</f>
        <v>1</v>
      </c>
      <c r="H203">
        <v>1</v>
      </c>
      <c r="I203">
        <v>1</v>
      </c>
      <c r="K203">
        <f>1/('fuels and tailpipe emissions'!$C$3*3.6)</f>
        <v>2.358490566037736E-2</v>
      </c>
      <c r="L203" s="21">
        <f t="shared" si="7"/>
        <v>0.30555555555555558</v>
      </c>
      <c r="M203">
        <f>1/'vehicles specifications'!J69</f>
        <v>1.6103059581320449E-5</v>
      </c>
      <c r="N203" s="21">
        <v>1</v>
      </c>
      <c r="O203">
        <f>1</f>
        <v>1</v>
      </c>
      <c r="P203">
        <v>-1</v>
      </c>
      <c r="Q203">
        <v>-1</v>
      </c>
      <c r="R203">
        <f>-1-'vehicles specifications'!AD69</f>
        <v>-1</v>
      </c>
      <c r="S203">
        <v>1</v>
      </c>
      <c r="T203">
        <v>1</v>
      </c>
      <c r="U203">
        <v>1</v>
      </c>
      <c r="V203">
        <v>1</v>
      </c>
      <c r="W203">
        <v>1</v>
      </c>
      <c r="X203">
        <v>1</v>
      </c>
      <c r="Y203">
        <v>1</v>
      </c>
      <c r="Z203">
        <v>1</v>
      </c>
      <c r="AA203">
        <v>1</v>
      </c>
      <c r="AB203">
        <v>1</v>
      </c>
      <c r="AC203" s="21">
        <v>1</v>
      </c>
      <c r="AD203" s="21">
        <v>1</v>
      </c>
      <c r="AE203" s="21">
        <v>1</v>
      </c>
      <c r="AF203" s="21">
        <v>1</v>
      </c>
      <c r="AG203" s="21">
        <v>1</v>
      </c>
      <c r="AH203" s="21">
        <v>1</v>
      </c>
      <c r="AI203" s="21">
        <v>1</v>
      </c>
      <c r="AJ203" s="21">
        <v>1</v>
      </c>
      <c r="AK203" s="21">
        <v>1</v>
      </c>
      <c r="AL203" s="21">
        <v>1</v>
      </c>
      <c r="AM203" s="21">
        <v>1</v>
      </c>
      <c r="AN203" s="21">
        <v>1</v>
      </c>
      <c r="AO203" s="21">
        <v>1</v>
      </c>
      <c r="AP203" s="21">
        <v>1</v>
      </c>
      <c r="AQ203" s="21">
        <v>1</v>
      </c>
      <c r="AR203" s="21">
        <v>1</v>
      </c>
      <c r="AS203" s="21">
        <v>1</v>
      </c>
      <c r="AT203" s="21">
        <v>1</v>
      </c>
      <c r="AU203" s="21">
        <v>1</v>
      </c>
      <c r="AV203" s="21">
        <v>1</v>
      </c>
      <c r="AW203" s="21">
        <v>1</v>
      </c>
      <c r="AX203" s="21">
        <v>1</v>
      </c>
      <c r="AY203" s="21">
        <v>1</v>
      </c>
      <c r="AZ203" s="21">
        <v>1</v>
      </c>
      <c r="BA203" s="21">
        <v>1</v>
      </c>
      <c r="BB203" s="21">
        <v>1</v>
      </c>
      <c r="BC203" s="21">
        <v>1</v>
      </c>
      <c r="BD203" s="21">
        <v>1</v>
      </c>
      <c r="BE203" s="21">
        <v>1</v>
      </c>
      <c r="BF203" s="21">
        <v>1</v>
      </c>
      <c r="BG203" s="21">
        <v>1</v>
      </c>
      <c r="BH203" s="21">
        <v>1</v>
      </c>
      <c r="BI203">
        <v>-1</v>
      </c>
      <c r="BJ203">
        <v>-1</v>
      </c>
      <c r="BK203">
        <v>-1</v>
      </c>
    </row>
    <row r="204" spans="1:63" x14ac:dyDescent="0.3">
      <c r="A204" t="s">
        <v>711</v>
      </c>
      <c r="B204">
        <f t="shared" si="8"/>
        <v>1.1111111111111112E-2</v>
      </c>
      <c r="C204" s="2">
        <f>'vehicles specifications'!S70</f>
        <v>111</v>
      </c>
      <c r="D204">
        <f t="shared" si="8"/>
        <v>1.1111111111111112E-2</v>
      </c>
      <c r="F204">
        <f>1+'vehicles specifications'!AD70</f>
        <v>1</v>
      </c>
      <c r="G204">
        <f>1+'vehicles specifications'!AD70</f>
        <v>1</v>
      </c>
      <c r="H204">
        <v>1</v>
      </c>
      <c r="I204">
        <v>1</v>
      </c>
      <c r="K204">
        <f>1/('fuels and tailpipe emissions'!$C$3*3.6)</f>
        <v>2.358490566037736E-2</v>
      </c>
      <c r="L204" s="21">
        <f t="shared" si="7"/>
        <v>0.30555555555555558</v>
      </c>
      <c r="M204">
        <f>1/'vehicles specifications'!J70</f>
        <v>1.6103059581320449E-5</v>
      </c>
      <c r="N204" s="21">
        <v>1</v>
      </c>
      <c r="O204">
        <f>1</f>
        <v>1</v>
      </c>
      <c r="P204">
        <v>-1</v>
      </c>
      <c r="Q204">
        <v>-1</v>
      </c>
      <c r="R204">
        <f>-1-'vehicles specifications'!AD70</f>
        <v>-1</v>
      </c>
      <c r="S204">
        <v>1</v>
      </c>
      <c r="T204">
        <v>1</v>
      </c>
      <c r="U204">
        <v>1</v>
      </c>
      <c r="V204">
        <v>1</v>
      </c>
      <c r="W204">
        <v>1</v>
      </c>
      <c r="X204">
        <v>1</v>
      </c>
      <c r="Y204">
        <v>1</v>
      </c>
      <c r="Z204">
        <v>1</v>
      </c>
      <c r="AA204">
        <v>1</v>
      </c>
      <c r="AB204">
        <v>1</v>
      </c>
      <c r="AC204" s="21">
        <v>1</v>
      </c>
      <c r="AD204" s="21">
        <v>1</v>
      </c>
      <c r="AE204" s="21">
        <v>1</v>
      </c>
      <c r="AF204" s="21">
        <v>1</v>
      </c>
      <c r="AG204" s="21">
        <v>1</v>
      </c>
      <c r="AH204" s="21">
        <v>1</v>
      </c>
      <c r="AI204" s="21">
        <v>1</v>
      </c>
      <c r="AJ204" s="21">
        <v>1</v>
      </c>
      <c r="AK204" s="21">
        <v>1</v>
      </c>
      <c r="AL204" s="21">
        <v>1</v>
      </c>
      <c r="AM204" s="21">
        <v>1</v>
      </c>
      <c r="AN204" s="21">
        <v>1</v>
      </c>
      <c r="AO204" s="21">
        <v>1</v>
      </c>
      <c r="AP204" s="21">
        <v>1</v>
      </c>
      <c r="AQ204" s="21">
        <v>1</v>
      </c>
      <c r="AR204" s="21">
        <v>1</v>
      </c>
      <c r="AS204" s="21">
        <v>1</v>
      </c>
      <c r="AT204" s="21">
        <v>1</v>
      </c>
      <c r="AU204" s="21">
        <v>1</v>
      </c>
      <c r="AV204" s="21">
        <v>1</v>
      </c>
      <c r="AW204" s="21">
        <v>1</v>
      </c>
      <c r="AX204" s="21">
        <v>1</v>
      </c>
      <c r="AY204" s="21">
        <v>1</v>
      </c>
      <c r="AZ204" s="21">
        <v>1</v>
      </c>
      <c r="BA204" s="21">
        <v>1</v>
      </c>
      <c r="BB204" s="21">
        <v>1</v>
      </c>
      <c r="BC204" s="21">
        <v>1</v>
      </c>
      <c r="BD204" s="21">
        <v>1</v>
      </c>
      <c r="BE204" s="21">
        <v>1</v>
      </c>
      <c r="BF204" s="21">
        <v>1</v>
      </c>
      <c r="BG204" s="21">
        <v>1</v>
      </c>
      <c r="BH204" s="21">
        <v>1</v>
      </c>
      <c r="BI204">
        <v>-1</v>
      </c>
      <c r="BJ204">
        <v>-1</v>
      </c>
      <c r="BK204">
        <v>-1</v>
      </c>
    </row>
    <row r="205" spans="1:63" x14ac:dyDescent="0.3">
      <c r="A205" t="s">
        <v>541</v>
      </c>
      <c r="B205" s="21">
        <v>1</v>
      </c>
      <c r="C205" s="2">
        <f>'vehicles specifications'!S71</f>
        <v>53</v>
      </c>
      <c r="D205">
        <v>1</v>
      </c>
      <c r="E205">
        <v>1</v>
      </c>
      <c r="F205">
        <f>1+'vehicles specifications'!AD71</f>
        <v>2</v>
      </c>
      <c r="G205">
        <f>1+'vehicles specifications'!AD71</f>
        <v>2</v>
      </c>
      <c r="J205">
        <v>1</v>
      </c>
      <c r="K205">
        <f>1/('fuels and tailpipe emissions'!$C$3*3.6)</f>
        <v>2.358490566037736E-2</v>
      </c>
      <c r="L205" s="21">
        <f t="shared" si="7"/>
        <v>0.30555555555555558</v>
      </c>
      <c r="M205">
        <f>1/'vehicles specifications'!J71</f>
        <v>2.9940119760479042E-5</v>
      </c>
      <c r="N205" s="21">
        <v>1</v>
      </c>
      <c r="O205">
        <f>1</f>
        <v>1</v>
      </c>
      <c r="P205">
        <v>1</v>
      </c>
      <c r="Q205">
        <v>1</v>
      </c>
      <c r="R205">
        <f>-1-'vehicles specifications'!AD71</f>
        <v>-2</v>
      </c>
      <c r="S205">
        <v>1</v>
      </c>
      <c r="T205">
        <v>1</v>
      </c>
      <c r="U205">
        <v>1</v>
      </c>
      <c r="V205">
        <v>1</v>
      </c>
      <c r="W205">
        <v>1</v>
      </c>
      <c r="X205">
        <v>1</v>
      </c>
      <c r="Y205">
        <v>1</v>
      </c>
      <c r="Z205">
        <v>1</v>
      </c>
      <c r="AA205">
        <v>1</v>
      </c>
      <c r="AB205">
        <v>1</v>
      </c>
      <c r="AC205" s="21">
        <v>1</v>
      </c>
      <c r="AD205" s="21">
        <v>1</v>
      </c>
      <c r="AE205" s="21">
        <v>1</v>
      </c>
      <c r="AF205" s="21">
        <v>1</v>
      </c>
      <c r="AG205" s="21">
        <v>1</v>
      </c>
      <c r="AH205" s="21">
        <v>1</v>
      </c>
      <c r="AI205" s="21">
        <v>1</v>
      </c>
      <c r="AJ205" s="21">
        <v>1</v>
      </c>
      <c r="AK205" s="21">
        <v>1</v>
      </c>
      <c r="AL205" s="21">
        <v>1</v>
      </c>
      <c r="AM205" s="21">
        <v>1</v>
      </c>
      <c r="AN205" s="21">
        <v>1</v>
      </c>
      <c r="AO205" s="21">
        <v>1</v>
      </c>
      <c r="AP205" s="21">
        <v>1</v>
      </c>
      <c r="AQ205" s="21">
        <v>1</v>
      </c>
      <c r="AR205" s="21">
        <v>1</v>
      </c>
      <c r="AS205" s="21">
        <v>1</v>
      </c>
      <c r="AT205" s="21">
        <v>1</v>
      </c>
      <c r="AU205" s="21">
        <v>1</v>
      </c>
      <c r="AV205" s="21">
        <v>1</v>
      </c>
      <c r="AW205" s="21">
        <v>1</v>
      </c>
      <c r="AX205" s="21">
        <v>1</v>
      </c>
      <c r="AY205" s="21">
        <v>1</v>
      </c>
      <c r="AZ205" s="21">
        <v>1</v>
      </c>
      <c r="BA205" s="21">
        <v>1</v>
      </c>
      <c r="BB205" s="21">
        <v>1</v>
      </c>
      <c r="BC205" s="21">
        <v>1</v>
      </c>
      <c r="BD205" s="21">
        <v>1</v>
      </c>
      <c r="BE205" s="21">
        <v>1</v>
      </c>
      <c r="BF205" s="21">
        <v>1</v>
      </c>
      <c r="BG205" s="21">
        <v>1</v>
      </c>
      <c r="BH205" s="21">
        <v>1</v>
      </c>
      <c r="BI205">
        <v>-1</v>
      </c>
      <c r="BJ205">
        <v>-1</v>
      </c>
      <c r="BK205">
        <v>-1</v>
      </c>
    </row>
    <row r="206" spans="1:63" x14ac:dyDescent="0.3">
      <c r="A206" t="s">
        <v>542</v>
      </c>
      <c r="B206" s="21">
        <v>1</v>
      </c>
      <c r="C206" s="2">
        <f>'vehicles specifications'!S72</f>
        <v>53</v>
      </c>
      <c r="D206" s="21">
        <v>1</v>
      </c>
      <c r="E206">
        <v>1</v>
      </c>
      <c r="F206">
        <f>1+'vehicles specifications'!AD72</f>
        <v>1.5</v>
      </c>
      <c r="G206">
        <f>1+'vehicles specifications'!AD72</f>
        <v>1.5</v>
      </c>
      <c r="J206">
        <v>1</v>
      </c>
      <c r="K206">
        <f>1/('fuels and tailpipe emissions'!$C$3*3.6)</f>
        <v>2.358490566037736E-2</v>
      </c>
      <c r="L206" s="21">
        <f t="shared" si="7"/>
        <v>0.30555555555555558</v>
      </c>
      <c r="M206">
        <f>1/'vehicles specifications'!J72</f>
        <v>2.9940119760479042E-5</v>
      </c>
      <c r="N206" s="21">
        <v>1</v>
      </c>
      <c r="O206">
        <f>1</f>
        <v>1</v>
      </c>
      <c r="P206" s="21">
        <v>1</v>
      </c>
      <c r="Q206" s="21">
        <v>1</v>
      </c>
      <c r="R206">
        <f>-1-'vehicles specifications'!AD72</f>
        <v>-1.5</v>
      </c>
      <c r="S206">
        <v>1</v>
      </c>
      <c r="T206">
        <v>1</v>
      </c>
      <c r="U206">
        <v>1</v>
      </c>
      <c r="V206">
        <v>1</v>
      </c>
      <c r="W206">
        <v>1</v>
      </c>
      <c r="X206">
        <v>1</v>
      </c>
      <c r="Y206">
        <v>1</v>
      </c>
      <c r="Z206">
        <v>1</v>
      </c>
      <c r="AA206">
        <v>1</v>
      </c>
      <c r="AB206">
        <v>1</v>
      </c>
      <c r="AC206" s="21">
        <v>1</v>
      </c>
      <c r="AD206" s="21">
        <v>1</v>
      </c>
      <c r="AE206" s="21">
        <v>1</v>
      </c>
      <c r="AF206" s="21">
        <v>1</v>
      </c>
      <c r="AG206" s="21">
        <v>1</v>
      </c>
      <c r="AH206" s="21">
        <v>1</v>
      </c>
      <c r="AI206" s="21">
        <v>1</v>
      </c>
      <c r="AJ206" s="21">
        <v>1</v>
      </c>
      <c r="AK206" s="21">
        <v>1</v>
      </c>
      <c r="AL206" s="21">
        <v>1</v>
      </c>
      <c r="AM206" s="21">
        <v>1</v>
      </c>
      <c r="AN206" s="21">
        <v>1</v>
      </c>
      <c r="AO206" s="21">
        <v>1</v>
      </c>
      <c r="AP206" s="21">
        <v>1</v>
      </c>
      <c r="AQ206" s="21">
        <v>1</v>
      </c>
      <c r="AR206" s="21">
        <v>1</v>
      </c>
      <c r="AS206" s="21">
        <v>1</v>
      </c>
      <c r="AT206" s="21">
        <v>1</v>
      </c>
      <c r="AU206" s="21">
        <v>1</v>
      </c>
      <c r="AV206" s="21">
        <v>1</v>
      </c>
      <c r="AW206" s="21">
        <v>1</v>
      </c>
      <c r="AX206" s="21">
        <v>1</v>
      </c>
      <c r="AY206" s="21">
        <v>1</v>
      </c>
      <c r="AZ206" s="21">
        <v>1</v>
      </c>
      <c r="BA206" s="21">
        <v>1</v>
      </c>
      <c r="BB206" s="21">
        <v>1</v>
      </c>
      <c r="BC206" s="21">
        <v>1</v>
      </c>
      <c r="BD206" s="21">
        <v>1</v>
      </c>
      <c r="BE206" s="21">
        <v>1</v>
      </c>
      <c r="BF206" s="21">
        <v>1</v>
      </c>
      <c r="BG206" s="21">
        <v>1</v>
      </c>
      <c r="BH206" s="21">
        <v>1</v>
      </c>
      <c r="BI206">
        <v>-1</v>
      </c>
      <c r="BJ206">
        <v>-1</v>
      </c>
      <c r="BK206">
        <v>-1</v>
      </c>
    </row>
    <row r="207" spans="1:63" x14ac:dyDescent="0.3">
      <c r="A207" t="s">
        <v>543</v>
      </c>
      <c r="B207" s="21">
        <v>1</v>
      </c>
      <c r="C207" s="2">
        <f>'vehicles specifications'!S73</f>
        <v>53</v>
      </c>
      <c r="D207" s="21">
        <v>1</v>
      </c>
      <c r="E207">
        <v>1</v>
      </c>
      <c r="F207">
        <f>1+'vehicles specifications'!AD73</f>
        <v>1.25</v>
      </c>
      <c r="G207">
        <f>1+'vehicles specifications'!AD73</f>
        <v>1.25</v>
      </c>
      <c r="J207">
        <v>1</v>
      </c>
      <c r="K207">
        <f>1/('fuels and tailpipe emissions'!$C$3*3.6)</f>
        <v>2.358490566037736E-2</v>
      </c>
      <c r="L207" s="21">
        <f t="shared" si="7"/>
        <v>0.30555555555555558</v>
      </c>
      <c r="M207">
        <f>1/'vehicles specifications'!J73</f>
        <v>2.9940119760479042E-5</v>
      </c>
      <c r="N207" s="21">
        <v>1</v>
      </c>
      <c r="O207">
        <f>1</f>
        <v>1</v>
      </c>
      <c r="P207" s="21">
        <v>1</v>
      </c>
      <c r="Q207" s="21">
        <v>1</v>
      </c>
      <c r="R207">
        <f>-1-'vehicles specifications'!AD73</f>
        <v>-1.25</v>
      </c>
      <c r="S207">
        <v>1</v>
      </c>
      <c r="T207">
        <v>1</v>
      </c>
      <c r="U207">
        <v>1</v>
      </c>
      <c r="V207">
        <v>1</v>
      </c>
      <c r="W207">
        <v>1</v>
      </c>
      <c r="X207">
        <v>1</v>
      </c>
      <c r="Y207">
        <v>1</v>
      </c>
      <c r="Z207">
        <v>1</v>
      </c>
      <c r="AA207">
        <v>1</v>
      </c>
      <c r="AB207">
        <v>1</v>
      </c>
      <c r="AC207" s="21">
        <v>1</v>
      </c>
      <c r="AD207" s="21">
        <v>1</v>
      </c>
      <c r="AE207" s="21">
        <v>1</v>
      </c>
      <c r="AF207" s="21">
        <v>1</v>
      </c>
      <c r="AG207" s="21">
        <v>1</v>
      </c>
      <c r="AH207" s="21">
        <v>1</v>
      </c>
      <c r="AI207" s="21">
        <v>1</v>
      </c>
      <c r="AJ207" s="21">
        <v>1</v>
      </c>
      <c r="AK207" s="21">
        <v>1</v>
      </c>
      <c r="AL207" s="21">
        <v>1</v>
      </c>
      <c r="AM207" s="21">
        <v>1</v>
      </c>
      <c r="AN207" s="21">
        <v>1</v>
      </c>
      <c r="AO207" s="21">
        <v>1</v>
      </c>
      <c r="AP207" s="21">
        <v>1</v>
      </c>
      <c r="AQ207" s="21">
        <v>1</v>
      </c>
      <c r="AR207" s="21">
        <v>1</v>
      </c>
      <c r="AS207" s="21">
        <v>1</v>
      </c>
      <c r="AT207" s="21">
        <v>1</v>
      </c>
      <c r="AU207" s="21">
        <v>1</v>
      </c>
      <c r="AV207" s="21">
        <v>1</v>
      </c>
      <c r="AW207" s="21">
        <v>1</v>
      </c>
      <c r="AX207" s="21">
        <v>1</v>
      </c>
      <c r="AY207" s="21">
        <v>1</v>
      </c>
      <c r="AZ207" s="21">
        <v>1</v>
      </c>
      <c r="BA207" s="21">
        <v>1</v>
      </c>
      <c r="BB207" s="21">
        <v>1</v>
      </c>
      <c r="BC207" s="21">
        <v>1</v>
      </c>
      <c r="BD207" s="21">
        <v>1</v>
      </c>
      <c r="BE207" s="21">
        <v>1</v>
      </c>
      <c r="BF207" s="21">
        <v>1</v>
      </c>
      <c r="BG207" s="21">
        <v>1</v>
      </c>
      <c r="BH207" s="21">
        <v>1</v>
      </c>
      <c r="BI207">
        <v>-1</v>
      </c>
      <c r="BJ207">
        <v>-1</v>
      </c>
      <c r="BK207">
        <v>-1</v>
      </c>
    </row>
    <row r="208" spans="1:63" x14ac:dyDescent="0.3">
      <c r="A208" t="s">
        <v>544</v>
      </c>
      <c r="B208" s="21">
        <v>1</v>
      </c>
      <c r="C208" s="2">
        <f>'vehicles specifications'!S74</f>
        <v>53</v>
      </c>
      <c r="D208" s="21">
        <v>1</v>
      </c>
      <c r="E208">
        <v>1</v>
      </c>
      <c r="F208">
        <f>1+'vehicles specifications'!AD74</f>
        <v>1</v>
      </c>
      <c r="G208">
        <f>1+'vehicles specifications'!AD74</f>
        <v>1</v>
      </c>
      <c r="J208">
        <v>1</v>
      </c>
      <c r="K208">
        <f>1/('fuels and tailpipe emissions'!$C$3*3.6)</f>
        <v>2.358490566037736E-2</v>
      </c>
      <c r="L208" s="21">
        <f t="shared" si="7"/>
        <v>0.30555555555555558</v>
      </c>
      <c r="M208">
        <f>1/'vehicles specifications'!J74</f>
        <v>2.9940119760479042E-5</v>
      </c>
      <c r="N208" s="21">
        <v>1</v>
      </c>
      <c r="O208">
        <f>1</f>
        <v>1</v>
      </c>
      <c r="P208" s="21">
        <v>1</v>
      </c>
      <c r="Q208" s="21">
        <v>1</v>
      </c>
      <c r="R208">
        <f>-1-'vehicles specifications'!AD74</f>
        <v>-1</v>
      </c>
      <c r="S208">
        <v>1</v>
      </c>
      <c r="T208">
        <v>1</v>
      </c>
      <c r="U208">
        <v>1</v>
      </c>
      <c r="V208">
        <v>1</v>
      </c>
      <c r="W208">
        <v>1</v>
      </c>
      <c r="X208">
        <v>1</v>
      </c>
      <c r="Y208">
        <v>1</v>
      </c>
      <c r="Z208">
        <v>1</v>
      </c>
      <c r="AA208">
        <v>1</v>
      </c>
      <c r="AB208">
        <v>1</v>
      </c>
      <c r="AC208" s="21">
        <v>1</v>
      </c>
      <c r="AD208" s="21">
        <v>1</v>
      </c>
      <c r="AE208" s="21">
        <v>1</v>
      </c>
      <c r="AF208" s="21">
        <v>1</v>
      </c>
      <c r="AG208" s="21">
        <v>1</v>
      </c>
      <c r="AH208" s="21">
        <v>1</v>
      </c>
      <c r="AI208" s="21">
        <v>1</v>
      </c>
      <c r="AJ208" s="21">
        <v>1</v>
      </c>
      <c r="AK208" s="21">
        <v>1</v>
      </c>
      <c r="AL208" s="21">
        <v>1</v>
      </c>
      <c r="AM208" s="21">
        <v>1</v>
      </c>
      <c r="AN208" s="21">
        <v>1</v>
      </c>
      <c r="AO208" s="21">
        <v>1</v>
      </c>
      <c r="AP208" s="21">
        <v>1</v>
      </c>
      <c r="AQ208" s="21">
        <v>1</v>
      </c>
      <c r="AR208" s="21">
        <v>1</v>
      </c>
      <c r="AS208" s="21">
        <v>1</v>
      </c>
      <c r="AT208" s="21">
        <v>1</v>
      </c>
      <c r="AU208" s="21">
        <v>1</v>
      </c>
      <c r="AV208" s="21">
        <v>1</v>
      </c>
      <c r="AW208" s="21">
        <v>1</v>
      </c>
      <c r="AX208" s="21">
        <v>1</v>
      </c>
      <c r="AY208" s="21">
        <v>1</v>
      </c>
      <c r="AZ208" s="21">
        <v>1</v>
      </c>
      <c r="BA208" s="21">
        <v>1</v>
      </c>
      <c r="BB208" s="21">
        <v>1</v>
      </c>
      <c r="BC208" s="21">
        <v>1</v>
      </c>
      <c r="BD208" s="21">
        <v>1</v>
      </c>
      <c r="BE208" s="21">
        <v>1</v>
      </c>
      <c r="BF208" s="21">
        <v>1</v>
      </c>
      <c r="BG208" s="21">
        <v>1</v>
      </c>
      <c r="BH208" s="21">
        <v>1</v>
      </c>
      <c r="BI208">
        <v>-1</v>
      </c>
      <c r="BJ208">
        <v>-1</v>
      </c>
      <c r="BK208">
        <v>-1</v>
      </c>
    </row>
    <row r="209" spans="1:63" x14ac:dyDescent="0.3">
      <c r="A209" t="s">
        <v>545</v>
      </c>
      <c r="B209" s="21">
        <v>1</v>
      </c>
      <c r="C209" s="2">
        <f>'vehicles specifications'!S75</f>
        <v>65.433826960328489</v>
      </c>
      <c r="D209" s="21">
        <v>1</v>
      </c>
      <c r="E209">
        <v>1</v>
      </c>
      <c r="F209">
        <f>1+'vehicles specifications'!AD75</f>
        <v>2</v>
      </c>
      <c r="G209">
        <f>1+'vehicles specifications'!AD75</f>
        <v>2</v>
      </c>
      <c r="J209">
        <v>1</v>
      </c>
      <c r="K209">
        <f>1/('fuels and tailpipe emissions'!$C$3*3.6)</f>
        <v>2.358490566037736E-2</v>
      </c>
      <c r="L209" s="21">
        <f t="shared" si="7"/>
        <v>0.30555555555555558</v>
      </c>
      <c r="M209">
        <f>1/'vehicles specifications'!J75</f>
        <v>2.5125628140703518E-5</v>
      </c>
      <c r="N209" s="21">
        <v>1</v>
      </c>
      <c r="O209">
        <f>1</f>
        <v>1</v>
      </c>
      <c r="P209" s="21">
        <v>1</v>
      </c>
      <c r="Q209" s="21">
        <v>1</v>
      </c>
      <c r="R209">
        <f>-1-'vehicles specifications'!AD75</f>
        <v>-2</v>
      </c>
      <c r="S209">
        <v>1</v>
      </c>
      <c r="T209">
        <v>1</v>
      </c>
      <c r="U209">
        <v>1</v>
      </c>
      <c r="V209">
        <v>1</v>
      </c>
      <c r="W209">
        <v>1</v>
      </c>
      <c r="X209">
        <v>1</v>
      </c>
      <c r="Y209">
        <v>1</v>
      </c>
      <c r="Z209">
        <v>1</v>
      </c>
      <c r="AA209">
        <v>1</v>
      </c>
      <c r="AB209">
        <v>1</v>
      </c>
      <c r="AC209" s="21">
        <v>1</v>
      </c>
      <c r="AD209" s="21">
        <v>1</v>
      </c>
      <c r="AE209" s="21">
        <v>1</v>
      </c>
      <c r="AF209" s="21">
        <v>1</v>
      </c>
      <c r="AG209" s="21">
        <v>1</v>
      </c>
      <c r="AH209" s="21">
        <v>1</v>
      </c>
      <c r="AI209" s="21">
        <v>1</v>
      </c>
      <c r="AJ209" s="21">
        <v>1</v>
      </c>
      <c r="AK209" s="21">
        <v>1</v>
      </c>
      <c r="AL209" s="21">
        <v>1</v>
      </c>
      <c r="AM209" s="21">
        <v>1</v>
      </c>
      <c r="AN209" s="21">
        <v>1</v>
      </c>
      <c r="AO209" s="21">
        <v>1</v>
      </c>
      <c r="AP209" s="21">
        <v>1</v>
      </c>
      <c r="AQ209" s="21">
        <v>1</v>
      </c>
      <c r="AR209" s="21">
        <v>1</v>
      </c>
      <c r="AS209" s="21">
        <v>1</v>
      </c>
      <c r="AT209" s="21">
        <v>1</v>
      </c>
      <c r="AU209" s="21">
        <v>1</v>
      </c>
      <c r="AV209" s="21">
        <v>1</v>
      </c>
      <c r="AW209" s="21">
        <v>1</v>
      </c>
      <c r="AX209" s="21">
        <v>1</v>
      </c>
      <c r="AY209" s="21">
        <v>1</v>
      </c>
      <c r="AZ209" s="21">
        <v>1</v>
      </c>
      <c r="BA209" s="21">
        <v>1</v>
      </c>
      <c r="BB209" s="21">
        <v>1</v>
      </c>
      <c r="BC209" s="21">
        <v>1</v>
      </c>
      <c r="BD209" s="21">
        <v>1</v>
      </c>
      <c r="BE209" s="21">
        <v>1</v>
      </c>
      <c r="BF209" s="21">
        <v>1</v>
      </c>
      <c r="BG209" s="21">
        <v>1</v>
      </c>
      <c r="BH209" s="21">
        <v>1</v>
      </c>
      <c r="BI209">
        <v>-1</v>
      </c>
      <c r="BJ209">
        <v>-1</v>
      </c>
      <c r="BK209">
        <v>-1</v>
      </c>
    </row>
    <row r="210" spans="1:63" x14ac:dyDescent="0.3">
      <c r="A210" t="s">
        <v>546</v>
      </c>
      <c r="B210" s="21">
        <v>1</v>
      </c>
      <c r="C210" s="2">
        <f>'vehicles specifications'!S76</f>
        <v>65.433826960328489</v>
      </c>
      <c r="D210" s="21">
        <v>1</v>
      </c>
      <c r="E210">
        <v>1</v>
      </c>
      <c r="F210">
        <f>1+'vehicles specifications'!AD76</f>
        <v>1.5</v>
      </c>
      <c r="G210">
        <f>1+'vehicles specifications'!AD76</f>
        <v>1.5</v>
      </c>
      <c r="J210">
        <v>1</v>
      </c>
      <c r="K210">
        <f>1/('fuels and tailpipe emissions'!$C$3*3.6)</f>
        <v>2.358490566037736E-2</v>
      </c>
      <c r="L210" s="21">
        <f t="shared" si="7"/>
        <v>0.30555555555555558</v>
      </c>
      <c r="M210">
        <f>1/'vehicles specifications'!J76</f>
        <v>2.5125628140703518E-5</v>
      </c>
      <c r="N210" s="21">
        <v>1</v>
      </c>
      <c r="O210">
        <f>1</f>
        <v>1</v>
      </c>
      <c r="P210" s="21">
        <v>1</v>
      </c>
      <c r="Q210" s="21">
        <v>1</v>
      </c>
      <c r="R210">
        <f>-1-'vehicles specifications'!AD76</f>
        <v>-1.5</v>
      </c>
      <c r="S210">
        <v>1</v>
      </c>
      <c r="T210">
        <v>1</v>
      </c>
      <c r="U210">
        <v>1</v>
      </c>
      <c r="V210">
        <v>1</v>
      </c>
      <c r="W210">
        <v>1</v>
      </c>
      <c r="X210">
        <v>1</v>
      </c>
      <c r="Y210">
        <v>1</v>
      </c>
      <c r="Z210">
        <v>1</v>
      </c>
      <c r="AA210">
        <v>1</v>
      </c>
      <c r="AB210">
        <v>1</v>
      </c>
      <c r="AC210" s="21">
        <v>1</v>
      </c>
      <c r="AD210" s="21">
        <v>1</v>
      </c>
      <c r="AE210" s="21">
        <v>1</v>
      </c>
      <c r="AF210" s="21">
        <v>1</v>
      </c>
      <c r="AG210" s="21">
        <v>1</v>
      </c>
      <c r="AH210" s="21">
        <v>1</v>
      </c>
      <c r="AI210" s="21">
        <v>1</v>
      </c>
      <c r="AJ210" s="21">
        <v>1</v>
      </c>
      <c r="AK210" s="21">
        <v>1</v>
      </c>
      <c r="AL210" s="21">
        <v>1</v>
      </c>
      <c r="AM210" s="21">
        <v>1</v>
      </c>
      <c r="AN210" s="21">
        <v>1</v>
      </c>
      <c r="AO210" s="21">
        <v>1</v>
      </c>
      <c r="AP210" s="21">
        <v>1</v>
      </c>
      <c r="AQ210" s="21">
        <v>1</v>
      </c>
      <c r="AR210" s="21">
        <v>1</v>
      </c>
      <c r="AS210" s="21">
        <v>1</v>
      </c>
      <c r="AT210" s="21">
        <v>1</v>
      </c>
      <c r="AU210" s="21">
        <v>1</v>
      </c>
      <c r="AV210" s="21">
        <v>1</v>
      </c>
      <c r="AW210" s="21">
        <v>1</v>
      </c>
      <c r="AX210" s="21">
        <v>1</v>
      </c>
      <c r="AY210" s="21">
        <v>1</v>
      </c>
      <c r="AZ210" s="21">
        <v>1</v>
      </c>
      <c r="BA210" s="21">
        <v>1</v>
      </c>
      <c r="BB210" s="21">
        <v>1</v>
      </c>
      <c r="BC210" s="21">
        <v>1</v>
      </c>
      <c r="BD210" s="21">
        <v>1</v>
      </c>
      <c r="BE210" s="21">
        <v>1</v>
      </c>
      <c r="BF210" s="21">
        <v>1</v>
      </c>
      <c r="BG210" s="21">
        <v>1</v>
      </c>
      <c r="BH210" s="21">
        <v>1</v>
      </c>
      <c r="BI210">
        <v>-1</v>
      </c>
      <c r="BJ210">
        <v>-1</v>
      </c>
      <c r="BK210">
        <v>-1</v>
      </c>
    </row>
    <row r="211" spans="1:63" x14ac:dyDescent="0.3">
      <c r="A211" t="s">
        <v>547</v>
      </c>
      <c r="B211" s="21">
        <v>1</v>
      </c>
      <c r="C211" s="2">
        <f>'vehicles specifications'!S77</f>
        <v>65.433826960328489</v>
      </c>
      <c r="D211" s="21">
        <v>1</v>
      </c>
      <c r="E211">
        <v>1</v>
      </c>
      <c r="F211">
        <f>1+'vehicles specifications'!AD77</f>
        <v>1.25</v>
      </c>
      <c r="G211">
        <f>1+'vehicles specifications'!AD77</f>
        <v>1.25</v>
      </c>
      <c r="J211">
        <v>1</v>
      </c>
      <c r="K211">
        <f>1/('fuels and tailpipe emissions'!$C$3*3.6)</f>
        <v>2.358490566037736E-2</v>
      </c>
      <c r="L211" s="21">
        <f t="shared" si="7"/>
        <v>0.30555555555555558</v>
      </c>
      <c r="M211">
        <f>1/'vehicles specifications'!J77</f>
        <v>2.5125628140703518E-5</v>
      </c>
      <c r="N211" s="21">
        <v>1</v>
      </c>
      <c r="O211">
        <f>1</f>
        <v>1</v>
      </c>
      <c r="P211" s="21">
        <v>1</v>
      </c>
      <c r="Q211" s="21">
        <v>1</v>
      </c>
      <c r="R211">
        <f>-1-'vehicles specifications'!AD77</f>
        <v>-1.25</v>
      </c>
      <c r="S211">
        <v>1</v>
      </c>
      <c r="T211">
        <v>1</v>
      </c>
      <c r="U211">
        <v>1</v>
      </c>
      <c r="V211">
        <v>1</v>
      </c>
      <c r="W211">
        <v>1</v>
      </c>
      <c r="X211">
        <v>1</v>
      </c>
      <c r="Y211">
        <v>1</v>
      </c>
      <c r="Z211">
        <v>1</v>
      </c>
      <c r="AA211">
        <v>1</v>
      </c>
      <c r="AB211">
        <v>1</v>
      </c>
      <c r="AC211" s="21">
        <v>1</v>
      </c>
      <c r="AD211" s="21">
        <v>1</v>
      </c>
      <c r="AE211" s="21">
        <v>1</v>
      </c>
      <c r="AF211" s="21">
        <v>1</v>
      </c>
      <c r="AG211" s="21">
        <v>1</v>
      </c>
      <c r="AH211" s="21">
        <v>1</v>
      </c>
      <c r="AI211" s="21">
        <v>1</v>
      </c>
      <c r="AJ211" s="21">
        <v>1</v>
      </c>
      <c r="AK211" s="21">
        <v>1</v>
      </c>
      <c r="AL211" s="21">
        <v>1</v>
      </c>
      <c r="AM211" s="21">
        <v>1</v>
      </c>
      <c r="AN211" s="21">
        <v>1</v>
      </c>
      <c r="AO211" s="21">
        <v>1</v>
      </c>
      <c r="AP211" s="21">
        <v>1</v>
      </c>
      <c r="AQ211" s="21">
        <v>1</v>
      </c>
      <c r="AR211" s="21">
        <v>1</v>
      </c>
      <c r="AS211" s="21">
        <v>1</v>
      </c>
      <c r="AT211" s="21">
        <v>1</v>
      </c>
      <c r="AU211" s="21">
        <v>1</v>
      </c>
      <c r="AV211" s="21">
        <v>1</v>
      </c>
      <c r="AW211" s="21">
        <v>1</v>
      </c>
      <c r="AX211" s="21">
        <v>1</v>
      </c>
      <c r="AY211" s="21">
        <v>1</v>
      </c>
      <c r="AZ211" s="21">
        <v>1</v>
      </c>
      <c r="BA211" s="21">
        <v>1</v>
      </c>
      <c r="BB211" s="21">
        <v>1</v>
      </c>
      <c r="BC211" s="21">
        <v>1</v>
      </c>
      <c r="BD211" s="21">
        <v>1</v>
      </c>
      <c r="BE211" s="21">
        <v>1</v>
      </c>
      <c r="BF211" s="21">
        <v>1</v>
      </c>
      <c r="BG211" s="21">
        <v>1</v>
      </c>
      <c r="BH211" s="21">
        <v>1</v>
      </c>
      <c r="BI211">
        <v>-1</v>
      </c>
      <c r="BJ211">
        <v>-1</v>
      </c>
      <c r="BK211">
        <v>-1</v>
      </c>
    </row>
    <row r="212" spans="1:63" x14ac:dyDescent="0.3">
      <c r="A212" t="s">
        <v>548</v>
      </c>
      <c r="B212" s="21">
        <v>1</v>
      </c>
      <c r="C212" s="2">
        <f>'vehicles specifications'!S78</f>
        <v>65.433826960328489</v>
      </c>
      <c r="D212" s="21">
        <v>1</v>
      </c>
      <c r="E212">
        <v>1</v>
      </c>
      <c r="F212">
        <f>1+'vehicles specifications'!AD78</f>
        <v>1</v>
      </c>
      <c r="G212">
        <f>1+'vehicles specifications'!AD78</f>
        <v>1</v>
      </c>
      <c r="J212">
        <v>1</v>
      </c>
      <c r="K212">
        <f>1/('fuels and tailpipe emissions'!$C$3*3.6)</f>
        <v>2.358490566037736E-2</v>
      </c>
      <c r="L212" s="21">
        <f t="shared" si="7"/>
        <v>0.30555555555555558</v>
      </c>
      <c r="M212">
        <f>1/'vehicles specifications'!J78</f>
        <v>2.5125628140703518E-5</v>
      </c>
      <c r="N212" s="21">
        <v>1</v>
      </c>
      <c r="O212">
        <f>1</f>
        <v>1</v>
      </c>
      <c r="P212" s="21">
        <v>1</v>
      </c>
      <c r="Q212" s="21">
        <v>1</v>
      </c>
      <c r="R212">
        <f>-1-'vehicles specifications'!AD78</f>
        <v>-1</v>
      </c>
      <c r="S212">
        <v>1</v>
      </c>
      <c r="T212">
        <v>1</v>
      </c>
      <c r="U212">
        <v>1</v>
      </c>
      <c r="V212">
        <v>1</v>
      </c>
      <c r="W212">
        <v>1</v>
      </c>
      <c r="X212">
        <v>1</v>
      </c>
      <c r="Y212">
        <v>1</v>
      </c>
      <c r="Z212">
        <v>1</v>
      </c>
      <c r="AA212">
        <v>1</v>
      </c>
      <c r="AB212">
        <v>1</v>
      </c>
      <c r="AC212" s="21">
        <v>1</v>
      </c>
      <c r="AD212" s="21">
        <v>1</v>
      </c>
      <c r="AE212" s="21">
        <v>1</v>
      </c>
      <c r="AF212" s="21">
        <v>1</v>
      </c>
      <c r="AG212" s="21">
        <v>1</v>
      </c>
      <c r="AH212" s="21">
        <v>1</v>
      </c>
      <c r="AI212" s="21">
        <v>1</v>
      </c>
      <c r="AJ212" s="21">
        <v>1</v>
      </c>
      <c r="AK212" s="21">
        <v>1</v>
      </c>
      <c r="AL212" s="21">
        <v>1</v>
      </c>
      <c r="AM212" s="21">
        <v>1</v>
      </c>
      <c r="AN212" s="21">
        <v>1</v>
      </c>
      <c r="AO212" s="21">
        <v>1</v>
      </c>
      <c r="AP212" s="21">
        <v>1</v>
      </c>
      <c r="AQ212" s="21">
        <v>1</v>
      </c>
      <c r="AR212" s="21">
        <v>1</v>
      </c>
      <c r="AS212" s="21">
        <v>1</v>
      </c>
      <c r="AT212" s="21">
        <v>1</v>
      </c>
      <c r="AU212" s="21">
        <v>1</v>
      </c>
      <c r="AV212" s="21">
        <v>1</v>
      </c>
      <c r="AW212" s="21">
        <v>1</v>
      </c>
      <c r="AX212" s="21">
        <v>1</v>
      </c>
      <c r="AY212" s="21">
        <v>1</v>
      </c>
      <c r="AZ212" s="21">
        <v>1</v>
      </c>
      <c r="BA212" s="21">
        <v>1</v>
      </c>
      <c r="BB212" s="21">
        <v>1</v>
      </c>
      <c r="BC212" s="21">
        <v>1</v>
      </c>
      <c r="BD212" s="21">
        <v>1</v>
      </c>
      <c r="BE212" s="21">
        <v>1</v>
      </c>
      <c r="BF212" s="21">
        <v>1</v>
      </c>
      <c r="BG212" s="21">
        <v>1</v>
      </c>
      <c r="BH212" s="21">
        <v>1</v>
      </c>
      <c r="BI212">
        <v>-1</v>
      </c>
      <c r="BJ212">
        <v>-1</v>
      </c>
      <c r="BK212">
        <v>-1</v>
      </c>
    </row>
    <row r="213" spans="1:63" x14ac:dyDescent="0.3">
      <c r="A213" t="s">
        <v>549</v>
      </c>
      <c r="B213" s="21">
        <v>1</v>
      </c>
      <c r="C213" s="2">
        <f>'vehicles specifications'!S79</f>
        <v>81</v>
      </c>
      <c r="D213" s="21">
        <v>1</v>
      </c>
      <c r="E213">
        <v>1</v>
      </c>
      <c r="F213">
        <f>1+'vehicles specifications'!AD79</f>
        <v>2</v>
      </c>
      <c r="G213">
        <f>1+'vehicles specifications'!AD79</f>
        <v>2</v>
      </c>
      <c r="J213">
        <v>1</v>
      </c>
      <c r="K213">
        <f>1/('fuels and tailpipe emissions'!$C$3*3.6)</f>
        <v>2.358490566037736E-2</v>
      </c>
      <c r="L213" s="21">
        <f t="shared" si="7"/>
        <v>0.30555555555555558</v>
      </c>
      <c r="M213">
        <f>1/'vehicles specifications'!J79</f>
        <v>1.6103059581320449E-5</v>
      </c>
      <c r="N213" s="21">
        <v>1</v>
      </c>
      <c r="O213">
        <f>1</f>
        <v>1</v>
      </c>
      <c r="P213" s="21">
        <v>1</v>
      </c>
      <c r="Q213" s="21">
        <v>1</v>
      </c>
      <c r="R213">
        <f>-1-'vehicles specifications'!AD79</f>
        <v>-2</v>
      </c>
      <c r="S213">
        <v>1</v>
      </c>
      <c r="T213">
        <v>1</v>
      </c>
      <c r="U213">
        <v>1</v>
      </c>
      <c r="V213">
        <v>1</v>
      </c>
      <c r="W213">
        <v>1</v>
      </c>
      <c r="X213">
        <v>1</v>
      </c>
      <c r="Y213">
        <v>1</v>
      </c>
      <c r="Z213">
        <v>1</v>
      </c>
      <c r="AA213">
        <v>1</v>
      </c>
      <c r="AB213">
        <v>1</v>
      </c>
      <c r="AC213" s="21">
        <v>1</v>
      </c>
      <c r="AD213" s="21">
        <v>1</v>
      </c>
      <c r="AE213" s="21">
        <v>1</v>
      </c>
      <c r="AF213" s="21">
        <v>1</v>
      </c>
      <c r="AG213" s="21">
        <v>1</v>
      </c>
      <c r="AH213" s="21">
        <v>1</v>
      </c>
      <c r="AI213" s="21">
        <v>1</v>
      </c>
      <c r="AJ213" s="21">
        <v>1</v>
      </c>
      <c r="AK213" s="21">
        <v>1</v>
      </c>
      <c r="AL213" s="21">
        <v>1</v>
      </c>
      <c r="AM213" s="21">
        <v>1</v>
      </c>
      <c r="AN213" s="21">
        <v>1</v>
      </c>
      <c r="AO213" s="21">
        <v>1</v>
      </c>
      <c r="AP213" s="21">
        <v>1</v>
      </c>
      <c r="AQ213" s="21">
        <v>1</v>
      </c>
      <c r="AR213" s="21">
        <v>1</v>
      </c>
      <c r="AS213" s="21">
        <v>1</v>
      </c>
      <c r="AT213" s="21">
        <v>1</v>
      </c>
      <c r="AU213" s="21">
        <v>1</v>
      </c>
      <c r="AV213" s="21">
        <v>1</v>
      </c>
      <c r="AW213" s="21">
        <v>1</v>
      </c>
      <c r="AX213" s="21">
        <v>1</v>
      </c>
      <c r="AY213" s="21">
        <v>1</v>
      </c>
      <c r="AZ213" s="21">
        <v>1</v>
      </c>
      <c r="BA213" s="21">
        <v>1</v>
      </c>
      <c r="BB213" s="21">
        <v>1</v>
      </c>
      <c r="BC213" s="21">
        <v>1</v>
      </c>
      <c r="BD213" s="21">
        <v>1</v>
      </c>
      <c r="BE213" s="21">
        <v>1</v>
      </c>
      <c r="BF213" s="21">
        <v>1</v>
      </c>
      <c r="BG213" s="21">
        <v>1</v>
      </c>
      <c r="BH213" s="21">
        <v>1</v>
      </c>
      <c r="BI213">
        <v>-1</v>
      </c>
      <c r="BJ213">
        <v>-1</v>
      </c>
      <c r="BK213">
        <v>-1</v>
      </c>
    </row>
    <row r="214" spans="1:63" x14ac:dyDescent="0.3">
      <c r="A214" t="s">
        <v>550</v>
      </c>
      <c r="B214" s="21">
        <v>1</v>
      </c>
      <c r="C214" s="2">
        <f>'vehicles specifications'!S80</f>
        <v>81</v>
      </c>
      <c r="D214" s="21">
        <v>1</v>
      </c>
      <c r="E214">
        <v>1</v>
      </c>
      <c r="F214">
        <f>1+'vehicles specifications'!AD80</f>
        <v>1.5</v>
      </c>
      <c r="G214">
        <f>1+'vehicles specifications'!AD80</f>
        <v>1.5</v>
      </c>
      <c r="J214">
        <v>1</v>
      </c>
      <c r="K214">
        <f>1/('fuels and tailpipe emissions'!$C$3*3.6)</f>
        <v>2.358490566037736E-2</v>
      </c>
      <c r="L214" s="21">
        <f t="shared" ref="L214:L220" si="9">1/3.6*1.1</f>
        <v>0.30555555555555558</v>
      </c>
      <c r="M214">
        <f>1/'vehicles specifications'!J80</f>
        <v>1.6103059581320449E-5</v>
      </c>
      <c r="N214" s="21">
        <v>1</v>
      </c>
      <c r="O214">
        <f>1</f>
        <v>1</v>
      </c>
      <c r="P214" s="21">
        <v>1</v>
      </c>
      <c r="Q214" s="21">
        <v>1</v>
      </c>
      <c r="R214">
        <f>-1-'vehicles specifications'!AD80</f>
        <v>-1.5</v>
      </c>
      <c r="S214">
        <v>1</v>
      </c>
      <c r="T214">
        <v>1</v>
      </c>
      <c r="U214">
        <v>1</v>
      </c>
      <c r="V214">
        <v>1</v>
      </c>
      <c r="W214">
        <v>1</v>
      </c>
      <c r="X214">
        <v>1</v>
      </c>
      <c r="Y214">
        <v>1</v>
      </c>
      <c r="Z214">
        <v>1</v>
      </c>
      <c r="AA214">
        <v>1</v>
      </c>
      <c r="AB214">
        <v>1</v>
      </c>
      <c r="AC214" s="21">
        <v>1</v>
      </c>
      <c r="AD214" s="21">
        <v>1</v>
      </c>
      <c r="AE214" s="21">
        <v>1</v>
      </c>
      <c r="AF214" s="21">
        <v>1</v>
      </c>
      <c r="AG214" s="21">
        <v>1</v>
      </c>
      <c r="AH214" s="21">
        <v>1</v>
      </c>
      <c r="AI214" s="21">
        <v>1</v>
      </c>
      <c r="AJ214" s="21">
        <v>1</v>
      </c>
      <c r="AK214" s="21">
        <v>1</v>
      </c>
      <c r="AL214" s="21">
        <v>1</v>
      </c>
      <c r="AM214" s="21">
        <v>1</v>
      </c>
      <c r="AN214" s="21">
        <v>1</v>
      </c>
      <c r="AO214" s="21">
        <v>1</v>
      </c>
      <c r="AP214" s="21">
        <v>1</v>
      </c>
      <c r="AQ214" s="21">
        <v>1</v>
      </c>
      <c r="AR214" s="21">
        <v>1</v>
      </c>
      <c r="AS214" s="21">
        <v>1</v>
      </c>
      <c r="AT214" s="21">
        <v>1</v>
      </c>
      <c r="AU214" s="21">
        <v>1</v>
      </c>
      <c r="AV214" s="21">
        <v>1</v>
      </c>
      <c r="AW214" s="21">
        <v>1</v>
      </c>
      <c r="AX214" s="21">
        <v>1</v>
      </c>
      <c r="AY214" s="21">
        <v>1</v>
      </c>
      <c r="AZ214" s="21">
        <v>1</v>
      </c>
      <c r="BA214" s="21">
        <v>1</v>
      </c>
      <c r="BB214" s="21">
        <v>1</v>
      </c>
      <c r="BC214" s="21">
        <v>1</v>
      </c>
      <c r="BD214" s="21">
        <v>1</v>
      </c>
      <c r="BE214" s="21">
        <v>1</v>
      </c>
      <c r="BF214" s="21">
        <v>1</v>
      </c>
      <c r="BG214" s="21">
        <v>1</v>
      </c>
      <c r="BH214" s="21">
        <v>1</v>
      </c>
      <c r="BI214">
        <v>-1</v>
      </c>
      <c r="BJ214">
        <v>-1</v>
      </c>
      <c r="BK214">
        <v>-1</v>
      </c>
    </row>
    <row r="215" spans="1:63" x14ac:dyDescent="0.3">
      <c r="A215" t="s">
        <v>551</v>
      </c>
      <c r="B215" s="21">
        <v>1</v>
      </c>
      <c r="C215" s="2">
        <f>'vehicles specifications'!S81</f>
        <v>81</v>
      </c>
      <c r="D215" s="21">
        <v>1</v>
      </c>
      <c r="E215">
        <v>1</v>
      </c>
      <c r="F215">
        <f>1+'vehicles specifications'!AD81</f>
        <v>1.25</v>
      </c>
      <c r="G215">
        <f>1+'vehicles specifications'!AD81</f>
        <v>1.25</v>
      </c>
      <c r="J215">
        <v>1</v>
      </c>
      <c r="K215">
        <f>1/('fuels and tailpipe emissions'!$C$3*3.6)</f>
        <v>2.358490566037736E-2</v>
      </c>
      <c r="L215" s="21">
        <f t="shared" si="9"/>
        <v>0.30555555555555558</v>
      </c>
      <c r="M215">
        <f>1/'vehicles specifications'!J81</f>
        <v>1.6103059581320449E-5</v>
      </c>
      <c r="N215" s="21">
        <v>1</v>
      </c>
      <c r="O215">
        <f>1</f>
        <v>1</v>
      </c>
      <c r="P215" s="21">
        <v>1</v>
      </c>
      <c r="Q215" s="21">
        <v>1</v>
      </c>
      <c r="R215">
        <f>-1-'vehicles specifications'!AD81</f>
        <v>-1.25</v>
      </c>
      <c r="S215">
        <v>1</v>
      </c>
      <c r="T215">
        <v>1</v>
      </c>
      <c r="U215">
        <v>1</v>
      </c>
      <c r="V215">
        <v>1</v>
      </c>
      <c r="W215">
        <v>1</v>
      </c>
      <c r="X215">
        <v>1</v>
      </c>
      <c r="Y215">
        <v>1</v>
      </c>
      <c r="Z215">
        <v>1</v>
      </c>
      <c r="AA215">
        <v>1</v>
      </c>
      <c r="AB215">
        <v>1</v>
      </c>
      <c r="AC215" s="21">
        <v>1</v>
      </c>
      <c r="AD215" s="21">
        <v>1</v>
      </c>
      <c r="AE215" s="21">
        <v>1</v>
      </c>
      <c r="AF215" s="21">
        <v>1</v>
      </c>
      <c r="AG215" s="21">
        <v>1</v>
      </c>
      <c r="AH215" s="21">
        <v>1</v>
      </c>
      <c r="AI215" s="21">
        <v>1</v>
      </c>
      <c r="AJ215" s="21">
        <v>1</v>
      </c>
      <c r="AK215" s="21">
        <v>1</v>
      </c>
      <c r="AL215" s="21">
        <v>1</v>
      </c>
      <c r="AM215" s="21">
        <v>1</v>
      </c>
      <c r="AN215" s="21">
        <v>1</v>
      </c>
      <c r="AO215" s="21">
        <v>1</v>
      </c>
      <c r="AP215" s="21">
        <v>1</v>
      </c>
      <c r="AQ215" s="21">
        <v>1</v>
      </c>
      <c r="AR215" s="21">
        <v>1</v>
      </c>
      <c r="AS215" s="21">
        <v>1</v>
      </c>
      <c r="AT215" s="21">
        <v>1</v>
      </c>
      <c r="AU215" s="21">
        <v>1</v>
      </c>
      <c r="AV215" s="21">
        <v>1</v>
      </c>
      <c r="AW215" s="21">
        <v>1</v>
      </c>
      <c r="AX215" s="21">
        <v>1</v>
      </c>
      <c r="AY215" s="21">
        <v>1</v>
      </c>
      <c r="AZ215" s="21">
        <v>1</v>
      </c>
      <c r="BA215" s="21">
        <v>1</v>
      </c>
      <c r="BB215" s="21">
        <v>1</v>
      </c>
      <c r="BC215" s="21">
        <v>1</v>
      </c>
      <c r="BD215" s="21">
        <v>1</v>
      </c>
      <c r="BE215" s="21">
        <v>1</v>
      </c>
      <c r="BF215" s="21">
        <v>1</v>
      </c>
      <c r="BG215" s="21">
        <v>1</v>
      </c>
      <c r="BH215" s="21">
        <v>1</v>
      </c>
      <c r="BI215">
        <v>-1</v>
      </c>
      <c r="BJ215">
        <v>-1</v>
      </c>
      <c r="BK215">
        <v>-1</v>
      </c>
    </row>
    <row r="216" spans="1:63" x14ac:dyDescent="0.3">
      <c r="A216" t="s">
        <v>552</v>
      </c>
      <c r="B216" s="21">
        <v>1</v>
      </c>
      <c r="C216" s="2">
        <f>'vehicles specifications'!S82</f>
        <v>81</v>
      </c>
      <c r="D216" s="21">
        <v>1</v>
      </c>
      <c r="E216">
        <v>1</v>
      </c>
      <c r="F216">
        <f>1+'vehicles specifications'!AD82</f>
        <v>1</v>
      </c>
      <c r="G216">
        <f>1+'vehicles specifications'!AD82</f>
        <v>1</v>
      </c>
      <c r="J216">
        <v>1</v>
      </c>
      <c r="K216">
        <f>1/('fuels and tailpipe emissions'!$C$3*3.6)</f>
        <v>2.358490566037736E-2</v>
      </c>
      <c r="L216" s="21">
        <f t="shared" si="9"/>
        <v>0.30555555555555558</v>
      </c>
      <c r="M216">
        <f>1/'vehicles specifications'!J82</f>
        <v>1.6103059581320449E-5</v>
      </c>
      <c r="N216" s="21">
        <v>1</v>
      </c>
      <c r="O216">
        <f>1</f>
        <v>1</v>
      </c>
      <c r="P216" s="21">
        <v>1</v>
      </c>
      <c r="Q216" s="21">
        <v>1</v>
      </c>
      <c r="R216">
        <f>-1-'vehicles specifications'!AD82</f>
        <v>-1</v>
      </c>
      <c r="S216">
        <v>1</v>
      </c>
      <c r="T216">
        <v>1</v>
      </c>
      <c r="U216">
        <v>1</v>
      </c>
      <c r="V216">
        <v>1</v>
      </c>
      <c r="W216">
        <v>1</v>
      </c>
      <c r="X216">
        <v>1</v>
      </c>
      <c r="Y216">
        <v>1</v>
      </c>
      <c r="Z216">
        <v>1</v>
      </c>
      <c r="AA216">
        <v>1</v>
      </c>
      <c r="AB216">
        <v>1</v>
      </c>
      <c r="AC216" s="21">
        <v>1</v>
      </c>
      <c r="AD216" s="21">
        <v>1</v>
      </c>
      <c r="AE216" s="21">
        <v>1</v>
      </c>
      <c r="AF216" s="21">
        <v>1</v>
      </c>
      <c r="AG216" s="21">
        <v>1</v>
      </c>
      <c r="AH216" s="21">
        <v>1</v>
      </c>
      <c r="AI216" s="21">
        <v>1</v>
      </c>
      <c r="AJ216" s="21">
        <v>1</v>
      </c>
      <c r="AK216" s="21">
        <v>1</v>
      </c>
      <c r="AL216" s="21">
        <v>1</v>
      </c>
      <c r="AM216" s="21">
        <v>1</v>
      </c>
      <c r="AN216" s="21">
        <v>1</v>
      </c>
      <c r="AO216" s="21">
        <v>1</v>
      </c>
      <c r="AP216" s="21">
        <v>1</v>
      </c>
      <c r="AQ216" s="21">
        <v>1</v>
      </c>
      <c r="AR216" s="21">
        <v>1</v>
      </c>
      <c r="AS216" s="21">
        <v>1</v>
      </c>
      <c r="AT216" s="21">
        <v>1</v>
      </c>
      <c r="AU216" s="21">
        <v>1</v>
      </c>
      <c r="AV216" s="21">
        <v>1</v>
      </c>
      <c r="AW216" s="21">
        <v>1</v>
      </c>
      <c r="AX216" s="21">
        <v>1</v>
      </c>
      <c r="AY216" s="21">
        <v>1</v>
      </c>
      <c r="AZ216" s="21">
        <v>1</v>
      </c>
      <c r="BA216" s="21">
        <v>1</v>
      </c>
      <c r="BB216" s="21">
        <v>1</v>
      </c>
      <c r="BC216" s="21">
        <v>1</v>
      </c>
      <c r="BD216" s="21">
        <v>1</v>
      </c>
      <c r="BE216" s="21">
        <v>1</v>
      </c>
      <c r="BF216" s="21">
        <v>1</v>
      </c>
      <c r="BG216" s="21">
        <v>1</v>
      </c>
      <c r="BH216" s="21">
        <v>1</v>
      </c>
      <c r="BI216">
        <v>-1</v>
      </c>
      <c r="BJ216">
        <v>-1</v>
      </c>
      <c r="BK216">
        <v>-1</v>
      </c>
    </row>
    <row r="217" spans="1:63" x14ac:dyDescent="0.3">
      <c r="A217" t="s">
        <v>553</v>
      </c>
      <c r="B217" s="21">
        <v>1</v>
      </c>
      <c r="C217" s="2">
        <f>'vehicles specifications'!S83</f>
        <v>111</v>
      </c>
      <c r="D217" s="21">
        <v>1</v>
      </c>
      <c r="E217">
        <v>1</v>
      </c>
      <c r="F217">
        <f>1+'vehicles specifications'!AD83</f>
        <v>2</v>
      </c>
      <c r="G217">
        <f>1+'vehicles specifications'!AD83</f>
        <v>2</v>
      </c>
      <c r="J217">
        <v>1</v>
      </c>
      <c r="K217">
        <f>1/('fuels and tailpipe emissions'!$C$3*3.6)</f>
        <v>2.358490566037736E-2</v>
      </c>
      <c r="L217" s="21">
        <f t="shared" si="9"/>
        <v>0.30555555555555558</v>
      </c>
      <c r="M217">
        <f>1/'vehicles specifications'!J83</f>
        <v>1.6103059581320449E-5</v>
      </c>
      <c r="N217" s="21">
        <v>1</v>
      </c>
      <c r="O217">
        <f>1</f>
        <v>1</v>
      </c>
      <c r="P217" s="21">
        <v>1</v>
      </c>
      <c r="Q217" s="21">
        <v>1</v>
      </c>
      <c r="R217">
        <f>-1-'vehicles specifications'!AD83</f>
        <v>-2</v>
      </c>
      <c r="S217">
        <v>1</v>
      </c>
      <c r="T217">
        <v>1</v>
      </c>
      <c r="U217">
        <v>1</v>
      </c>
      <c r="V217">
        <v>1</v>
      </c>
      <c r="W217">
        <v>1</v>
      </c>
      <c r="X217">
        <v>1</v>
      </c>
      <c r="Y217">
        <v>1</v>
      </c>
      <c r="Z217">
        <v>1</v>
      </c>
      <c r="AA217">
        <v>1</v>
      </c>
      <c r="AB217">
        <v>1</v>
      </c>
      <c r="AC217" s="21">
        <v>1</v>
      </c>
      <c r="AD217" s="21">
        <v>1</v>
      </c>
      <c r="AE217" s="21">
        <v>1</v>
      </c>
      <c r="AF217" s="21">
        <v>1</v>
      </c>
      <c r="AG217" s="21">
        <v>1</v>
      </c>
      <c r="AH217" s="21">
        <v>1</v>
      </c>
      <c r="AI217" s="21">
        <v>1</v>
      </c>
      <c r="AJ217" s="21">
        <v>1</v>
      </c>
      <c r="AK217" s="21">
        <v>1</v>
      </c>
      <c r="AL217" s="21">
        <v>1</v>
      </c>
      <c r="AM217" s="21">
        <v>1</v>
      </c>
      <c r="AN217" s="21">
        <v>1</v>
      </c>
      <c r="AO217" s="21">
        <v>1</v>
      </c>
      <c r="AP217" s="21">
        <v>1</v>
      </c>
      <c r="AQ217" s="21">
        <v>1</v>
      </c>
      <c r="AR217" s="21">
        <v>1</v>
      </c>
      <c r="AS217" s="21">
        <v>1</v>
      </c>
      <c r="AT217" s="21">
        <v>1</v>
      </c>
      <c r="AU217" s="21">
        <v>1</v>
      </c>
      <c r="AV217" s="21">
        <v>1</v>
      </c>
      <c r="AW217" s="21">
        <v>1</v>
      </c>
      <c r="AX217" s="21">
        <v>1</v>
      </c>
      <c r="AY217" s="21">
        <v>1</v>
      </c>
      <c r="AZ217" s="21">
        <v>1</v>
      </c>
      <c r="BA217" s="21">
        <v>1</v>
      </c>
      <c r="BB217" s="21">
        <v>1</v>
      </c>
      <c r="BC217" s="21">
        <v>1</v>
      </c>
      <c r="BD217" s="21">
        <v>1</v>
      </c>
      <c r="BE217" s="21">
        <v>1</v>
      </c>
      <c r="BF217" s="21">
        <v>1</v>
      </c>
      <c r="BG217" s="21">
        <v>1</v>
      </c>
      <c r="BH217" s="21">
        <v>1</v>
      </c>
      <c r="BI217">
        <v>-1</v>
      </c>
      <c r="BJ217">
        <v>-1</v>
      </c>
      <c r="BK217">
        <v>-1</v>
      </c>
    </row>
    <row r="218" spans="1:63" x14ac:dyDescent="0.3">
      <c r="A218" t="s">
        <v>554</v>
      </c>
      <c r="B218" s="21">
        <v>1</v>
      </c>
      <c r="C218" s="2">
        <f>'vehicles specifications'!S84</f>
        <v>111</v>
      </c>
      <c r="D218" s="21">
        <v>1</v>
      </c>
      <c r="E218">
        <v>1</v>
      </c>
      <c r="F218">
        <f>1+'vehicles specifications'!AD84</f>
        <v>1.5</v>
      </c>
      <c r="G218">
        <f>1+'vehicles specifications'!AD84</f>
        <v>1.5</v>
      </c>
      <c r="J218">
        <v>1</v>
      </c>
      <c r="K218">
        <f>1/('fuels and tailpipe emissions'!$C$3*3.6)</f>
        <v>2.358490566037736E-2</v>
      </c>
      <c r="L218" s="21">
        <f t="shared" si="9"/>
        <v>0.30555555555555558</v>
      </c>
      <c r="M218">
        <f>1/'vehicles specifications'!J84</f>
        <v>1.6103059581320449E-5</v>
      </c>
      <c r="N218" s="21">
        <v>1</v>
      </c>
      <c r="O218">
        <f>1</f>
        <v>1</v>
      </c>
      <c r="P218" s="21">
        <v>1</v>
      </c>
      <c r="Q218" s="21">
        <v>1</v>
      </c>
      <c r="R218">
        <f>-1-'vehicles specifications'!AD84</f>
        <v>-1.5</v>
      </c>
      <c r="S218">
        <v>1</v>
      </c>
      <c r="T218">
        <v>1</v>
      </c>
      <c r="U218">
        <v>1</v>
      </c>
      <c r="V218">
        <v>1</v>
      </c>
      <c r="W218">
        <v>1</v>
      </c>
      <c r="X218">
        <v>1</v>
      </c>
      <c r="Y218">
        <v>1</v>
      </c>
      <c r="Z218">
        <v>1</v>
      </c>
      <c r="AA218">
        <v>1</v>
      </c>
      <c r="AB218">
        <v>1</v>
      </c>
      <c r="AC218" s="21">
        <v>1</v>
      </c>
      <c r="AD218" s="21">
        <v>1</v>
      </c>
      <c r="AE218" s="21">
        <v>1</v>
      </c>
      <c r="AF218" s="21">
        <v>1</v>
      </c>
      <c r="AG218" s="21">
        <v>1</v>
      </c>
      <c r="AH218" s="21">
        <v>1</v>
      </c>
      <c r="AI218" s="21">
        <v>1</v>
      </c>
      <c r="AJ218" s="21">
        <v>1</v>
      </c>
      <c r="AK218" s="21">
        <v>1</v>
      </c>
      <c r="AL218" s="21">
        <v>1</v>
      </c>
      <c r="AM218" s="21">
        <v>1</v>
      </c>
      <c r="AN218" s="21">
        <v>1</v>
      </c>
      <c r="AO218" s="21">
        <v>1</v>
      </c>
      <c r="AP218" s="21">
        <v>1</v>
      </c>
      <c r="AQ218" s="21">
        <v>1</v>
      </c>
      <c r="AR218" s="21">
        <v>1</v>
      </c>
      <c r="AS218" s="21">
        <v>1</v>
      </c>
      <c r="AT218" s="21">
        <v>1</v>
      </c>
      <c r="AU218" s="21">
        <v>1</v>
      </c>
      <c r="AV218" s="21">
        <v>1</v>
      </c>
      <c r="AW218" s="21">
        <v>1</v>
      </c>
      <c r="AX218" s="21">
        <v>1</v>
      </c>
      <c r="AY218" s="21">
        <v>1</v>
      </c>
      <c r="AZ218" s="21">
        <v>1</v>
      </c>
      <c r="BA218" s="21">
        <v>1</v>
      </c>
      <c r="BB218" s="21">
        <v>1</v>
      </c>
      <c r="BC218" s="21">
        <v>1</v>
      </c>
      <c r="BD218" s="21">
        <v>1</v>
      </c>
      <c r="BE218" s="21">
        <v>1</v>
      </c>
      <c r="BF218" s="21">
        <v>1</v>
      </c>
      <c r="BG218" s="21">
        <v>1</v>
      </c>
      <c r="BH218" s="21">
        <v>1</v>
      </c>
      <c r="BI218">
        <v>-1</v>
      </c>
      <c r="BJ218">
        <v>-1</v>
      </c>
      <c r="BK218">
        <v>-1</v>
      </c>
    </row>
    <row r="219" spans="1:63" x14ac:dyDescent="0.3">
      <c r="A219" t="s">
        <v>555</v>
      </c>
      <c r="B219" s="21">
        <v>1</v>
      </c>
      <c r="C219" s="2">
        <f>'vehicles specifications'!S85</f>
        <v>111</v>
      </c>
      <c r="D219" s="21">
        <v>1</v>
      </c>
      <c r="E219">
        <v>1</v>
      </c>
      <c r="F219">
        <f>1+'vehicles specifications'!AD85</f>
        <v>1.25</v>
      </c>
      <c r="G219">
        <f>1+'vehicles specifications'!AD85</f>
        <v>1.25</v>
      </c>
      <c r="J219">
        <v>1</v>
      </c>
      <c r="K219">
        <f>1/('fuels and tailpipe emissions'!$C$3*3.6)</f>
        <v>2.358490566037736E-2</v>
      </c>
      <c r="L219" s="21">
        <f t="shared" si="9"/>
        <v>0.30555555555555558</v>
      </c>
      <c r="M219">
        <f>1/'vehicles specifications'!J85</f>
        <v>1.6103059581320449E-5</v>
      </c>
      <c r="N219" s="21">
        <v>1</v>
      </c>
      <c r="O219">
        <f>1</f>
        <v>1</v>
      </c>
      <c r="P219" s="21">
        <v>1</v>
      </c>
      <c r="Q219" s="21">
        <v>1</v>
      </c>
      <c r="R219">
        <f>-1-'vehicles specifications'!AD85</f>
        <v>-1.25</v>
      </c>
      <c r="S219">
        <v>1</v>
      </c>
      <c r="T219">
        <v>1</v>
      </c>
      <c r="U219">
        <v>1</v>
      </c>
      <c r="V219">
        <v>1</v>
      </c>
      <c r="W219">
        <v>1</v>
      </c>
      <c r="X219">
        <v>1</v>
      </c>
      <c r="Y219">
        <v>1</v>
      </c>
      <c r="Z219">
        <v>1</v>
      </c>
      <c r="AA219">
        <v>1</v>
      </c>
      <c r="AB219">
        <v>1</v>
      </c>
      <c r="AC219" s="21">
        <v>1</v>
      </c>
      <c r="AD219" s="21">
        <v>1</v>
      </c>
      <c r="AE219" s="21">
        <v>1</v>
      </c>
      <c r="AF219" s="21">
        <v>1</v>
      </c>
      <c r="AG219" s="21">
        <v>1</v>
      </c>
      <c r="AH219" s="21">
        <v>1</v>
      </c>
      <c r="AI219" s="21">
        <v>1</v>
      </c>
      <c r="AJ219" s="21">
        <v>1</v>
      </c>
      <c r="AK219" s="21">
        <v>1</v>
      </c>
      <c r="AL219" s="21">
        <v>1</v>
      </c>
      <c r="AM219" s="21">
        <v>1</v>
      </c>
      <c r="AN219" s="21">
        <v>1</v>
      </c>
      <c r="AO219" s="21">
        <v>1</v>
      </c>
      <c r="AP219" s="21">
        <v>1</v>
      </c>
      <c r="AQ219" s="21">
        <v>1</v>
      </c>
      <c r="AR219" s="21">
        <v>1</v>
      </c>
      <c r="AS219" s="21">
        <v>1</v>
      </c>
      <c r="AT219" s="21">
        <v>1</v>
      </c>
      <c r="AU219" s="21">
        <v>1</v>
      </c>
      <c r="AV219" s="21">
        <v>1</v>
      </c>
      <c r="AW219" s="21">
        <v>1</v>
      </c>
      <c r="AX219" s="21">
        <v>1</v>
      </c>
      <c r="AY219" s="21">
        <v>1</v>
      </c>
      <c r="AZ219" s="21">
        <v>1</v>
      </c>
      <c r="BA219" s="21">
        <v>1</v>
      </c>
      <c r="BB219" s="21">
        <v>1</v>
      </c>
      <c r="BC219" s="21">
        <v>1</v>
      </c>
      <c r="BD219" s="21">
        <v>1</v>
      </c>
      <c r="BE219" s="21">
        <v>1</v>
      </c>
      <c r="BF219" s="21">
        <v>1</v>
      </c>
      <c r="BG219" s="21">
        <v>1</v>
      </c>
      <c r="BH219" s="21">
        <v>1</v>
      </c>
      <c r="BI219">
        <v>-1</v>
      </c>
      <c r="BJ219">
        <v>-1</v>
      </c>
      <c r="BK219">
        <v>-1</v>
      </c>
    </row>
    <row r="220" spans="1:63" x14ac:dyDescent="0.3">
      <c r="A220" t="s">
        <v>556</v>
      </c>
      <c r="B220" s="21">
        <v>1</v>
      </c>
      <c r="C220" s="2">
        <f>'vehicles specifications'!S86</f>
        <v>111</v>
      </c>
      <c r="D220" s="21">
        <v>1</v>
      </c>
      <c r="E220">
        <v>1</v>
      </c>
      <c r="F220">
        <f>1+'vehicles specifications'!AD86</f>
        <v>1</v>
      </c>
      <c r="G220">
        <f>1+'vehicles specifications'!AD86</f>
        <v>1</v>
      </c>
      <c r="J220">
        <v>1</v>
      </c>
      <c r="K220">
        <f>1/('fuels and tailpipe emissions'!$C$3*3.6)</f>
        <v>2.358490566037736E-2</v>
      </c>
      <c r="L220" s="21">
        <f t="shared" si="9"/>
        <v>0.30555555555555558</v>
      </c>
      <c r="M220">
        <f>1/'vehicles specifications'!J86</f>
        <v>1.6103059581320449E-5</v>
      </c>
      <c r="N220" s="21">
        <v>1</v>
      </c>
      <c r="O220">
        <f>1</f>
        <v>1</v>
      </c>
      <c r="P220" s="21">
        <v>1</v>
      </c>
      <c r="Q220" s="21">
        <v>1</v>
      </c>
      <c r="R220">
        <f>-1-'vehicles specifications'!AD86</f>
        <v>-1</v>
      </c>
      <c r="S220">
        <v>1</v>
      </c>
      <c r="T220">
        <v>1</v>
      </c>
      <c r="U220">
        <v>1</v>
      </c>
      <c r="V220">
        <v>1</v>
      </c>
      <c r="W220">
        <v>1</v>
      </c>
      <c r="X220">
        <v>1</v>
      </c>
      <c r="Y220">
        <v>1</v>
      </c>
      <c r="Z220">
        <v>1</v>
      </c>
      <c r="AA220">
        <v>1</v>
      </c>
      <c r="AB220">
        <v>1</v>
      </c>
      <c r="AC220" s="21">
        <v>1</v>
      </c>
      <c r="AD220" s="21">
        <v>1</v>
      </c>
      <c r="AE220" s="21">
        <v>1</v>
      </c>
      <c r="AF220" s="21">
        <v>1</v>
      </c>
      <c r="AG220" s="21">
        <v>1</v>
      </c>
      <c r="AH220" s="21">
        <v>1</v>
      </c>
      <c r="AI220" s="21">
        <v>1</v>
      </c>
      <c r="AJ220" s="21">
        <v>1</v>
      </c>
      <c r="AK220" s="21">
        <v>1</v>
      </c>
      <c r="AL220" s="21">
        <v>1</v>
      </c>
      <c r="AM220" s="21">
        <v>1</v>
      </c>
      <c r="AN220" s="21">
        <v>1</v>
      </c>
      <c r="AO220" s="21">
        <v>1</v>
      </c>
      <c r="AP220" s="21">
        <v>1</v>
      </c>
      <c r="AQ220" s="21">
        <v>1</v>
      </c>
      <c r="AR220" s="21">
        <v>1</v>
      </c>
      <c r="AS220" s="21">
        <v>1</v>
      </c>
      <c r="AT220" s="21">
        <v>1</v>
      </c>
      <c r="AU220" s="21">
        <v>1</v>
      </c>
      <c r="AV220" s="21">
        <v>1</v>
      </c>
      <c r="AW220" s="21">
        <v>1</v>
      </c>
      <c r="AX220" s="21">
        <v>1</v>
      </c>
      <c r="AY220" s="21">
        <v>1</v>
      </c>
      <c r="AZ220" s="21">
        <v>1</v>
      </c>
      <c r="BA220" s="21">
        <v>1</v>
      </c>
      <c r="BB220" s="21">
        <v>1</v>
      </c>
      <c r="BC220" s="21">
        <v>1</v>
      </c>
      <c r="BD220" s="21">
        <v>1</v>
      </c>
      <c r="BE220" s="21">
        <v>1</v>
      </c>
      <c r="BF220" s="21">
        <v>1</v>
      </c>
      <c r="BG220" s="21">
        <v>1</v>
      </c>
      <c r="BH220" s="21">
        <v>1</v>
      </c>
      <c r="BI220">
        <v>-1</v>
      </c>
      <c r="BJ220">
        <v>-1</v>
      </c>
      <c r="BK220">
        <v>-1</v>
      </c>
    </row>
    <row r="222" spans="1:63" x14ac:dyDescent="0.3">
      <c r="A222" t="s">
        <v>170</v>
      </c>
    </row>
    <row r="224" spans="1:63" x14ac:dyDescent="0.3">
      <c r="B224" s="21" t="s">
        <v>15</v>
      </c>
      <c r="D224" t="s">
        <v>16</v>
      </c>
      <c r="E224" t="s">
        <v>557</v>
      </c>
      <c r="F224" t="s">
        <v>19</v>
      </c>
      <c r="G224" t="s">
        <v>20</v>
      </c>
      <c r="H224" t="s">
        <v>22</v>
      </c>
      <c r="I224" t="s">
        <v>24</v>
      </c>
      <c r="J224" t="s">
        <v>53</v>
      </c>
      <c r="K224" t="s">
        <v>27</v>
      </c>
      <c r="L224" t="s">
        <v>28</v>
      </c>
      <c r="M224" s="12" t="s">
        <v>123</v>
      </c>
      <c r="N224" t="s">
        <v>108</v>
      </c>
      <c r="O224" t="s">
        <v>117</v>
      </c>
      <c r="P224" t="s">
        <v>150</v>
      </c>
      <c r="Q224" t="s">
        <v>151</v>
      </c>
      <c r="R224" t="s">
        <v>152</v>
      </c>
      <c r="S224" t="s">
        <v>67</v>
      </c>
      <c r="T224" t="s">
        <v>68</v>
      </c>
      <c r="U224" t="s">
        <v>56</v>
      </c>
      <c r="V224" t="s">
        <v>57</v>
      </c>
      <c r="W224" t="s">
        <v>58</v>
      </c>
      <c r="X224" t="s">
        <v>59</v>
      </c>
      <c r="Y224" t="s">
        <v>60</v>
      </c>
      <c r="Z224" t="s">
        <v>62</v>
      </c>
      <c r="AA224" t="s">
        <v>61</v>
      </c>
      <c r="AB224" t="s">
        <v>63</v>
      </c>
      <c r="AC224" s="21" t="s">
        <v>659</v>
      </c>
      <c r="AD224" s="21" t="s">
        <v>603</v>
      </c>
      <c r="AE224" s="21" t="s">
        <v>604</v>
      </c>
      <c r="AF224" s="21" t="s">
        <v>605</v>
      </c>
      <c r="AG224" s="21" t="s">
        <v>606</v>
      </c>
      <c r="AH224" s="21" t="s">
        <v>607</v>
      </c>
      <c r="AI224" s="21" t="s">
        <v>608</v>
      </c>
      <c r="AJ224" s="21" t="s">
        <v>609</v>
      </c>
      <c r="AK224" s="21" t="s">
        <v>610</v>
      </c>
      <c r="AL224" s="21" t="s">
        <v>611</v>
      </c>
      <c r="AM224" s="21" t="s">
        <v>612</v>
      </c>
      <c r="AN224" s="21" t="s">
        <v>56</v>
      </c>
      <c r="AO224" s="21" t="s">
        <v>613</v>
      </c>
      <c r="AP224" s="21" t="s">
        <v>614</v>
      </c>
      <c r="AQ224" s="21" t="s">
        <v>615</v>
      </c>
      <c r="AR224" s="21" t="s">
        <v>616</v>
      </c>
      <c r="AS224" s="21" t="s">
        <v>617</v>
      </c>
      <c r="AT224" s="21" t="s">
        <v>618</v>
      </c>
      <c r="AU224" s="21" t="s">
        <v>619</v>
      </c>
      <c r="AV224" s="21" t="s">
        <v>622</v>
      </c>
      <c r="AW224" s="21" t="s">
        <v>620</v>
      </c>
      <c r="AX224" s="21" t="s">
        <v>621</v>
      </c>
      <c r="AY224" s="21" t="s">
        <v>623</v>
      </c>
      <c r="AZ224" s="21" t="s">
        <v>624</v>
      </c>
      <c r="BA224" s="21" t="s">
        <v>625</v>
      </c>
      <c r="BB224" s="21" t="s">
        <v>626</v>
      </c>
      <c r="BC224" s="21" t="s">
        <v>581</v>
      </c>
      <c r="BD224" s="21" t="s">
        <v>583</v>
      </c>
      <c r="BE224" s="21" t="s">
        <v>582</v>
      </c>
      <c r="BF224" s="21" t="s">
        <v>629</v>
      </c>
      <c r="BG224" s="21" t="s">
        <v>627</v>
      </c>
      <c r="BH224" s="21" t="s">
        <v>628</v>
      </c>
      <c r="BI224" t="s">
        <v>29</v>
      </c>
      <c r="BJ224" t="s">
        <v>30</v>
      </c>
      <c r="BK224" t="s">
        <v>31</v>
      </c>
    </row>
    <row r="225" spans="1:60" x14ac:dyDescent="0.3">
      <c r="A225" t="s">
        <v>688</v>
      </c>
      <c r="S225" t="s">
        <v>171</v>
      </c>
      <c r="T225" t="s">
        <v>171</v>
      </c>
      <c r="U225" t="s">
        <v>171</v>
      </c>
      <c r="V225" t="s">
        <v>171</v>
      </c>
      <c r="W225" t="s">
        <v>171</v>
      </c>
      <c r="X225" t="s">
        <v>171</v>
      </c>
      <c r="Y225" t="s">
        <v>171</v>
      </c>
      <c r="Z225" t="s">
        <v>171</v>
      </c>
      <c r="AA225" t="s">
        <v>171</v>
      </c>
      <c r="AB225" t="s">
        <v>171</v>
      </c>
      <c r="AC225" s="21" t="s">
        <v>171</v>
      </c>
      <c r="AD225" s="21" t="s">
        <v>171</v>
      </c>
      <c r="AE225" s="21" t="s">
        <v>171</v>
      </c>
      <c r="AF225" s="21" t="s">
        <v>171</v>
      </c>
      <c r="AG225" s="21" t="s">
        <v>171</v>
      </c>
      <c r="AH225" s="21" t="s">
        <v>171</v>
      </c>
      <c r="AI225" s="21" t="s">
        <v>171</v>
      </c>
      <c r="AJ225" s="21" t="s">
        <v>171</v>
      </c>
      <c r="AK225" s="21" t="s">
        <v>171</v>
      </c>
      <c r="AL225" s="21" t="s">
        <v>171</v>
      </c>
      <c r="AM225" s="21" t="s">
        <v>171</v>
      </c>
      <c r="AN225" s="21" t="s">
        <v>171</v>
      </c>
      <c r="AO225" s="21" t="s">
        <v>171</v>
      </c>
      <c r="AP225" s="21" t="s">
        <v>171</v>
      </c>
      <c r="AQ225" s="21" t="s">
        <v>171</v>
      </c>
      <c r="AR225" s="21" t="s">
        <v>171</v>
      </c>
      <c r="AS225" s="21" t="s">
        <v>171</v>
      </c>
      <c r="AT225" s="21" t="s">
        <v>171</v>
      </c>
      <c r="AU225" s="21" t="s">
        <v>171</v>
      </c>
      <c r="AV225" s="21" t="s">
        <v>171</v>
      </c>
      <c r="AW225" s="21" t="s">
        <v>171</v>
      </c>
      <c r="AX225" s="21" t="s">
        <v>171</v>
      </c>
      <c r="AY225" s="21" t="s">
        <v>171</v>
      </c>
      <c r="AZ225" s="21" t="s">
        <v>171</v>
      </c>
      <c r="BA225" s="21" t="s">
        <v>171</v>
      </c>
      <c r="BB225" s="21" t="s">
        <v>171</v>
      </c>
      <c r="BC225" s="21" t="s">
        <v>171</v>
      </c>
      <c r="BD225" s="21" t="s">
        <v>171</v>
      </c>
      <c r="BE225" s="21" t="s">
        <v>171</v>
      </c>
      <c r="BF225" s="21" t="s">
        <v>171</v>
      </c>
      <c r="BG225" s="21" t="s">
        <v>171</v>
      </c>
      <c r="BH225" s="21" t="s">
        <v>171</v>
      </c>
    </row>
    <row r="226" spans="1:60" x14ac:dyDescent="0.3">
      <c r="A226" t="s">
        <v>33</v>
      </c>
      <c r="S226" t="s">
        <v>171</v>
      </c>
      <c r="T226" t="s">
        <v>171</v>
      </c>
      <c r="U226" t="s">
        <v>171</v>
      </c>
      <c r="V226" t="s">
        <v>171</v>
      </c>
      <c r="W226" t="s">
        <v>171</v>
      </c>
      <c r="X226" t="s">
        <v>171</v>
      </c>
      <c r="Y226" t="s">
        <v>171</v>
      </c>
      <c r="Z226" t="s">
        <v>171</v>
      </c>
      <c r="AA226" t="s">
        <v>171</v>
      </c>
      <c r="AB226" t="s">
        <v>171</v>
      </c>
      <c r="AC226" s="21" t="s">
        <v>171</v>
      </c>
      <c r="AD226" s="21" t="s">
        <v>171</v>
      </c>
      <c r="AE226" s="21" t="s">
        <v>171</v>
      </c>
      <c r="AF226" s="21" t="s">
        <v>171</v>
      </c>
      <c r="AG226" s="21" t="s">
        <v>171</v>
      </c>
      <c r="AH226" s="21" t="s">
        <v>171</v>
      </c>
      <c r="AI226" s="21" t="s">
        <v>171</v>
      </c>
      <c r="AJ226" s="21" t="s">
        <v>171</v>
      </c>
      <c r="AK226" s="21" t="s">
        <v>171</v>
      </c>
      <c r="AL226" s="21" t="s">
        <v>171</v>
      </c>
      <c r="AM226" s="21" t="s">
        <v>171</v>
      </c>
      <c r="AN226" s="21" t="s">
        <v>171</v>
      </c>
      <c r="AO226" s="21" t="s">
        <v>171</v>
      </c>
      <c r="AP226" s="21" t="s">
        <v>171</v>
      </c>
      <c r="AQ226" s="21" t="s">
        <v>171</v>
      </c>
      <c r="AR226" s="21" t="s">
        <v>171</v>
      </c>
      <c r="AS226" s="21" t="s">
        <v>171</v>
      </c>
      <c r="AT226" s="21" t="s">
        <v>171</v>
      </c>
      <c r="AU226" s="21" t="s">
        <v>171</v>
      </c>
      <c r="AV226" s="21" t="s">
        <v>171</v>
      </c>
      <c r="AW226" s="21" t="s">
        <v>171</v>
      </c>
      <c r="AX226" s="21" t="s">
        <v>171</v>
      </c>
      <c r="AY226" s="21" t="s">
        <v>171</v>
      </c>
      <c r="AZ226" s="21" t="s">
        <v>171</v>
      </c>
      <c r="BA226" s="21" t="s">
        <v>171</v>
      </c>
      <c r="BB226" s="21" t="s">
        <v>171</v>
      </c>
      <c r="BC226" s="21" t="s">
        <v>171</v>
      </c>
      <c r="BD226" s="21" t="s">
        <v>171</v>
      </c>
      <c r="BE226" s="21" t="s">
        <v>171</v>
      </c>
      <c r="BF226" s="21" t="s">
        <v>171</v>
      </c>
      <c r="BG226" s="21" t="s">
        <v>171</v>
      </c>
      <c r="BH226" s="21" t="s">
        <v>171</v>
      </c>
    </row>
    <row r="227" spans="1:60" x14ac:dyDescent="0.3">
      <c r="A227" t="s">
        <v>517</v>
      </c>
      <c r="S227" t="s">
        <v>171</v>
      </c>
      <c r="T227" t="s">
        <v>171</v>
      </c>
      <c r="U227" t="s">
        <v>171</v>
      </c>
      <c r="V227" t="s">
        <v>171</v>
      </c>
      <c r="W227" t="s">
        <v>171</v>
      </c>
      <c r="X227" t="s">
        <v>171</v>
      </c>
      <c r="Y227" t="s">
        <v>171</v>
      </c>
      <c r="Z227" t="s">
        <v>171</v>
      </c>
      <c r="AA227" t="s">
        <v>171</v>
      </c>
      <c r="AB227" t="s">
        <v>171</v>
      </c>
      <c r="AC227" s="21" t="s">
        <v>171</v>
      </c>
      <c r="AD227" s="21" t="s">
        <v>171</v>
      </c>
      <c r="AE227" s="21" t="s">
        <v>171</v>
      </c>
      <c r="AF227" s="21" t="s">
        <v>171</v>
      </c>
      <c r="AG227" s="21" t="s">
        <v>171</v>
      </c>
      <c r="AH227" s="21" t="s">
        <v>171</v>
      </c>
      <c r="AI227" s="21" t="s">
        <v>171</v>
      </c>
      <c r="AJ227" s="21" t="s">
        <v>171</v>
      </c>
      <c r="AK227" s="21" t="s">
        <v>171</v>
      </c>
      <c r="AL227" s="21" t="s">
        <v>171</v>
      </c>
      <c r="AM227" s="21" t="s">
        <v>171</v>
      </c>
      <c r="AN227" s="21" t="s">
        <v>171</v>
      </c>
      <c r="AO227" s="21" t="s">
        <v>171</v>
      </c>
      <c r="AP227" s="21" t="s">
        <v>171</v>
      </c>
      <c r="AQ227" s="21" t="s">
        <v>171</v>
      </c>
      <c r="AR227" s="21" t="s">
        <v>171</v>
      </c>
      <c r="AS227" s="21" t="s">
        <v>171</v>
      </c>
      <c r="AT227" s="21" t="s">
        <v>171</v>
      </c>
      <c r="AU227" s="21" t="s">
        <v>171</v>
      </c>
      <c r="AV227" s="21" t="s">
        <v>171</v>
      </c>
      <c r="AW227" s="21" t="s">
        <v>171</v>
      </c>
      <c r="AX227" s="21" t="s">
        <v>171</v>
      </c>
      <c r="AY227" s="21" t="s">
        <v>171</v>
      </c>
      <c r="AZ227" s="21" t="s">
        <v>171</v>
      </c>
      <c r="BA227" s="21" t="s">
        <v>171</v>
      </c>
      <c r="BB227" s="21" t="s">
        <v>171</v>
      </c>
      <c r="BC227" s="21" t="s">
        <v>171</v>
      </c>
      <c r="BD227" s="21" t="s">
        <v>171</v>
      </c>
      <c r="BE227" s="21" t="s">
        <v>171</v>
      </c>
      <c r="BF227" s="21" t="s">
        <v>171</v>
      </c>
      <c r="BG227" s="21" t="s">
        <v>171</v>
      </c>
      <c r="BH227" s="21" t="s">
        <v>171</v>
      </c>
    </row>
    <row r="228" spans="1:60" x14ac:dyDescent="0.3">
      <c r="A228" t="s">
        <v>518</v>
      </c>
      <c r="S228" t="s">
        <v>171</v>
      </c>
      <c r="T228" t="s">
        <v>171</v>
      </c>
      <c r="U228" t="s">
        <v>171</v>
      </c>
      <c r="V228" t="s">
        <v>171</v>
      </c>
      <c r="W228" t="s">
        <v>171</v>
      </c>
      <c r="X228" t="s">
        <v>171</v>
      </c>
      <c r="Y228" t="s">
        <v>171</v>
      </c>
      <c r="Z228" t="s">
        <v>171</v>
      </c>
      <c r="AA228" t="s">
        <v>171</v>
      </c>
      <c r="AB228" t="s">
        <v>171</v>
      </c>
      <c r="AC228" s="21" t="s">
        <v>171</v>
      </c>
      <c r="AD228" s="21" t="s">
        <v>171</v>
      </c>
      <c r="AE228" s="21" t="s">
        <v>171</v>
      </c>
      <c r="AF228" s="21" t="s">
        <v>171</v>
      </c>
      <c r="AG228" s="21" t="s">
        <v>171</v>
      </c>
      <c r="AH228" s="21" t="s">
        <v>171</v>
      </c>
      <c r="AI228" s="21" t="s">
        <v>171</v>
      </c>
      <c r="AJ228" s="21" t="s">
        <v>171</v>
      </c>
      <c r="AK228" s="21" t="s">
        <v>171</v>
      </c>
      <c r="AL228" s="21" t="s">
        <v>171</v>
      </c>
      <c r="AM228" s="21" t="s">
        <v>171</v>
      </c>
      <c r="AN228" s="21" t="s">
        <v>171</v>
      </c>
      <c r="AO228" s="21" t="s">
        <v>171</v>
      </c>
      <c r="AP228" s="21" t="s">
        <v>171</v>
      </c>
      <c r="AQ228" s="21" t="s">
        <v>171</v>
      </c>
      <c r="AR228" s="21" t="s">
        <v>171</v>
      </c>
      <c r="AS228" s="21" t="s">
        <v>171</v>
      </c>
      <c r="AT228" s="21" t="s">
        <v>171</v>
      </c>
      <c r="AU228" s="21" t="s">
        <v>171</v>
      </c>
      <c r="AV228" s="21" t="s">
        <v>171</v>
      </c>
      <c r="AW228" s="21" t="s">
        <v>171</v>
      </c>
      <c r="AX228" s="21" t="s">
        <v>171</v>
      </c>
      <c r="AY228" s="21" t="s">
        <v>171</v>
      </c>
      <c r="AZ228" s="21" t="s">
        <v>171</v>
      </c>
      <c r="BA228" s="21" t="s">
        <v>171</v>
      </c>
      <c r="BB228" s="21" t="s">
        <v>171</v>
      </c>
      <c r="BC228" s="21" t="s">
        <v>171</v>
      </c>
      <c r="BD228" s="21" t="s">
        <v>171</v>
      </c>
      <c r="BE228" s="21" t="s">
        <v>171</v>
      </c>
      <c r="BF228" s="21" t="s">
        <v>171</v>
      </c>
      <c r="BG228" s="21" t="s">
        <v>171</v>
      </c>
      <c r="BH228" s="21" t="s">
        <v>171</v>
      </c>
    </row>
    <row r="229" spans="1:60" x14ac:dyDescent="0.3">
      <c r="A229" t="s">
        <v>524</v>
      </c>
      <c r="S229" t="s">
        <v>171</v>
      </c>
      <c r="T229" t="s">
        <v>171</v>
      </c>
      <c r="U229" t="s">
        <v>171</v>
      </c>
      <c r="V229" t="s">
        <v>171</v>
      </c>
      <c r="W229" t="s">
        <v>171</v>
      </c>
      <c r="X229" t="s">
        <v>171</v>
      </c>
      <c r="Y229" t="s">
        <v>171</v>
      </c>
      <c r="Z229" t="s">
        <v>171</v>
      </c>
      <c r="AA229" t="s">
        <v>171</v>
      </c>
      <c r="AB229" t="s">
        <v>171</v>
      </c>
      <c r="AC229" s="21" t="s">
        <v>171</v>
      </c>
      <c r="AD229" s="21" t="s">
        <v>171</v>
      </c>
      <c r="AE229" s="21" t="s">
        <v>171</v>
      </c>
      <c r="AF229" s="21" t="s">
        <v>171</v>
      </c>
      <c r="AG229" s="21" t="s">
        <v>171</v>
      </c>
      <c r="AH229" s="21" t="s">
        <v>171</v>
      </c>
      <c r="AI229" s="21" t="s">
        <v>171</v>
      </c>
      <c r="AJ229" s="21" t="s">
        <v>171</v>
      </c>
      <c r="AK229" s="21" t="s">
        <v>171</v>
      </c>
      <c r="AL229" s="21" t="s">
        <v>171</v>
      </c>
      <c r="AM229" s="21" t="s">
        <v>171</v>
      </c>
      <c r="AN229" s="21" t="s">
        <v>171</v>
      </c>
      <c r="AO229" s="21" t="s">
        <v>171</v>
      </c>
      <c r="AP229" s="21" t="s">
        <v>171</v>
      </c>
      <c r="AQ229" s="21" t="s">
        <v>171</v>
      </c>
      <c r="AR229" s="21" t="s">
        <v>171</v>
      </c>
      <c r="AS229" s="21" t="s">
        <v>171</v>
      </c>
      <c r="AT229" s="21" t="s">
        <v>171</v>
      </c>
      <c r="AU229" s="21" t="s">
        <v>171</v>
      </c>
      <c r="AV229" s="21" t="s">
        <v>171</v>
      </c>
      <c r="AW229" s="21" t="s">
        <v>171</v>
      </c>
      <c r="AX229" s="21" t="s">
        <v>171</v>
      </c>
      <c r="AY229" s="21" t="s">
        <v>171</v>
      </c>
      <c r="AZ229" s="21" t="s">
        <v>171</v>
      </c>
      <c r="BA229" s="21" t="s">
        <v>171</v>
      </c>
      <c r="BB229" s="21" t="s">
        <v>171</v>
      </c>
      <c r="BC229" s="21" t="s">
        <v>171</v>
      </c>
      <c r="BD229" s="21" t="s">
        <v>171</v>
      </c>
      <c r="BE229" s="21" t="s">
        <v>171</v>
      </c>
      <c r="BF229" s="21" t="s">
        <v>171</v>
      </c>
      <c r="BG229" s="21" t="s">
        <v>171</v>
      </c>
      <c r="BH229" s="21" t="s">
        <v>171</v>
      </c>
    </row>
    <row r="230" spans="1:60" x14ac:dyDescent="0.3">
      <c r="A230" t="s">
        <v>41</v>
      </c>
      <c r="S230" t="s">
        <v>171</v>
      </c>
      <c r="T230" t="s">
        <v>171</v>
      </c>
      <c r="U230" t="s">
        <v>171</v>
      </c>
      <c r="V230" t="s">
        <v>171</v>
      </c>
      <c r="W230" t="s">
        <v>171</v>
      </c>
      <c r="X230" t="s">
        <v>171</v>
      </c>
      <c r="Y230" t="s">
        <v>171</v>
      </c>
      <c r="Z230" t="s">
        <v>171</v>
      </c>
      <c r="AA230" t="s">
        <v>171</v>
      </c>
      <c r="AB230" t="s">
        <v>171</v>
      </c>
      <c r="AC230" s="21" t="s">
        <v>171</v>
      </c>
      <c r="AD230" s="21" t="s">
        <v>171</v>
      </c>
      <c r="AE230" s="21" t="s">
        <v>171</v>
      </c>
      <c r="AF230" s="21" t="s">
        <v>171</v>
      </c>
      <c r="AG230" s="21" t="s">
        <v>171</v>
      </c>
      <c r="AH230" s="21" t="s">
        <v>171</v>
      </c>
      <c r="AI230" s="21" t="s">
        <v>171</v>
      </c>
      <c r="AJ230" s="21" t="s">
        <v>171</v>
      </c>
      <c r="AK230" s="21" t="s">
        <v>171</v>
      </c>
      <c r="AL230" s="21" t="s">
        <v>171</v>
      </c>
      <c r="AM230" s="21" t="s">
        <v>171</v>
      </c>
      <c r="AN230" s="21" t="s">
        <v>171</v>
      </c>
      <c r="AO230" s="21" t="s">
        <v>171</v>
      </c>
      <c r="AP230" s="21" t="s">
        <v>171</v>
      </c>
      <c r="AQ230" s="21" t="s">
        <v>171</v>
      </c>
      <c r="AR230" s="21" t="s">
        <v>171</v>
      </c>
      <c r="AS230" s="21" t="s">
        <v>171</v>
      </c>
      <c r="AT230" s="21" t="s">
        <v>171</v>
      </c>
      <c r="AU230" s="21" t="s">
        <v>171</v>
      </c>
      <c r="AV230" s="21" t="s">
        <v>171</v>
      </c>
      <c r="AW230" s="21" t="s">
        <v>171</v>
      </c>
      <c r="AX230" s="21" t="s">
        <v>171</v>
      </c>
      <c r="AY230" s="21" t="s">
        <v>171</v>
      </c>
      <c r="AZ230" s="21" t="s">
        <v>171</v>
      </c>
      <c r="BA230" s="21" t="s">
        <v>171</v>
      </c>
      <c r="BB230" s="21" t="s">
        <v>171</v>
      </c>
      <c r="BC230" s="21" t="s">
        <v>171</v>
      </c>
      <c r="BD230" s="21" t="s">
        <v>171</v>
      </c>
      <c r="BE230" s="21" t="s">
        <v>171</v>
      </c>
      <c r="BF230" s="21" t="s">
        <v>171</v>
      </c>
      <c r="BG230" s="21" t="s">
        <v>171</v>
      </c>
      <c r="BH230" s="21" t="s">
        <v>171</v>
      </c>
    </row>
    <row r="231" spans="1:60" x14ac:dyDescent="0.3">
      <c r="A231" t="s">
        <v>519</v>
      </c>
      <c r="S231" t="s">
        <v>171</v>
      </c>
      <c r="T231" t="s">
        <v>171</v>
      </c>
      <c r="U231" t="s">
        <v>171</v>
      </c>
      <c r="V231" t="s">
        <v>171</v>
      </c>
      <c r="W231" t="s">
        <v>171</v>
      </c>
      <c r="X231" t="s">
        <v>171</v>
      </c>
      <c r="Y231" t="s">
        <v>171</v>
      </c>
      <c r="Z231" t="s">
        <v>171</v>
      </c>
      <c r="AA231" t="s">
        <v>171</v>
      </c>
      <c r="AB231" t="s">
        <v>171</v>
      </c>
      <c r="AC231" s="21" t="s">
        <v>171</v>
      </c>
      <c r="AD231" s="21" t="s">
        <v>171</v>
      </c>
      <c r="AE231" s="21" t="s">
        <v>171</v>
      </c>
      <c r="AF231" s="21" t="s">
        <v>171</v>
      </c>
      <c r="AG231" s="21" t="s">
        <v>171</v>
      </c>
      <c r="AH231" s="21" t="s">
        <v>171</v>
      </c>
      <c r="AI231" s="21" t="s">
        <v>171</v>
      </c>
      <c r="AJ231" s="21" t="s">
        <v>171</v>
      </c>
      <c r="AK231" s="21" t="s">
        <v>171</v>
      </c>
      <c r="AL231" s="21" t="s">
        <v>171</v>
      </c>
      <c r="AM231" s="21" t="s">
        <v>171</v>
      </c>
      <c r="AN231" s="21" t="s">
        <v>171</v>
      </c>
      <c r="AO231" s="21" t="s">
        <v>171</v>
      </c>
      <c r="AP231" s="21" t="s">
        <v>171</v>
      </c>
      <c r="AQ231" s="21" t="s">
        <v>171</v>
      </c>
      <c r="AR231" s="21" t="s">
        <v>171</v>
      </c>
      <c r="AS231" s="21" t="s">
        <v>171</v>
      </c>
      <c r="AT231" s="21" t="s">
        <v>171</v>
      </c>
      <c r="AU231" s="21" t="s">
        <v>171</v>
      </c>
      <c r="AV231" s="21" t="s">
        <v>171</v>
      </c>
      <c r="AW231" s="21" t="s">
        <v>171</v>
      </c>
      <c r="AX231" s="21" t="s">
        <v>171</v>
      </c>
      <c r="AY231" s="21" t="s">
        <v>171</v>
      </c>
      <c r="AZ231" s="21" t="s">
        <v>171</v>
      </c>
      <c r="BA231" s="21" t="s">
        <v>171</v>
      </c>
      <c r="BB231" s="21" t="s">
        <v>171</v>
      </c>
      <c r="BC231" s="21" t="s">
        <v>171</v>
      </c>
      <c r="BD231" s="21" t="s">
        <v>171</v>
      </c>
      <c r="BE231" s="21" t="s">
        <v>171</v>
      </c>
      <c r="BF231" s="21" t="s">
        <v>171</v>
      </c>
      <c r="BG231" s="21" t="s">
        <v>171</v>
      </c>
      <c r="BH231" s="21" t="s">
        <v>171</v>
      </c>
    </row>
    <row r="232" spans="1:60" x14ac:dyDescent="0.3">
      <c r="A232" t="s">
        <v>645</v>
      </c>
      <c r="S232" t="s">
        <v>171</v>
      </c>
      <c r="T232" t="s">
        <v>171</v>
      </c>
      <c r="U232" t="s">
        <v>171</v>
      </c>
      <c r="V232" t="s">
        <v>171</v>
      </c>
      <c r="W232" t="s">
        <v>171</v>
      </c>
      <c r="X232" t="s">
        <v>171</v>
      </c>
      <c r="Y232" t="s">
        <v>171</v>
      </c>
      <c r="Z232" t="s">
        <v>171</v>
      </c>
      <c r="AA232" t="s">
        <v>171</v>
      </c>
      <c r="AB232" t="s">
        <v>171</v>
      </c>
      <c r="AC232" s="21" t="s">
        <v>171</v>
      </c>
      <c r="AD232" s="21" t="s">
        <v>171</v>
      </c>
      <c r="AE232" s="21" t="s">
        <v>171</v>
      </c>
      <c r="AF232" s="21" t="s">
        <v>171</v>
      </c>
      <c r="AG232" s="21" t="s">
        <v>171</v>
      </c>
      <c r="AH232" s="21" t="s">
        <v>171</v>
      </c>
      <c r="AI232" s="21" t="s">
        <v>171</v>
      </c>
      <c r="AJ232" s="21" t="s">
        <v>171</v>
      </c>
      <c r="AK232" s="21" t="s">
        <v>171</v>
      </c>
      <c r="AL232" s="21" t="s">
        <v>171</v>
      </c>
      <c r="AM232" s="21" t="s">
        <v>171</v>
      </c>
      <c r="AN232" s="21" t="s">
        <v>171</v>
      </c>
      <c r="AO232" s="21" t="s">
        <v>171</v>
      </c>
      <c r="AP232" s="21" t="s">
        <v>171</v>
      </c>
      <c r="AQ232" s="21" t="s">
        <v>171</v>
      </c>
      <c r="AR232" s="21" t="s">
        <v>171</v>
      </c>
      <c r="AS232" s="21" t="s">
        <v>171</v>
      </c>
      <c r="AT232" s="21" t="s">
        <v>171</v>
      </c>
      <c r="AU232" s="21" t="s">
        <v>171</v>
      </c>
      <c r="AV232" s="21" t="s">
        <v>171</v>
      </c>
      <c r="AW232" s="21" t="s">
        <v>171</v>
      </c>
      <c r="AX232" s="21" t="s">
        <v>171</v>
      </c>
      <c r="AY232" s="21" t="s">
        <v>171</v>
      </c>
      <c r="AZ232" s="21" t="s">
        <v>171</v>
      </c>
      <c r="BA232" s="21" t="s">
        <v>171</v>
      </c>
      <c r="BB232" s="21" t="s">
        <v>171</v>
      </c>
      <c r="BC232" s="21" t="s">
        <v>171</v>
      </c>
      <c r="BD232" s="21" t="s">
        <v>171</v>
      </c>
      <c r="BE232" s="21" t="s">
        <v>171</v>
      </c>
      <c r="BF232" s="21" t="s">
        <v>171</v>
      </c>
      <c r="BG232" s="21" t="s">
        <v>171</v>
      </c>
      <c r="BH232" s="21" t="s">
        <v>171</v>
      </c>
    </row>
    <row r="233" spans="1:60" x14ac:dyDescent="0.3">
      <c r="A233" t="s">
        <v>646</v>
      </c>
      <c r="S233" t="s">
        <v>171</v>
      </c>
      <c r="T233" t="s">
        <v>171</v>
      </c>
      <c r="U233" t="s">
        <v>171</v>
      </c>
      <c r="V233" t="s">
        <v>171</v>
      </c>
      <c r="W233" t="s">
        <v>171</v>
      </c>
      <c r="X233" t="s">
        <v>171</v>
      </c>
      <c r="Y233" t="s">
        <v>171</v>
      </c>
      <c r="Z233" t="s">
        <v>171</v>
      </c>
      <c r="AA233" t="s">
        <v>171</v>
      </c>
      <c r="AB233" t="s">
        <v>171</v>
      </c>
      <c r="AC233" s="21" t="s">
        <v>171</v>
      </c>
      <c r="AD233" s="21" t="s">
        <v>171</v>
      </c>
      <c r="AE233" s="21" t="s">
        <v>171</v>
      </c>
      <c r="AF233" s="21" t="s">
        <v>171</v>
      </c>
      <c r="AG233" s="21" t="s">
        <v>171</v>
      </c>
      <c r="AH233" s="21" t="s">
        <v>171</v>
      </c>
      <c r="AI233" s="21" t="s">
        <v>171</v>
      </c>
      <c r="AJ233" s="21" t="s">
        <v>171</v>
      </c>
      <c r="AK233" s="21" t="s">
        <v>171</v>
      </c>
      <c r="AL233" s="21" t="s">
        <v>171</v>
      </c>
      <c r="AM233" s="21" t="s">
        <v>171</v>
      </c>
      <c r="AN233" s="21" t="s">
        <v>171</v>
      </c>
      <c r="AO233" s="21" t="s">
        <v>171</v>
      </c>
      <c r="AP233" s="21" t="s">
        <v>171</v>
      </c>
      <c r="AQ233" s="21" t="s">
        <v>171</v>
      </c>
      <c r="AR233" s="21" t="s">
        <v>171</v>
      </c>
      <c r="AS233" s="21" t="s">
        <v>171</v>
      </c>
      <c r="AT233" s="21" t="s">
        <v>171</v>
      </c>
      <c r="AU233" s="21" t="s">
        <v>171</v>
      </c>
      <c r="AV233" s="21" t="s">
        <v>171</v>
      </c>
      <c r="AW233" s="21" t="s">
        <v>171</v>
      </c>
      <c r="AX233" s="21" t="s">
        <v>171</v>
      </c>
      <c r="AY233" s="21" t="s">
        <v>171</v>
      </c>
      <c r="AZ233" s="21" t="s">
        <v>171</v>
      </c>
      <c r="BA233" s="21" t="s">
        <v>171</v>
      </c>
      <c r="BB233" s="21" t="s">
        <v>171</v>
      </c>
      <c r="BC233" s="21" t="s">
        <v>171</v>
      </c>
      <c r="BD233" s="21" t="s">
        <v>171</v>
      </c>
      <c r="BE233" s="21" t="s">
        <v>171</v>
      </c>
      <c r="BF233" s="21" t="s">
        <v>171</v>
      </c>
      <c r="BG233" s="21" t="s">
        <v>171</v>
      </c>
      <c r="BH233" s="21" t="s">
        <v>171</v>
      </c>
    </row>
    <row r="234" spans="1:60" x14ac:dyDescent="0.3">
      <c r="A234" t="s">
        <v>647</v>
      </c>
      <c r="S234" t="s">
        <v>171</v>
      </c>
      <c r="T234" t="s">
        <v>171</v>
      </c>
      <c r="U234" t="s">
        <v>171</v>
      </c>
      <c r="V234" t="s">
        <v>171</v>
      </c>
      <c r="W234" t="s">
        <v>171</v>
      </c>
      <c r="X234" t="s">
        <v>171</v>
      </c>
      <c r="Y234" t="s">
        <v>171</v>
      </c>
      <c r="Z234" t="s">
        <v>171</v>
      </c>
      <c r="AA234" t="s">
        <v>171</v>
      </c>
      <c r="AB234" t="s">
        <v>171</v>
      </c>
      <c r="AC234" s="21" t="s">
        <v>171</v>
      </c>
      <c r="AD234" s="21" t="s">
        <v>171</v>
      </c>
      <c r="AE234" s="21" t="s">
        <v>171</v>
      </c>
      <c r="AF234" s="21" t="s">
        <v>171</v>
      </c>
      <c r="AG234" s="21" t="s">
        <v>171</v>
      </c>
      <c r="AH234" s="21" t="s">
        <v>171</v>
      </c>
      <c r="AI234" s="21" t="s">
        <v>171</v>
      </c>
      <c r="AJ234" s="21" t="s">
        <v>171</v>
      </c>
      <c r="AK234" s="21" t="s">
        <v>171</v>
      </c>
      <c r="AL234" s="21" t="s">
        <v>171</v>
      </c>
      <c r="AM234" s="21" t="s">
        <v>171</v>
      </c>
      <c r="AN234" s="21" t="s">
        <v>171</v>
      </c>
      <c r="AO234" s="21" t="s">
        <v>171</v>
      </c>
      <c r="AP234" s="21" t="s">
        <v>171</v>
      </c>
      <c r="AQ234" s="21" t="s">
        <v>171</v>
      </c>
      <c r="AR234" s="21" t="s">
        <v>171</v>
      </c>
      <c r="AS234" s="21" t="s">
        <v>171</v>
      </c>
      <c r="AT234" s="21" t="s">
        <v>171</v>
      </c>
      <c r="AU234" s="21" t="s">
        <v>171</v>
      </c>
      <c r="AV234" s="21" t="s">
        <v>171</v>
      </c>
      <c r="AW234" s="21" t="s">
        <v>171</v>
      </c>
      <c r="AX234" s="21" t="s">
        <v>171</v>
      </c>
      <c r="AY234" s="21" t="s">
        <v>171</v>
      </c>
      <c r="AZ234" s="21" t="s">
        <v>171</v>
      </c>
      <c r="BA234" s="21" t="s">
        <v>171</v>
      </c>
      <c r="BB234" s="21" t="s">
        <v>171</v>
      </c>
      <c r="BC234" s="21" t="s">
        <v>171</v>
      </c>
      <c r="BD234" s="21" t="s">
        <v>171</v>
      </c>
      <c r="BE234" s="21" t="s">
        <v>171</v>
      </c>
      <c r="BF234" s="21" t="s">
        <v>171</v>
      </c>
      <c r="BG234" s="21" t="s">
        <v>171</v>
      </c>
      <c r="BH234" s="21" t="s">
        <v>171</v>
      </c>
    </row>
    <row r="235" spans="1:60" s="21" customFormat="1" x14ac:dyDescent="0.3">
      <c r="A235" s="21" t="s">
        <v>675</v>
      </c>
      <c r="S235" s="21" t="s">
        <v>171</v>
      </c>
      <c r="T235" s="21" t="s">
        <v>171</v>
      </c>
      <c r="U235" s="21" t="s">
        <v>171</v>
      </c>
      <c r="V235" s="21" t="s">
        <v>171</v>
      </c>
      <c r="W235" s="21" t="s">
        <v>171</v>
      </c>
      <c r="X235" s="21" t="s">
        <v>171</v>
      </c>
      <c r="Y235" s="21" t="s">
        <v>171</v>
      </c>
      <c r="Z235" s="21" t="s">
        <v>171</v>
      </c>
      <c r="AA235" s="21" t="s">
        <v>171</v>
      </c>
      <c r="AB235" s="21" t="s">
        <v>171</v>
      </c>
      <c r="AC235" s="21" t="s">
        <v>171</v>
      </c>
      <c r="AD235" s="21" t="s">
        <v>171</v>
      </c>
      <c r="AE235" s="21" t="s">
        <v>171</v>
      </c>
      <c r="AF235" s="21" t="s">
        <v>171</v>
      </c>
      <c r="AG235" s="21" t="s">
        <v>171</v>
      </c>
      <c r="AH235" s="21" t="s">
        <v>171</v>
      </c>
      <c r="AI235" s="21" t="s">
        <v>171</v>
      </c>
      <c r="AJ235" s="21" t="s">
        <v>171</v>
      </c>
      <c r="AK235" s="21" t="s">
        <v>171</v>
      </c>
      <c r="AL235" s="21" t="s">
        <v>171</v>
      </c>
      <c r="AM235" s="21" t="s">
        <v>171</v>
      </c>
      <c r="AN235" s="21" t="s">
        <v>171</v>
      </c>
      <c r="AO235" s="21" t="s">
        <v>171</v>
      </c>
      <c r="AP235" s="21" t="s">
        <v>171</v>
      </c>
      <c r="AQ235" s="21" t="s">
        <v>171</v>
      </c>
      <c r="AR235" s="21" t="s">
        <v>171</v>
      </c>
      <c r="AS235" s="21" t="s">
        <v>171</v>
      </c>
      <c r="AT235" s="21" t="s">
        <v>171</v>
      </c>
      <c r="AU235" s="21" t="s">
        <v>171</v>
      </c>
      <c r="AV235" s="21" t="s">
        <v>171</v>
      </c>
      <c r="AW235" s="21" t="s">
        <v>171</v>
      </c>
      <c r="AX235" s="21" t="s">
        <v>171</v>
      </c>
      <c r="AY235" s="21" t="s">
        <v>171</v>
      </c>
      <c r="AZ235" s="21" t="s">
        <v>171</v>
      </c>
      <c r="BA235" s="21" t="s">
        <v>171</v>
      </c>
      <c r="BB235" s="21" t="s">
        <v>171</v>
      </c>
      <c r="BC235" s="21" t="s">
        <v>171</v>
      </c>
      <c r="BD235" s="21" t="s">
        <v>171</v>
      </c>
      <c r="BE235" s="21" t="s">
        <v>171</v>
      </c>
      <c r="BF235" s="21" t="s">
        <v>171</v>
      </c>
      <c r="BG235" s="21" t="s">
        <v>171</v>
      </c>
      <c r="BH235" s="21" t="s">
        <v>171</v>
      </c>
    </row>
    <row r="236" spans="1:60" s="21" customFormat="1" x14ac:dyDescent="0.3">
      <c r="A236" s="21" t="s">
        <v>676</v>
      </c>
      <c r="S236" s="21" t="s">
        <v>171</v>
      </c>
      <c r="T236" s="21" t="s">
        <v>171</v>
      </c>
      <c r="U236" s="21" t="s">
        <v>171</v>
      </c>
      <c r="V236" s="21" t="s">
        <v>171</v>
      </c>
      <c r="W236" s="21" t="s">
        <v>171</v>
      </c>
      <c r="X236" s="21" t="s">
        <v>171</v>
      </c>
      <c r="Y236" s="21" t="s">
        <v>171</v>
      </c>
      <c r="Z236" s="21" t="s">
        <v>171</v>
      </c>
      <c r="AA236" s="21" t="s">
        <v>171</v>
      </c>
      <c r="AB236" s="21" t="s">
        <v>171</v>
      </c>
      <c r="AC236" s="21" t="s">
        <v>171</v>
      </c>
      <c r="AD236" s="21" t="s">
        <v>171</v>
      </c>
      <c r="AE236" s="21" t="s">
        <v>171</v>
      </c>
      <c r="AF236" s="21" t="s">
        <v>171</v>
      </c>
      <c r="AG236" s="21" t="s">
        <v>171</v>
      </c>
      <c r="AH236" s="21" t="s">
        <v>171</v>
      </c>
      <c r="AI236" s="21" t="s">
        <v>171</v>
      </c>
      <c r="AJ236" s="21" t="s">
        <v>171</v>
      </c>
      <c r="AK236" s="21" t="s">
        <v>171</v>
      </c>
      <c r="AL236" s="21" t="s">
        <v>171</v>
      </c>
      <c r="AM236" s="21" t="s">
        <v>171</v>
      </c>
      <c r="AN236" s="21" t="s">
        <v>171</v>
      </c>
      <c r="AO236" s="21" t="s">
        <v>171</v>
      </c>
      <c r="AP236" s="21" t="s">
        <v>171</v>
      </c>
      <c r="AQ236" s="21" t="s">
        <v>171</v>
      </c>
      <c r="AR236" s="21" t="s">
        <v>171</v>
      </c>
      <c r="AS236" s="21" t="s">
        <v>171</v>
      </c>
      <c r="AT236" s="21" t="s">
        <v>171</v>
      </c>
      <c r="AU236" s="21" t="s">
        <v>171</v>
      </c>
      <c r="AV236" s="21" t="s">
        <v>171</v>
      </c>
      <c r="AW236" s="21" t="s">
        <v>171</v>
      </c>
      <c r="AX236" s="21" t="s">
        <v>171</v>
      </c>
      <c r="AY236" s="21" t="s">
        <v>171</v>
      </c>
      <c r="AZ236" s="21" t="s">
        <v>171</v>
      </c>
      <c r="BA236" s="21" t="s">
        <v>171</v>
      </c>
      <c r="BB236" s="21" t="s">
        <v>171</v>
      </c>
      <c r="BC236" s="21" t="s">
        <v>171</v>
      </c>
      <c r="BD236" s="21" t="s">
        <v>171</v>
      </c>
      <c r="BE236" s="21" t="s">
        <v>171</v>
      </c>
      <c r="BF236" s="21" t="s">
        <v>171</v>
      </c>
      <c r="BG236" s="21" t="s">
        <v>171</v>
      </c>
      <c r="BH236" s="21" t="s">
        <v>171</v>
      </c>
    </row>
    <row r="237" spans="1:60" s="21" customFormat="1" x14ac:dyDescent="0.3">
      <c r="A237" s="21" t="s">
        <v>677</v>
      </c>
      <c r="S237" s="21" t="s">
        <v>171</v>
      </c>
      <c r="T237" s="21" t="s">
        <v>171</v>
      </c>
      <c r="U237" s="21" t="s">
        <v>171</v>
      </c>
      <c r="V237" s="21" t="s">
        <v>171</v>
      </c>
      <c r="W237" s="21" t="s">
        <v>171</v>
      </c>
      <c r="X237" s="21" t="s">
        <v>171</v>
      </c>
      <c r="Y237" s="21" t="s">
        <v>171</v>
      </c>
      <c r="Z237" s="21" t="s">
        <v>171</v>
      </c>
      <c r="AA237" s="21" t="s">
        <v>171</v>
      </c>
      <c r="AB237" s="21" t="s">
        <v>171</v>
      </c>
      <c r="AC237" s="21" t="s">
        <v>171</v>
      </c>
      <c r="AD237" s="21" t="s">
        <v>171</v>
      </c>
      <c r="AE237" s="21" t="s">
        <v>171</v>
      </c>
      <c r="AF237" s="21" t="s">
        <v>171</v>
      </c>
      <c r="AG237" s="21" t="s">
        <v>171</v>
      </c>
      <c r="AH237" s="21" t="s">
        <v>171</v>
      </c>
      <c r="AI237" s="21" t="s">
        <v>171</v>
      </c>
      <c r="AJ237" s="21" t="s">
        <v>171</v>
      </c>
      <c r="AK237" s="21" t="s">
        <v>171</v>
      </c>
      <c r="AL237" s="21" t="s">
        <v>171</v>
      </c>
      <c r="AM237" s="21" t="s">
        <v>171</v>
      </c>
      <c r="AN237" s="21" t="s">
        <v>171</v>
      </c>
      <c r="AO237" s="21" t="s">
        <v>171</v>
      </c>
      <c r="AP237" s="21" t="s">
        <v>171</v>
      </c>
      <c r="AQ237" s="21" t="s">
        <v>171</v>
      </c>
      <c r="AR237" s="21" t="s">
        <v>171</v>
      </c>
      <c r="AS237" s="21" t="s">
        <v>171</v>
      </c>
      <c r="AT237" s="21" t="s">
        <v>171</v>
      </c>
      <c r="AU237" s="21" t="s">
        <v>171</v>
      </c>
      <c r="AV237" s="21" t="s">
        <v>171</v>
      </c>
      <c r="AW237" s="21" t="s">
        <v>171</v>
      </c>
      <c r="AX237" s="21" t="s">
        <v>171</v>
      </c>
      <c r="AY237" s="21" t="s">
        <v>171</v>
      </c>
      <c r="AZ237" s="21" t="s">
        <v>171</v>
      </c>
      <c r="BA237" s="21" t="s">
        <v>171</v>
      </c>
      <c r="BB237" s="21" t="s">
        <v>171</v>
      </c>
      <c r="BC237" s="21" t="s">
        <v>171</v>
      </c>
      <c r="BD237" s="21" t="s">
        <v>171</v>
      </c>
      <c r="BE237" s="21" t="s">
        <v>171</v>
      </c>
      <c r="BF237" s="21" t="s">
        <v>171</v>
      </c>
      <c r="BG237" s="21" t="s">
        <v>171</v>
      </c>
      <c r="BH237" s="21" t="s">
        <v>171</v>
      </c>
    </row>
    <row r="238" spans="1:60" x14ac:dyDescent="0.3">
      <c r="A238" t="s">
        <v>636</v>
      </c>
      <c r="S238" t="s">
        <v>171</v>
      </c>
      <c r="T238" t="s">
        <v>171</v>
      </c>
      <c r="U238" t="s">
        <v>171</v>
      </c>
      <c r="V238" t="s">
        <v>171</v>
      </c>
      <c r="W238" t="s">
        <v>171</v>
      </c>
      <c r="X238" t="s">
        <v>171</v>
      </c>
      <c r="Y238" t="s">
        <v>171</v>
      </c>
      <c r="Z238" t="s">
        <v>171</v>
      </c>
      <c r="AA238" t="s">
        <v>171</v>
      </c>
      <c r="AB238" t="s">
        <v>171</v>
      </c>
      <c r="AC238" s="21" t="s">
        <v>171</v>
      </c>
      <c r="AD238" s="21" t="s">
        <v>171</v>
      </c>
      <c r="AE238" s="21" t="s">
        <v>171</v>
      </c>
      <c r="AF238" s="21" t="s">
        <v>171</v>
      </c>
      <c r="AG238" s="21" t="s">
        <v>171</v>
      </c>
      <c r="AH238" s="21" t="s">
        <v>171</v>
      </c>
      <c r="AI238" s="21" t="s">
        <v>171</v>
      </c>
      <c r="AJ238" s="21" t="s">
        <v>171</v>
      </c>
      <c r="AK238" s="21" t="s">
        <v>171</v>
      </c>
      <c r="AL238" s="21" t="s">
        <v>171</v>
      </c>
      <c r="AM238" s="21" t="s">
        <v>171</v>
      </c>
      <c r="AN238" s="21" t="s">
        <v>171</v>
      </c>
      <c r="AO238" s="21" t="s">
        <v>171</v>
      </c>
      <c r="AP238" s="21" t="s">
        <v>171</v>
      </c>
      <c r="AQ238" s="21" t="s">
        <v>171</v>
      </c>
      <c r="AR238" s="21" t="s">
        <v>171</v>
      </c>
      <c r="AS238" s="21" t="s">
        <v>171</v>
      </c>
      <c r="AT238" s="21" t="s">
        <v>171</v>
      </c>
      <c r="AU238" s="21" t="s">
        <v>171</v>
      </c>
      <c r="AV238" s="21" t="s">
        <v>171</v>
      </c>
      <c r="AW238" s="21" t="s">
        <v>171</v>
      </c>
      <c r="AX238" s="21" t="s">
        <v>171</v>
      </c>
      <c r="AY238" s="21" t="s">
        <v>171</v>
      </c>
      <c r="AZ238" s="21" t="s">
        <v>171</v>
      </c>
      <c r="BA238" s="21" t="s">
        <v>171</v>
      </c>
      <c r="BB238" s="21" t="s">
        <v>171</v>
      </c>
      <c r="BC238" s="21" t="s">
        <v>171</v>
      </c>
      <c r="BD238" s="21" t="s">
        <v>171</v>
      </c>
      <c r="BE238" s="21" t="s">
        <v>171</v>
      </c>
      <c r="BF238" s="21" t="s">
        <v>171</v>
      </c>
      <c r="BG238" s="21" t="s">
        <v>171</v>
      </c>
      <c r="BH238" s="21" t="s">
        <v>171</v>
      </c>
    </row>
    <row r="239" spans="1:60" x14ac:dyDescent="0.3">
      <c r="A239" t="s">
        <v>637</v>
      </c>
      <c r="S239" t="s">
        <v>171</v>
      </c>
      <c r="T239" t="s">
        <v>171</v>
      </c>
      <c r="U239" t="s">
        <v>171</v>
      </c>
      <c r="V239" t="s">
        <v>171</v>
      </c>
      <c r="W239" t="s">
        <v>171</v>
      </c>
      <c r="X239" t="s">
        <v>171</v>
      </c>
      <c r="Y239" t="s">
        <v>171</v>
      </c>
      <c r="Z239" t="s">
        <v>171</v>
      </c>
      <c r="AA239" t="s">
        <v>171</v>
      </c>
      <c r="AB239" t="s">
        <v>171</v>
      </c>
      <c r="AC239" s="21" t="s">
        <v>171</v>
      </c>
      <c r="AD239" s="21" t="s">
        <v>171</v>
      </c>
      <c r="AE239" s="21" t="s">
        <v>171</v>
      </c>
      <c r="AF239" s="21" t="s">
        <v>171</v>
      </c>
      <c r="AG239" s="21" t="s">
        <v>171</v>
      </c>
      <c r="AH239" s="21" t="s">
        <v>171</v>
      </c>
      <c r="AI239" s="21" t="s">
        <v>171</v>
      </c>
      <c r="AJ239" s="21" t="s">
        <v>171</v>
      </c>
      <c r="AK239" s="21" t="s">
        <v>171</v>
      </c>
      <c r="AL239" s="21" t="s">
        <v>171</v>
      </c>
      <c r="AM239" s="21" t="s">
        <v>171</v>
      </c>
      <c r="AN239" s="21" t="s">
        <v>171</v>
      </c>
      <c r="AO239" s="21" t="s">
        <v>171</v>
      </c>
      <c r="AP239" s="21" t="s">
        <v>171</v>
      </c>
      <c r="AQ239" s="21" t="s">
        <v>171</v>
      </c>
      <c r="AR239" s="21" t="s">
        <v>171</v>
      </c>
      <c r="AS239" s="21" t="s">
        <v>171</v>
      </c>
      <c r="AT239" s="21" t="s">
        <v>171</v>
      </c>
      <c r="AU239" s="21" t="s">
        <v>171</v>
      </c>
      <c r="AV239" s="21" t="s">
        <v>171</v>
      </c>
      <c r="AW239" s="21" t="s">
        <v>171</v>
      </c>
      <c r="AX239" s="21" t="s">
        <v>171</v>
      </c>
      <c r="AY239" s="21" t="s">
        <v>171</v>
      </c>
      <c r="AZ239" s="21" t="s">
        <v>171</v>
      </c>
      <c r="BA239" s="21" t="s">
        <v>171</v>
      </c>
      <c r="BB239" s="21" t="s">
        <v>171</v>
      </c>
      <c r="BC239" s="21" t="s">
        <v>171</v>
      </c>
      <c r="BD239" s="21" t="s">
        <v>171</v>
      </c>
      <c r="BE239" s="21" t="s">
        <v>171</v>
      </c>
      <c r="BF239" s="21" t="s">
        <v>171</v>
      </c>
      <c r="BG239" s="21" t="s">
        <v>171</v>
      </c>
      <c r="BH239" s="21" t="s">
        <v>171</v>
      </c>
    </row>
    <row r="240" spans="1:60" x14ac:dyDescent="0.3">
      <c r="A240" t="s">
        <v>638</v>
      </c>
      <c r="S240" t="s">
        <v>171</v>
      </c>
      <c r="T240" t="s">
        <v>171</v>
      </c>
      <c r="U240" t="s">
        <v>171</v>
      </c>
      <c r="V240" t="s">
        <v>171</v>
      </c>
      <c r="W240" t="s">
        <v>171</v>
      </c>
      <c r="X240" t="s">
        <v>171</v>
      </c>
      <c r="Y240" t="s">
        <v>171</v>
      </c>
      <c r="Z240" t="s">
        <v>171</v>
      </c>
      <c r="AA240" t="s">
        <v>171</v>
      </c>
      <c r="AB240" t="s">
        <v>171</v>
      </c>
      <c r="AC240" s="21" t="s">
        <v>171</v>
      </c>
      <c r="AD240" s="21" t="s">
        <v>171</v>
      </c>
      <c r="AE240" s="21" t="s">
        <v>171</v>
      </c>
      <c r="AF240" s="21" t="s">
        <v>171</v>
      </c>
      <c r="AG240" s="21" t="s">
        <v>171</v>
      </c>
      <c r="AH240" s="21" t="s">
        <v>171</v>
      </c>
      <c r="AI240" s="21" t="s">
        <v>171</v>
      </c>
      <c r="AJ240" s="21" t="s">
        <v>171</v>
      </c>
      <c r="AK240" s="21" t="s">
        <v>171</v>
      </c>
      <c r="AL240" s="21" t="s">
        <v>171</v>
      </c>
      <c r="AM240" s="21" t="s">
        <v>171</v>
      </c>
      <c r="AN240" s="21" t="s">
        <v>171</v>
      </c>
      <c r="AO240" s="21" t="s">
        <v>171</v>
      </c>
      <c r="AP240" s="21" t="s">
        <v>171</v>
      </c>
      <c r="AQ240" s="21" t="s">
        <v>171</v>
      </c>
      <c r="AR240" s="21" t="s">
        <v>171</v>
      </c>
      <c r="AS240" s="21" t="s">
        <v>171</v>
      </c>
      <c r="AT240" s="21" t="s">
        <v>171</v>
      </c>
      <c r="AU240" s="21" t="s">
        <v>171</v>
      </c>
      <c r="AV240" s="21" t="s">
        <v>171</v>
      </c>
      <c r="AW240" s="21" t="s">
        <v>171</v>
      </c>
      <c r="AX240" s="21" t="s">
        <v>171</v>
      </c>
      <c r="AY240" s="21" t="s">
        <v>171</v>
      </c>
      <c r="AZ240" s="21" t="s">
        <v>171</v>
      </c>
      <c r="BA240" s="21" t="s">
        <v>171</v>
      </c>
      <c r="BB240" s="21" t="s">
        <v>171</v>
      </c>
      <c r="BC240" s="21" t="s">
        <v>171</v>
      </c>
      <c r="BD240" s="21" t="s">
        <v>171</v>
      </c>
      <c r="BE240" s="21" t="s">
        <v>171</v>
      </c>
      <c r="BF240" s="21" t="s">
        <v>171</v>
      </c>
      <c r="BG240" s="21" t="s">
        <v>171</v>
      </c>
      <c r="BH240" s="21" t="s">
        <v>171</v>
      </c>
    </row>
    <row r="241" spans="1:60" s="21" customFormat="1" x14ac:dyDescent="0.3">
      <c r="A241" s="21" t="s">
        <v>674</v>
      </c>
      <c r="S241" s="21" t="s">
        <v>171</v>
      </c>
      <c r="T241" s="21" t="s">
        <v>171</v>
      </c>
      <c r="U241" s="21" t="s">
        <v>171</v>
      </c>
      <c r="V241" s="21" t="s">
        <v>171</v>
      </c>
      <c r="W241" s="21" t="s">
        <v>171</v>
      </c>
      <c r="X241" s="21" t="s">
        <v>171</v>
      </c>
      <c r="Y241" s="21" t="s">
        <v>171</v>
      </c>
      <c r="Z241" s="21" t="s">
        <v>171</v>
      </c>
      <c r="AA241" s="21" t="s">
        <v>171</v>
      </c>
      <c r="AB241" s="21" t="s">
        <v>171</v>
      </c>
      <c r="AC241" s="21" t="s">
        <v>171</v>
      </c>
      <c r="AD241" s="21" t="s">
        <v>171</v>
      </c>
      <c r="AE241" s="21" t="s">
        <v>171</v>
      </c>
      <c r="AF241" s="21" t="s">
        <v>171</v>
      </c>
      <c r="AG241" s="21" t="s">
        <v>171</v>
      </c>
      <c r="AH241" s="21" t="s">
        <v>171</v>
      </c>
      <c r="AI241" s="21" t="s">
        <v>171</v>
      </c>
      <c r="AJ241" s="21" t="s">
        <v>171</v>
      </c>
      <c r="AK241" s="21" t="s">
        <v>171</v>
      </c>
      <c r="AL241" s="21" t="s">
        <v>171</v>
      </c>
      <c r="AM241" s="21" t="s">
        <v>171</v>
      </c>
      <c r="AN241" s="21" t="s">
        <v>171</v>
      </c>
      <c r="AO241" s="21" t="s">
        <v>171</v>
      </c>
      <c r="AP241" s="21" t="s">
        <v>171</v>
      </c>
      <c r="AQ241" s="21" t="s">
        <v>171</v>
      </c>
      <c r="AR241" s="21" t="s">
        <v>171</v>
      </c>
      <c r="AS241" s="21" t="s">
        <v>171</v>
      </c>
      <c r="AT241" s="21" t="s">
        <v>171</v>
      </c>
      <c r="AU241" s="21" t="s">
        <v>171</v>
      </c>
      <c r="AV241" s="21" t="s">
        <v>171</v>
      </c>
      <c r="AW241" s="21" t="s">
        <v>171</v>
      </c>
      <c r="AX241" s="21" t="s">
        <v>171</v>
      </c>
      <c r="AY241" s="21" t="s">
        <v>171</v>
      </c>
      <c r="AZ241" s="21" t="s">
        <v>171</v>
      </c>
      <c r="BA241" s="21" t="s">
        <v>171</v>
      </c>
      <c r="BB241" s="21" t="s">
        <v>171</v>
      </c>
      <c r="BC241" s="21" t="s">
        <v>171</v>
      </c>
      <c r="BD241" s="21" t="s">
        <v>171</v>
      </c>
      <c r="BE241" s="21" t="s">
        <v>171</v>
      </c>
      <c r="BF241" s="21" t="s">
        <v>171</v>
      </c>
      <c r="BG241" s="21" t="s">
        <v>171</v>
      </c>
      <c r="BH241" s="21" t="s">
        <v>171</v>
      </c>
    </row>
    <row r="242" spans="1:60" x14ac:dyDescent="0.3">
      <c r="A242" t="s">
        <v>631</v>
      </c>
      <c r="S242" t="s">
        <v>171</v>
      </c>
      <c r="T242" t="s">
        <v>171</v>
      </c>
      <c r="U242" t="s">
        <v>171</v>
      </c>
      <c r="V242" t="s">
        <v>171</v>
      </c>
      <c r="W242" t="s">
        <v>171</v>
      </c>
      <c r="X242" t="s">
        <v>171</v>
      </c>
      <c r="Y242" t="s">
        <v>171</v>
      </c>
      <c r="Z242" t="s">
        <v>171</v>
      </c>
      <c r="AA242" t="s">
        <v>171</v>
      </c>
      <c r="AB242" t="s">
        <v>171</v>
      </c>
      <c r="AC242" s="21" t="s">
        <v>171</v>
      </c>
      <c r="AD242" s="21" t="s">
        <v>171</v>
      </c>
      <c r="AE242" s="21" t="s">
        <v>171</v>
      </c>
      <c r="AF242" s="21" t="s">
        <v>171</v>
      </c>
      <c r="AG242" s="21" t="s">
        <v>171</v>
      </c>
      <c r="AH242" s="21" t="s">
        <v>171</v>
      </c>
      <c r="AI242" s="21" t="s">
        <v>171</v>
      </c>
      <c r="AJ242" s="21" t="s">
        <v>171</v>
      </c>
      <c r="AK242" s="21" t="s">
        <v>171</v>
      </c>
      <c r="AL242" s="21" t="s">
        <v>171</v>
      </c>
      <c r="AM242" s="21" t="s">
        <v>171</v>
      </c>
      <c r="AN242" s="21" t="s">
        <v>171</v>
      </c>
      <c r="AO242" s="21" t="s">
        <v>171</v>
      </c>
      <c r="AP242" s="21" t="s">
        <v>171</v>
      </c>
      <c r="AQ242" s="21" t="s">
        <v>171</v>
      </c>
      <c r="AR242" s="21" t="s">
        <v>171</v>
      </c>
      <c r="AS242" s="21" t="s">
        <v>171</v>
      </c>
      <c r="AT242" s="21" t="s">
        <v>171</v>
      </c>
      <c r="AU242" s="21" t="s">
        <v>171</v>
      </c>
      <c r="AV242" s="21" t="s">
        <v>171</v>
      </c>
      <c r="AW242" s="21" t="s">
        <v>171</v>
      </c>
      <c r="AX242" s="21" t="s">
        <v>171</v>
      </c>
      <c r="AY242" s="21" t="s">
        <v>171</v>
      </c>
      <c r="AZ242" s="21" t="s">
        <v>171</v>
      </c>
      <c r="BA242" s="21" t="s">
        <v>171</v>
      </c>
      <c r="BB242" s="21" t="s">
        <v>171</v>
      </c>
      <c r="BC242" s="21" t="s">
        <v>171</v>
      </c>
      <c r="BD242" s="21" t="s">
        <v>171</v>
      </c>
      <c r="BE242" s="21" t="s">
        <v>171</v>
      </c>
      <c r="BF242" s="21" t="s">
        <v>171</v>
      </c>
      <c r="BG242" s="21" t="s">
        <v>171</v>
      </c>
      <c r="BH242" s="21" t="s">
        <v>171</v>
      </c>
    </row>
    <row r="243" spans="1:60" x14ac:dyDescent="0.3">
      <c r="A243" t="s">
        <v>712</v>
      </c>
      <c r="S243" t="s">
        <v>171</v>
      </c>
      <c r="T243" t="s">
        <v>171</v>
      </c>
      <c r="U243" t="s">
        <v>171</v>
      </c>
      <c r="V243" t="s">
        <v>171</v>
      </c>
      <c r="W243" t="s">
        <v>171</v>
      </c>
      <c r="X243" t="s">
        <v>171</v>
      </c>
      <c r="Y243" t="s">
        <v>171</v>
      </c>
      <c r="Z243" t="s">
        <v>171</v>
      </c>
      <c r="AA243" t="s">
        <v>171</v>
      </c>
      <c r="AB243" t="s">
        <v>171</v>
      </c>
      <c r="AC243" s="21" t="s">
        <v>171</v>
      </c>
      <c r="AD243" s="21" t="s">
        <v>171</v>
      </c>
      <c r="AE243" s="21" t="s">
        <v>171</v>
      </c>
      <c r="AF243" s="21" t="s">
        <v>171</v>
      </c>
      <c r="AG243" s="21" t="s">
        <v>171</v>
      </c>
      <c r="AH243" s="21" t="s">
        <v>171</v>
      </c>
      <c r="AI243" s="21" t="s">
        <v>171</v>
      </c>
      <c r="AJ243" s="21" t="s">
        <v>171</v>
      </c>
      <c r="AK243" s="21" t="s">
        <v>171</v>
      </c>
      <c r="AL243" s="21" t="s">
        <v>171</v>
      </c>
      <c r="AM243" s="21" t="s">
        <v>171</v>
      </c>
      <c r="AN243" s="21" t="s">
        <v>171</v>
      </c>
      <c r="AO243" s="21" t="s">
        <v>171</v>
      </c>
      <c r="AP243" s="21" t="s">
        <v>171</v>
      </c>
      <c r="AQ243" s="21" t="s">
        <v>171</v>
      </c>
      <c r="AR243" s="21" t="s">
        <v>171</v>
      </c>
      <c r="AS243" s="21" t="s">
        <v>171</v>
      </c>
      <c r="AT243" s="21" t="s">
        <v>171</v>
      </c>
      <c r="AU243" s="21" t="s">
        <v>171</v>
      </c>
      <c r="AV243" s="21" t="s">
        <v>171</v>
      </c>
      <c r="AW243" s="21" t="s">
        <v>171</v>
      </c>
      <c r="AX243" s="21" t="s">
        <v>171</v>
      </c>
      <c r="AY243" s="21" t="s">
        <v>171</v>
      </c>
      <c r="AZ243" s="21" t="s">
        <v>171</v>
      </c>
      <c r="BA243" s="21" t="s">
        <v>171</v>
      </c>
      <c r="BB243" s="21" t="s">
        <v>171</v>
      </c>
      <c r="BC243" s="21" t="s">
        <v>171</v>
      </c>
      <c r="BD243" s="21" t="s">
        <v>171</v>
      </c>
      <c r="BE243" s="21" t="s">
        <v>171</v>
      </c>
      <c r="BF243" s="21" t="s">
        <v>171</v>
      </c>
      <c r="BG243" s="21" t="s">
        <v>171</v>
      </c>
      <c r="BH243" s="21" t="s">
        <v>171</v>
      </c>
    </row>
    <row r="244" spans="1:60" x14ac:dyDescent="0.3">
      <c r="A244" t="s">
        <v>713</v>
      </c>
      <c r="S244" t="s">
        <v>171</v>
      </c>
      <c r="T244" t="s">
        <v>171</v>
      </c>
      <c r="U244" t="s">
        <v>171</v>
      </c>
      <c r="V244" t="s">
        <v>171</v>
      </c>
      <c r="W244" t="s">
        <v>171</v>
      </c>
      <c r="X244" t="s">
        <v>171</v>
      </c>
      <c r="Y244" t="s">
        <v>171</v>
      </c>
      <c r="Z244" t="s">
        <v>171</v>
      </c>
      <c r="AA244" t="s">
        <v>171</v>
      </c>
      <c r="AB244" t="s">
        <v>171</v>
      </c>
      <c r="AC244" s="21" t="s">
        <v>171</v>
      </c>
      <c r="AD244" s="21" t="s">
        <v>171</v>
      </c>
      <c r="AE244" s="21" t="s">
        <v>171</v>
      </c>
      <c r="AF244" s="21" t="s">
        <v>171</v>
      </c>
      <c r="AG244" s="21" t="s">
        <v>171</v>
      </c>
      <c r="AH244" s="21" t="s">
        <v>171</v>
      </c>
      <c r="AI244" s="21" t="s">
        <v>171</v>
      </c>
      <c r="AJ244" s="21" t="s">
        <v>171</v>
      </c>
      <c r="AK244" s="21" t="s">
        <v>171</v>
      </c>
      <c r="AL244" s="21" t="s">
        <v>171</v>
      </c>
      <c r="AM244" s="21" t="s">
        <v>171</v>
      </c>
      <c r="AN244" s="21" t="s">
        <v>171</v>
      </c>
      <c r="AO244" s="21" t="s">
        <v>171</v>
      </c>
      <c r="AP244" s="21" t="s">
        <v>171</v>
      </c>
      <c r="AQ244" s="21" t="s">
        <v>171</v>
      </c>
      <c r="AR244" s="21" t="s">
        <v>171</v>
      </c>
      <c r="AS244" s="21" t="s">
        <v>171</v>
      </c>
      <c r="AT244" s="21" t="s">
        <v>171</v>
      </c>
      <c r="AU244" s="21" t="s">
        <v>171</v>
      </c>
      <c r="AV244" s="21" t="s">
        <v>171</v>
      </c>
      <c r="AW244" s="21" t="s">
        <v>171</v>
      </c>
      <c r="AX244" s="21" t="s">
        <v>171</v>
      </c>
      <c r="AY244" s="21" t="s">
        <v>171</v>
      </c>
      <c r="AZ244" s="21" t="s">
        <v>171</v>
      </c>
      <c r="BA244" s="21" t="s">
        <v>171</v>
      </c>
      <c r="BB244" s="21" t="s">
        <v>171</v>
      </c>
      <c r="BC244" s="21" t="s">
        <v>171</v>
      </c>
      <c r="BD244" s="21" t="s">
        <v>171</v>
      </c>
      <c r="BE244" s="21" t="s">
        <v>171</v>
      </c>
      <c r="BF244" s="21" t="s">
        <v>171</v>
      </c>
      <c r="BG244" s="21" t="s">
        <v>171</v>
      </c>
      <c r="BH244" s="21" t="s">
        <v>171</v>
      </c>
    </row>
    <row r="245" spans="1:60" x14ac:dyDescent="0.3">
      <c r="A245" t="s">
        <v>714</v>
      </c>
      <c r="S245" t="s">
        <v>171</v>
      </c>
      <c r="T245" t="s">
        <v>171</v>
      </c>
      <c r="U245" t="s">
        <v>171</v>
      </c>
      <c r="V245" t="s">
        <v>171</v>
      </c>
      <c r="W245" t="s">
        <v>171</v>
      </c>
      <c r="X245" t="s">
        <v>171</v>
      </c>
      <c r="Y245" t="s">
        <v>171</v>
      </c>
      <c r="Z245" t="s">
        <v>171</v>
      </c>
      <c r="AA245" t="s">
        <v>171</v>
      </c>
      <c r="AB245" t="s">
        <v>171</v>
      </c>
      <c r="AC245" s="21" t="s">
        <v>171</v>
      </c>
      <c r="AD245" s="21" t="s">
        <v>171</v>
      </c>
      <c r="AE245" s="21" t="s">
        <v>171</v>
      </c>
      <c r="AF245" s="21" t="s">
        <v>171</v>
      </c>
      <c r="AG245" s="21" t="s">
        <v>171</v>
      </c>
      <c r="AH245" s="21" t="s">
        <v>171</v>
      </c>
      <c r="AI245" s="21" t="s">
        <v>171</v>
      </c>
      <c r="AJ245" s="21" t="s">
        <v>171</v>
      </c>
      <c r="AK245" s="21" t="s">
        <v>171</v>
      </c>
      <c r="AL245" s="21" t="s">
        <v>171</v>
      </c>
      <c r="AM245" s="21" t="s">
        <v>171</v>
      </c>
      <c r="AN245" s="21" t="s">
        <v>171</v>
      </c>
      <c r="AO245" s="21" t="s">
        <v>171</v>
      </c>
      <c r="AP245" s="21" t="s">
        <v>171</v>
      </c>
      <c r="AQ245" s="21" t="s">
        <v>171</v>
      </c>
      <c r="AR245" s="21" t="s">
        <v>171</v>
      </c>
      <c r="AS245" s="21" t="s">
        <v>171</v>
      </c>
      <c r="AT245" s="21" t="s">
        <v>171</v>
      </c>
      <c r="AU245" s="21" t="s">
        <v>171</v>
      </c>
      <c r="AV245" s="21" t="s">
        <v>171</v>
      </c>
      <c r="AW245" s="21" t="s">
        <v>171</v>
      </c>
      <c r="AX245" s="21" t="s">
        <v>171</v>
      </c>
      <c r="AY245" s="21" t="s">
        <v>171</v>
      </c>
      <c r="AZ245" s="21" t="s">
        <v>171</v>
      </c>
      <c r="BA245" s="21" t="s">
        <v>171</v>
      </c>
      <c r="BB245" s="21" t="s">
        <v>171</v>
      </c>
      <c r="BC245" s="21" t="s">
        <v>171</v>
      </c>
      <c r="BD245" s="21" t="s">
        <v>171</v>
      </c>
      <c r="BE245" s="21" t="s">
        <v>171</v>
      </c>
      <c r="BF245" s="21" t="s">
        <v>171</v>
      </c>
      <c r="BG245" s="21" t="s">
        <v>171</v>
      </c>
      <c r="BH245" s="21" t="s">
        <v>171</v>
      </c>
    </row>
    <row r="246" spans="1:60" x14ac:dyDescent="0.3">
      <c r="A246" t="s">
        <v>694</v>
      </c>
      <c r="S246" t="s">
        <v>171</v>
      </c>
      <c r="T246" t="s">
        <v>171</v>
      </c>
      <c r="U246" t="s">
        <v>171</v>
      </c>
      <c r="V246" t="s">
        <v>171</v>
      </c>
      <c r="W246" t="s">
        <v>171</v>
      </c>
      <c r="X246" t="s">
        <v>171</v>
      </c>
      <c r="Y246" t="s">
        <v>171</v>
      </c>
      <c r="Z246" t="s">
        <v>171</v>
      </c>
      <c r="AA246" t="s">
        <v>171</v>
      </c>
      <c r="AB246" t="s">
        <v>171</v>
      </c>
      <c r="AC246" s="21" t="s">
        <v>171</v>
      </c>
      <c r="AD246" s="21" t="s">
        <v>171</v>
      </c>
      <c r="AE246" s="21" t="s">
        <v>171</v>
      </c>
      <c r="AF246" s="21" t="s">
        <v>171</v>
      </c>
      <c r="AG246" s="21" t="s">
        <v>171</v>
      </c>
      <c r="AH246" s="21" t="s">
        <v>171</v>
      </c>
      <c r="AI246" s="21" t="s">
        <v>171</v>
      </c>
      <c r="AJ246" s="21" t="s">
        <v>171</v>
      </c>
      <c r="AK246" s="21" t="s">
        <v>171</v>
      </c>
      <c r="AL246" s="21" t="s">
        <v>171</v>
      </c>
      <c r="AM246" s="21" t="s">
        <v>171</v>
      </c>
      <c r="AN246" s="21" t="s">
        <v>171</v>
      </c>
      <c r="AO246" s="21" t="s">
        <v>171</v>
      </c>
      <c r="AP246" s="21" t="s">
        <v>171</v>
      </c>
      <c r="AQ246" s="21" t="s">
        <v>171</v>
      </c>
      <c r="AR246" s="21" t="s">
        <v>171</v>
      </c>
      <c r="AS246" s="21" t="s">
        <v>171</v>
      </c>
      <c r="AT246" s="21" t="s">
        <v>171</v>
      </c>
      <c r="AU246" s="21" t="s">
        <v>171</v>
      </c>
      <c r="AV246" s="21" t="s">
        <v>171</v>
      </c>
      <c r="AW246" s="21" t="s">
        <v>171</v>
      </c>
      <c r="AX246" s="21" t="s">
        <v>171</v>
      </c>
      <c r="AY246" s="21" t="s">
        <v>171</v>
      </c>
      <c r="AZ246" s="21" t="s">
        <v>171</v>
      </c>
      <c r="BA246" s="21" t="s">
        <v>171</v>
      </c>
      <c r="BB246" s="21" t="s">
        <v>171</v>
      </c>
      <c r="BC246" s="21" t="s">
        <v>171</v>
      </c>
      <c r="BD246" s="21" t="s">
        <v>171</v>
      </c>
      <c r="BE246" s="21" t="s">
        <v>171</v>
      </c>
      <c r="BF246" s="21" t="s">
        <v>171</v>
      </c>
      <c r="BG246" s="21" t="s">
        <v>171</v>
      </c>
      <c r="BH246" s="21" t="s">
        <v>171</v>
      </c>
    </row>
    <row r="247" spans="1:60" x14ac:dyDescent="0.3">
      <c r="A247" t="s">
        <v>695</v>
      </c>
      <c r="S247" t="s">
        <v>171</v>
      </c>
      <c r="T247" t="s">
        <v>171</v>
      </c>
      <c r="U247" t="s">
        <v>171</v>
      </c>
      <c r="V247" t="s">
        <v>171</v>
      </c>
      <c r="W247" t="s">
        <v>171</v>
      </c>
      <c r="X247" t="s">
        <v>171</v>
      </c>
      <c r="Y247" t="s">
        <v>171</v>
      </c>
      <c r="Z247" t="s">
        <v>171</v>
      </c>
      <c r="AA247" t="s">
        <v>171</v>
      </c>
      <c r="AB247" t="s">
        <v>171</v>
      </c>
      <c r="AC247" s="21" t="s">
        <v>171</v>
      </c>
      <c r="AD247" s="21" t="s">
        <v>171</v>
      </c>
      <c r="AE247" s="21" t="s">
        <v>171</v>
      </c>
      <c r="AF247" s="21" t="s">
        <v>171</v>
      </c>
      <c r="AG247" s="21" t="s">
        <v>171</v>
      </c>
      <c r="AH247" s="21" t="s">
        <v>171</v>
      </c>
      <c r="AI247" s="21" t="s">
        <v>171</v>
      </c>
      <c r="AJ247" s="21" t="s">
        <v>171</v>
      </c>
      <c r="AK247" s="21" t="s">
        <v>171</v>
      </c>
      <c r="AL247" s="21" t="s">
        <v>171</v>
      </c>
      <c r="AM247" s="21" t="s">
        <v>171</v>
      </c>
      <c r="AN247" s="21" t="s">
        <v>171</v>
      </c>
      <c r="AO247" s="21" t="s">
        <v>171</v>
      </c>
      <c r="AP247" s="21" t="s">
        <v>171</v>
      </c>
      <c r="AQ247" s="21" t="s">
        <v>171</v>
      </c>
      <c r="AR247" s="21" t="s">
        <v>171</v>
      </c>
      <c r="AS247" s="21" t="s">
        <v>171</v>
      </c>
      <c r="AT247" s="21" t="s">
        <v>171</v>
      </c>
      <c r="AU247" s="21" t="s">
        <v>171</v>
      </c>
      <c r="AV247" s="21" t="s">
        <v>171</v>
      </c>
      <c r="AW247" s="21" t="s">
        <v>171</v>
      </c>
      <c r="AX247" s="21" t="s">
        <v>171</v>
      </c>
      <c r="AY247" s="21" t="s">
        <v>171</v>
      </c>
      <c r="AZ247" s="21" t="s">
        <v>171</v>
      </c>
      <c r="BA247" s="21" t="s">
        <v>171</v>
      </c>
      <c r="BB247" s="21" t="s">
        <v>171</v>
      </c>
      <c r="BC247" s="21" t="s">
        <v>171</v>
      </c>
      <c r="BD247" s="21" t="s">
        <v>171</v>
      </c>
      <c r="BE247" s="21" t="s">
        <v>171</v>
      </c>
      <c r="BF247" s="21" t="s">
        <v>171</v>
      </c>
      <c r="BG247" s="21" t="s">
        <v>171</v>
      </c>
      <c r="BH247" s="21" t="s">
        <v>171</v>
      </c>
    </row>
    <row r="248" spans="1:60" x14ac:dyDescent="0.3">
      <c r="A248" t="s">
        <v>696</v>
      </c>
      <c r="S248" t="s">
        <v>171</v>
      </c>
      <c r="T248" t="s">
        <v>171</v>
      </c>
      <c r="U248" t="s">
        <v>171</v>
      </c>
      <c r="V248" t="s">
        <v>171</v>
      </c>
      <c r="W248" t="s">
        <v>171</v>
      </c>
      <c r="X248" t="s">
        <v>171</v>
      </c>
      <c r="Y248" t="s">
        <v>171</v>
      </c>
      <c r="Z248" t="s">
        <v>171</v>
      </c>
      <c r="AA248" t="s">
        <v>171</v>
      </c>
      <c r="AB248" t="s">
        <v>171</v>
      </c>
      <c r="AC248" s="21" t="s">
        <v>171</v>
      </c>
      <c r="AD248" s="21" t="s">
        <v>171</v>
      </c>
      <c r="AE248" s="21" t="s">
        <v>171</v>
      </c>
      <c r="AF248" s="21" t="s">
        <v>171</v>
      </c>
      <c r="AG248" s="21" t="s">
        <v>171</v>
      </c>
      <c r="AH248" s="21" t="s">
        <v>171</v>
      </c>
      <c r="AI248" s="21" t="s">
        <v>171</v>
      </c>
      <c r="AJ248" s="21" t="s">
        <v>171</v>
      </c>
      <c r="AK248" s="21" t="s">
        <v>171</v>
      </c>
      <c r="AL248" s="21" t="s">
        <v>171</v>
      </c>
      <c r="AM248" s="21" t="s">
        <v>171</v>
      </c>
      <c r="AN248" s="21" t="s">
        <v>171</v>
      </c>
      <c r="AO248" s="21" t="s">
        <v>171</v>
      </c>
      <c r="AP248" s="21" t="s">
        <v>171</v>
      </c>
      <c r="AQ248" s="21" t="s">
        <v>171</v>
      </c>
      <c r="AR248" s="21" t="s">
        <v>171</v>
      </c>
      <c r="AS248" s="21" t="s">
        <v>171</v>
      </c>
      <c r="AT248" s="21" t="s">
        <v>171</v>
      </c>
      <c r="AU248" s="21" t="s">
        <v>171</v>
      </c>
      <c r="AV248" s="21" t="s">
        <v>171</v>
      </c>
      <c r="AW248" s="21" t="s">
        <v>171</v>
      </c>
      <c r="AX248" s="21" t="s">
        <v>171</v>
      </c>
      <c r="AY248" s="21" t="s">
        <v>171</v>
      </c>
      <c r="AZ248" s="21" t="s">
        <v>171</v>
      </c>
      <c r="BA248" s="21" t="s">
        <v>171</v>
      </c>
      <c r="BB248" s="21" t="s">
        <v>171</v>
      </c>
      <c r="BC248" s="21" t="s">
        <v>171</v>
      </c>
      <c r="BD248" s="21" t="s">
        <v>171</v>
      </c>
      <c r="BE248" s="21" t="s">
        <v>171</v>
      </c>
      <c r="BF248" s="21" t="s">
        <v>171</v>
      </c>
      <c r="BG248" s="21" t="s">
        <v>171</v>
      </c>
      <c r="BH248" s="21" t="s">
        <v>171</v>
      </c>
    </row>
    <row r="249" spans="1:60" x14ac:dyDescent="0.3">
      <c r="A249" t="s">
        <v>703</v>
      </c>
      <c r="S249" t="s">
        <v>171</v>
      </c>
      <c r="T249" t="s">
        <v>171</v>
      </c>
      <c r="U249" t="s">
        <v>171</v>
      </c>
      <c r="V249" t="s">
        <v>171</v>
      </c>
      <c r="W249" t="s">
        <v>171</v>
      </c>
      <c r="X249" t="s">
        <v>171</v>
      </c>
      <c r="Y249" t="s">
        <v>171</v>
      </c>
      <c r="Z249" t="s">
        <v>171</v>
      </c>
      <c r="AA249" t="s">
        <v>171</v>
      </c>
      <c r="AB249" t="s">
        <v>171</v>
      </c>
      <c r="AC249" s="21" t="s">
        <v>171</v>
      </c>
      <c r="AD249" s="21" t="s">
        <v>171</v>
      </c>
      <c r="AE249" s="21" t="s">
        <v>171</v>
      </c>
      <c r="AF249" s="21" t="s">
        <v>171</v>
      </c>
      <c r="AG249" s="21" t="s">
        <v>171</v>
      </c>
      <c r="AH249" s="21" t="s">
        <v>171</v>
      </c>
      <c r="AI249" s="21" t="s">
        <v>171</v>
      </c>
      <c r="AJ249" s="21" t="s">
        <v>171</v>
      </c>
      <c r="AK249" s="21" t="s">
        <v>171</v>
      </c>
      <c r="AL249" s="21" t="s">
        <v>171</v>
      </c>
      <c r="AM249" s="21" t="s">
        <v>171</v>
      </c>
      <c r="AN249" s="21" t="s">
        <v>171</v>
      </c>
      <c r="AO249" s="21" t="s">
        <v>171</v>
      </c>
      <c r="AP249" s="21" t="s">
        <v>171</v>
      </c>
      <c r="AQ249" s="21" t="s">
        <v>171</v>
      </c>
      <c r="AR249" s="21" t="s">
        <v>171</v>
      </c>
      <c r="AS249" s="21" t="s">
        <v>171</v>
      </c>
      <c r="AT249" s="21" t="s">
        <v>171</v>
      </c>
      <c r="AU249" s="21" t="s">
        <v>171</v>
      </c>
      <c r="AV249" s="21" t="s">
        <v>171</v>
      </c>
      <c r="AW249" s="21" t="s">
        <v>171</v>
      </c>
      <c r="AX249" s="21" t="s">
        <v>171</v>
      </c>
      <c r="AY249" s="21" t="s">
        <v>171</v>
      </c>
      <c r="AZ249" s="21" t="s">
        <v>171</v>
      </c>
      <c r="BA249" s="21" t="s">
        <v>171</v>
      </c>
      <c r="BB249" s="21" t="s">
        <v>171</v>
      </c>
      <c r="BC249" s="21" t="s">
        <v>171</v>
      </c>
      <c r="BD249" s="21" t="s">
        <v>171</v>
      </c>
      <c r="BE249" s="21" t="s">
        <v>171</v>
      </c>
      <c r="BF249" s="21" t="s">
        <v>171</v>
      </c>
      <c r="BG249" s="21" t="s">
        <v>171</v>
      </c>
      <c r="BH249" s="21" t="s">
        <v>171</v>
      </c>
    </row>
    <row r="250" spans="1:60" x14ac:dyDescent="0.3">
      <c r="A250" t="s">
        <v>704</v>
      </c>
      <c r="S250" t="s">
        <v>171</v>
      </c>
      <c r="T250" t="s">
        <v>171</v>
      </c>
      <c r="U250" t="s">
        <v>171</v>
      </c>
      <c r="V250" t="s">
        <v>171</v>
      </c>
      <c r="W250" t="s">
        <v>171</v>
      </c>
      <c r="X250" t="s">
        <v>171</v>
      </c>
      <c r="Y250" t="s">
        <v>171</v>
      </c>
      <c r="Z250" t="s">
        <v>171</v>
      </c>
      <c r="AA250" t="s">
        <v>171</v>
      </c>
      <c r="AB250" t="s">
        <v>171</v>
      </c>
      <c r="AC250" s="21" t="s">
        <v>171</v>
      </c>
      <c r="AD250" s="21" t="s">
        <v>171</v>
      </c>
      <c r="AE250" s="21" t="s">
        <v>171</v>
      </c>
      <c r="AF250" s="21" t="s">
        <v>171</v>
      </c>
      <c r="AG250" s="21" t="s">
        <v>171</v>
      </c>
      <c r="AH250" s="21" t="s">
        <v>171</v>
      </c>
      <c r="AI250" s="21" t="s">
        <v>171</v>
      </c>
      <c r="AJ250" s="21" t="s">
        <v>171</v>
      </c>
      <c r="AK250" s="21" t="s">
        <v>171</v>
      </c>
      <c r="AL250" s="21" t="s">
        <v>171</v>
      </c>
      <c r="AM250" s="21" t="s">
        <v>171</v>
      </c>
      <c r="AN250" s="21" t="s">
        <v>171</v>
      </c>
      <c r="AO250" s="21" t="s">
        <v>171</v>
      </c>
      <c r="AP250" s="21" t="s">
        <v>171</v>
      </c>
      <c r="AQ250" s="21" t="s">
        <v>171</v>
      </c>
      <c r="AR250" s="21" t="s">
        <v>171</v>
      </c>
      <c r="AS250" s="21" t="s">
        <v>171</v>
      </c>
      <c r="AT250" s="21" t="s">
        <v>171</v>
      </c>
      <c r="AU250" s="21" t="s">
        <v>171</v>
      </c>
      <c r="AV250" s="21" t="s">
        <v>171</v>
      </c>
      <c r="AW250" s="21" t="s">
        <v>171</v>
      </c>
      <c r="AX250" s="21" t="s">
        <v>171</v>
      </c>
      <c r="AY250" s="21" t="s">
        <v>171</v>
      </c>
      <c r="AZ250" s="21" t="s">
        <v>171</v>
      </c>
      <c r="BA250" s="21" t="s">
        <v>171</v>
      </c>
      <c r="BB250" s="21" t="s">
        <v>171</v>
      </c>
      <c r="BC250" s="21" t="s">
        <v>171</v>
      </c>
      <c r="BD250" s="21" t="s">
        <v>171</v>
      </c>
      <c r="BE250" s="21" t="s">
        <v>171</v>
      </c>
      <c r="BF250" s="21" t="s">
        <v>171</v>
      </c>
      <c r="BG250" s="21" t="s">
        <v>171</v>
      </c>
      <c r="BH250" s="21" t="s">
        <v>171</v>
      </c>
    </row>
    <row r="251" spans="1:60" x14ac:dyDescent="0.3">
      <c r="A251" t="s">
        <v>705</v>
      </c>
      <c r="S251" t="s">
        <v>171</v>
      </c>
      <c r="T251" t="s">
        <v>171</v>
      </c>
      <c r="U251" t="s">
        <v>171</v>
      </c>
      <c r="V251" t="s">
        <v>171</v>
      </c>
      <c r="W251" t="s">
        <v>171</v>
      </c>
      <c r="X251" t="s">
        <v>171</v>
      </c>
      <c r="Y251" t="s">
        <v>171</v>
      </c>
      <c r="Z251" t="s">
        <v>171</v>
      </c>
      <c r="AA251" t="s">
        <v>171</v>
      </c>
      <c r="AB251" t="s">
        <v>171</v>
      </c>
      <c r="AC251" s="21" t="s">
        <v>171</v>
      </c>
      <c r="AD251" s="21" t="s">
        <v>171</v>
      </c>
      <c r="AE251" s="21" t="s">
        <v>171</v>
      </c>
      <c r="AF251" s="21" t="s">
        <v>171</v>
      </c>
      <c r="AG251" s="21" t="s">
        <v>171</v>
      </c>
      <c r="AH251" s="21" t="s">
        <v>171</v>
      </c>
      <c r="AI251" s="21" t="s">
        <v>171</v>
      </c>
      <c r="AJ251" s="21" t="s">
        <v>171</v>
      </c>
      <c r="AK251" s="21" t="s">
        <v>171</v>
      </c>
      <c r="AL251" s="21" t="s">
        <v>171</v>
      </c>
      <c r="AM251" s="21" t="s">
        <v>171</v>
      </c>
      <c r="AN251" s="21" t="s">
        <v>171</v>
      </c>
      <c r="AO251" s="21" t="s">
        <v>171</v>
      </c>
      <c r="AP251" s="21" t="s">
        <v>171</v>
      </c>
      <c r="AQ251" s="21" t="s">
        <v>171</v>
      </c>
      <c r="AR251" s="21" t="s">
        <v>171</v>
      </c>
      <c r="AS251" s="21" t="s">
        <v>171</v>
      </c>
      <c r="AT251" s="21" t="s">
        <v>171</v>
      </c>
      <c r="AU251" s="21" t="s">
        <v>171</v>
      </c>
      <c r="AV251" s="21" t="s">
        <v>171</v>
      </c>
      <c r="AW251" s="21" t="s">
        <v>171</v>
      </c>
      <c r="AX251" s="21" t="s">
        <v>171</v>
      </c>
      <c r="AY251" s="21" t="s">
        <v>171</v>
      </c>
      <c r="AZ251" s="21" t="s">
        <v>171</v>
      </c>
      <c r="BA251" s="21" t="s">
        <v>171</v>
      </c>
      <c r="BB251" s="21" t="s">
        <v>171</v>
      </c>
      <c r="BC251" s="21" t="s">
        <v>171</v>
      </c>
      <c r="BD251" s="21" t="s">
        <v>171</v>
      </c>
      <c r="BE251" s="21" t="s">
        <v>171</v>
      </c>
      <c r="BF251" s="21" t="s">
        <v>171</v>
      </c>
      <c r="BG251" s="21" t="s">
        <v>171</v>
      </c>
      <c r="BH251" s="21" t="s">
        <v>171</v>
      </c>
    </row>
    <row r="252" spans="1:60" x14ac:dyDescent="0.3">
      <c r="A252" t="s">
        <v>520</v>
      </c>
      <c r="S252" t="s">
        <v>171</v>
      </c>
      <c r="T252" t="s">
        <v>171</v>
      </c>
      <c r="U252" t="s">
        <v>171</v>
      </c>
      <c r="V252" t="s">
        <v>171</v>
      </c>
      <c r="W252" t="s">
        <v>171</v>
      </c>
      <c r="X252" t="s">
        <v>171</v>
      </c>
      <c r="Y252" t="s">
        <v>171</v>
      </c>
      <c r="Z252" t="s">
        <v>171</v>
      </c>
      <c r="AA252" t="s">
        <v>171</v>
      </c>
      <c r="AB252" t="s">
        <v>171</v>
      </c>
      <c r="AC252" s="21" t="s">
        <v>171</v>
      </c>
      <c r="AD252" s="21" t="s">
        <v>171</v>
      </c>
      <c r="AE252" s="21" t="s">
        <v>171</v>
      </c>
      <c r="AF252" s="21" t="s">
        <v>171</v>
      </c>
      <c r="AG252" s="21" t="s">
        <v>171</v>
      </c>
      <c r="AH252" s="21" t="s">
        <v>171</v>
      </c>
      <c r="AI252" s="21" t="s">
        <v>171</v>
      </c>
      <c r="AJ252" s="21" t="s">
        <v>171</v>
      </c>
      <c r="AK252" s="21" t="s">
        <v>171</v>
      </c>
      <c r="AL252" s="21" t="s">
        <v>171</v>
      </c>
      <c r="AM252" s="21" t="s">
        <v>171</v>
      </c>
      <c r="AN252" s="21" t="s">
        <v>171</v>
      </c>
      <c r="AO252" s="21" t="s">
        <v>171</v>
      </c>
      <c r="AP252" s="21" t="s">
        <v>171</v>
      </c>
      <c r="AQ252" s="21" t="s">
        <v>171</v>
      </c>
      <c r="AR252" s="21" t="s">
        <v>171</v>
      </c>
      <c r="AS252" s="21" t="s">
        <v>171</v>
      </c>
      <c r="AT252" s="21" t="s">
        <v>171</v>
      </c>
      <c r="AU252" s="21" t="s">
        <v>171</v>
      </c>
      <c r="AV252" s="21" t="s">
        <v>171</v>
      </c>
      <c r="AW252" s="21" t="s">
        <v>171</v>
      </c>
      <c r="AX252" s="21" t="s">
        <v>171</v>
      </c>
      <c r="AY252" s="21" t="s">
        <v>171</v>
      </c>
      <c r="AZ252" s="21" t="s">
        <v>171</v>
      </c>
      <c r="BA252" s="21" t="s">
        <v>171</v>
      </c>
      <c r="BB252" s="21" t="s">
        <v>171</v>
      </c>
      <c r="BC252" s="21" t="s">
        <v>171</v>
      </c>
      <c r="BD252" s="21" t="s">
        <v>171</v>
      </c>
      <c r="BE252" s="21" t="s">
        <v>171</v>
      </c>
      <c r="BF252" s="21" t="s">
        <v>171</v>
      </c>
      <c r="BG252" s="21" t="s">
        <v>171</v>
      </c>
      <c r="BH252" s="21" t="s">
        <v>171</v>
      </c>
    </row>
    <row r="253" spans="1:60" x14ac:dyDescent="0.3">
      <c r="A253" t="s">
        <v>521</v>
      </c>
      <c r="S253" t="s">
        <v>171</v>
      </c>
      <c r="T253" t="s">
        <v>171</v>
      </c>
      <c r="U253" t="s">
        <v>171</v>
      </c>
      <c r="V253" t="s">
        <v>171</v>
      </c>
      <c r="W253" t="s">
        <v>171</v>
      </c>
      <c r="X253" t="s">
        <v>171</v>
      </c>
      <c r="Y253" t="s">
        <v>171</v>
      </c>
      <c r="Z253" t="s">
        <v>171</v>
      </c>
      <c r="AA253" t="s">
        <v>171</v>
      </c>
      <c r="AB253" t="s">
        <v>171</v>
      </c>
      <c r="AC253" s="21" t="s">
        <v>171</v>
      </c>
      <c r="AD253" s="21" t="s">
        <v>171</v>
      </c>
      <c r="AE253" s="21" t="s">
        <v>171</v>
      </c>
      <c r="AF253" s="21" t="s">
        <v>171</v>
      </c>
      <c r="AG253" s="21" t="s">
        <v>171</v>
      </c>
      <c r="AH253" s="21" t="s">
        <v>171</v>
      </c>
      <c r="AI253" s="21" t="s">
        <v>171</v>
      </c>
      <c r="AJ253" s="21" t="s">
        <v>171</v>
      </c>
      <c r="AK253" s="21" t="s">
        <v>171</v>
      </c>
      <c r="AL253" s="21" t="s">
        <v>171</v>
      </c>
      <c r="AM253" s="21" t="s">
        <v>171</v>
      </c>
      <c r="AN253" s="21" t="s">
        <v>171</v>
      </c>
      <c r="AO253" s="21" t="s">
        <v>171</v>
      </c>
      <c r="AP253" s="21" t="s">
        <v>171</v>
      </c>
      <c r="AQ253" s="21" t="s">
        <v>171</v>
      </c>
      <c r="AR253" s="21" t="s">
        <v>171</v>
      </c>
      <c r="AS253" s="21" t="s">
        <v>171</v>
      </c>
      <c r="AT253" s="21" t="s">
        <v>171</v>
      </c>
      <c r="AU253" s="21" t="s">
        <v>171</v>
      </c>
      <c r="AV253" s="21" t="s">
        <v>171</v>
      </c>
      <c r="AW253" s="21" t="s">
        <v>171</v>
      </c>
      <c r="AX253" s="21" t="s">
        <v>171</v>
      </c>
      <c r="AY253" s="21" t="s">
        <v>171</v>
      </c>
      <c r="AZ253" s="21" t="s">
        <v>171</v>
      </c>
      <c r="BA253" s="21" t="s">
        <v>171</v>
      </c>
      <c r="BB253" s="21" t="s">
        <v>171</v>
      </c>
      <c r="BC253" s="21" t="s">
        <v>171</v>
      </c>
      <c r="BD253" s="21" t="s">
        <v>171</v>
      </c>
      <c r="BE253" s="21" t="s">
        <v>171</v>
      </c>
      <c r="BF253" s="21" t="s">
        <v>171</v>
      </c>
      <c r="BG253" s="21" t="s">
        <v>171</v>
      </c>
      <c r="BH253" s="21" t="s">
        <v>171</v>
      </c>
    </row>
    <row r="254" spans="1:60" x14ac:dyDescent="0.3">
      <c r="A254" t="s">
        <v>522</v>
      </c>
      <c r="S254" t="s">
        <v>171</v>
      </c>
      <c r="T254" t="s">
        <v>171</v>
      </c>
      <c r="U254" t="s">
        <v>171</v>
      </c>
      <c r="V254" t="s">
        <v>171</v>
      </c>
      <c r="W254" t="s">
        <v>171</v>
      </c>
      <c r="X254" t="s">
        <v>171</v>
      </c>
      <c r="Y254" t="s">
        <v>171</v>
      </c>
      <c r="Z254" t="s">
        <v>171</v>
      </c>
      <c r="AA254" t="s">
        <v>171</v>
      </c>
      <c r="AB254" t="s">
        <v>171</v>
      </c>
      <c r="AC254" s="21" t="s">
        <v>171</v>
      </c>
      <c r="AD254" s="21" t="s">
        <v>171</v>
      </c>
      <c r="AE254" s="21" t="s">
        <v>171</v>
      </c>
      <c r="AF254" s="21" t="s">
        <v>171</v>
      </c>
      <c r="AG254" s="21" t="s">
        <v>171</v>
      </c>
      <c r="AH254" s="21" t="s">
        <v>171</v>
      </c>
      <c r="AI254" s="21" t="s">
        <v>171</v>
      </c>
      <c r="AJ254" s="21" t="s">
        <v>171</v>
      </c>
      <c r="AK254" s="21" t="s">
        <v>171</v>
      </c>
      <c r="AL254" s="21" t="s">
        <v>171</v>
      </c>
      <c r="AM254" s="21" t="s">
        <v>171</v>
      </c>
      <c r="AN254" s="21" t="s">
        <v>171</v>
      </c>
      <c r="AO254" s="21" t="s">
        <v>171</v>
      </c>
      <c r="AP254" s="21" t="s">
        <v>171</v>
      </c>
      <c r="AQ254" s="21" t="s">
        <v>171</v>
      </c>
      <c r="AR254" s="21" t="s">
        <v>171</v>
      </c>
      <c r="AS254" s="21" t="s">
        <v>171</v>
      </c>
      <c r="AT254" s="21" t="s">
        <v>171</v>
      </c>
      <c r="AU254" s="21" t="s">
        <v>171</v>
      </c>
      <c r="AV254" s="21" t="s">
        <v>171</v>
      </c>
      <c r="AW254" s="21" t="s">
        <v>171</v>
      </c>
      <c r="AX254" s="21" t="s">
        <v>171</v>
      </c>
      <c r="AY254" s="21" t="s">
        <v>171</v>
      </c>
      <c r="AZ254" s="21" t="s">
        <v>171</v>
      </c>
      <c r="BA254" s="21" t="s">
        <v>171</v>
      </c>
      <c r="BB254" s="21" t="s">
        <v>171</v>
      </c>
      <c r="BC254" s="21" t="s">
        <v>171</v>
      </c>
      <c r="BD254" s="21" t="s">
        <v>171</v>
      </c>
      <c r="BE254" s="21" t="s">
        <v>171</v>
      </c>
      <c r="BF254" s="21" t="s">
        <v>171</v>
      </c>
      <c r="BG254" s="21" t="s">
        <v>171</v>
      </c>
      <c r="BH254" s="21" t="s">
        <v>171</v>
      </c>
    </row>
    <row r="255" spans="1:60" x14ac:dyDescent="0.3">
      <c r="A255" t="s">
        <v>523</v>
      </c>
      <c r="S255" t="s">
        <v>171</v>
      </c>
      <c r="T255" t="s">
        <v>171</v>
      </c>
      <c r="U255" t="s">
        <v>171</v>
      </c>
      <c r="V255" t="s">
        <v>171</v>
      </c>
      <c r="W255" t="s">
        <v>171</v>
      </c>
      <c r="X255" t="s">
        <v>171</v>
      </c>
      <c r="Y255" t="s">
        <v>171</v>
      </c>
      <c r="Z255" t="s">
        <v>171</v>
      </c>
      <c r="AA255" t="s">
        <v>171</v>
      </c>
      <c r="AB255" t="s">
        <v>171</v>
      </c>
      <c r="AC255" s="21" t="s">
        <v>171</v>
      </c>
      <c r="AD255" s="21" t="s">
        <v>171</v>
      </c>
      <c r="AE255" s="21" t="s">
        <v>171</v>
      </c>
      <c r="AF255" s="21" t="s">
        <v>171</v>
      </c>
      <c r="AG255" s="21" t="s">
        <v>171</v>
      </c>
      <c r="AH255" s="21" t="s">
        <v>171</v>
      </c>
      <c r="AI255" s="21" t="s">
        <v>171</v>
      </c>
      <c r="AJ255" s="21" t="s">
        <v>171</v>
      </c>
      <c r="AK255" s="21" t="s">
        <v>171</v>
      </c>
      <c r="AL255" s="21" t="s">
        <v>171</v>
      </c>
      <c r="AM255" s="21" t="s">
        <v>171</v>
      </c>
      <c r="AN255" s="21" t="s">
        <v>171</v>
      </c>
      <c r="AO255" s="21" t="s">
        <v>171</v>
      </c>
      <c r="AP255" s="21" t="s">
        <v>171</v>
      </c>
      <c r="AQ255" s="21" t="s">
        <v>171</v>
      </c>
      <c r="AR255" s="21" t="s">
        <v>171</v>
      </c>
      <c r="AS255" s="21" t="s">
        <v>171</v>
      </c>
      <c r="AT255" s="21" t="s">
        <v>171</v>
      </c>
      <c r="AU255" s="21" t="s">
        <v>171</v>
      </c>
      <c r="AV255" s="21" t="s">
        <v>171</v>
      </c>
      <c r="AW255" s="21" t="s">
        <v>171</v>
      </c>
      <c r="AX255" s="21" t="s">
        <v>171</v>
      </c>
      <c r="AY255" s="21" t="s">
        <v>171</v>
      </c>
      <c r="AZ255" s="21" t="s">
        <v>171</v>
      </c>
      <c r="BA255" s="21" t="s">
        <v>171</v>
      </c>
      <c r="BB255" s="21" t="s">
        <v>171</v>
      </c>
      <c r="BC255" s="21" t="s">
        <v>171</v>
      </c>
      <c r="BD255" s="21" t="s">
        <v>171</v>
      </c>
      <c r="BE255" s="21" t="s">
        <v>171</v>
      </c>
      <c r="BF255" s="21" t="s">
        <v>171</v>
      </c>
      <c r="BG255" s="21" t="s">
        <v>171</v>
      </c>
      <c r="BH255" s="21" t="s">
        <v>171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E10" sqref="E10"/>
    </sheetView>
  </sheetViews>
  <sheetFormatPr defaultRowHeight="14.4" x14ac:dyDescent="0.3"/>
  <cols>
    <col min="2" max="2" width="23.33203125" bestFit="1" customWidth="1"/>
    <col min="3" max="3" width="24.5546875" bestFit="1" customWidth="1"/>
    <col min="4" max="4" width="27.109375" bestFit="1" customWidth="1"/>
    <col min="5" max="5" width="24.5546875" bestFit="1" customWidth="1"/>
    <col min="6" max="6" width="27.109375" bestFit="1" customWidth="1"/>
  </cols>
  <sheetData>
    <row r="1" spans="1:6" x14ac:dyDescent="0.3">
      <c r="A1" t="s">
        <v>69</v>
      </c>
    </row>
    <row r="2" spans="1:6" x14ac:dyDescent="0.3">
      <c r="C2" s="34" t="s">
        <v>587</v>
      </c>
      <c r="D2" s="34"/>
      <c r="E2" s="34" t="s">
        <v>592</v>
      </c>
      <c r="F2" s="34"/>
    </row>
    <row r="3" spans="1:6" x14ac:dyDescent="0.3">
      <c r="C3" t="s">
        <v>588</v>
      </c>
      <c r="D3" t="s">
        <v>589</v>
      </c>
      <c r="E3" s="21" t="s">
        <v>588</v>
      </c>
      <c r="F3" s="21" t="s">
        <v>589</v>
      </c>
    </row>
    <row r="4" spans="1:6" x14ac:dyDescent="0.3">
      <c r="B4" t="s">
        <v>93</v>
      </c>
      <c r="C4" t="b">
        <v>0</v>
      </c>
      <c r="D4" s="21" t="b">
        <v>1</v>
      </c>
      <c r="E4" t="b">
        <v>1</v>
      </c>
      <c r="F4" t="b">
        <v>0</v>
      </c>
    </row>
    <row r="5" spans="1:6" x14ac:dyDescent="0.3">
      <c r="B5" t="s">
        <v>590</v>
      </c>
      <c r="C5" t="b">
        <v>0</v>
      </c>
      <c r="D5" s="21" t="b">
        <v>0</v>
      </c>
      <c r="E5" s="21" t="b">
        <v>1</v>
      </c>
      <c r="F5" s="21" t="b">
        <v>0</v>
      </c>
    </row>
    <row r="6" spans="1:6" x14ac:dyDescent="0.3">
      <c r="B6" t="s">
        <v>119</v>
      </c>
      <c r="C6" s="21" t="b">
        <v>0</v>
      </c>
      <c r="D6" s="21" t="b">
        <v>1</v>
      </c>
      <c r="E6" s="21" t="b">
        <v>1</v>
      </c>
      <c r="F6" s="21" t="b">
        <v>0</v>
      </c>
    </row>
    <row r="7" spans="1:6" x14ac:dyDescent="0.3">
      <c r="B7" t="s">
        <v>591</v>
      </c>
      <c r="C7" s="21" t="b">
        <v>0</v>
      </c>
      <c r="D7" s="21" t="b">
        <v>0</v>
      </c>
      <c r="E7" s="21" t="b">
        <v>0</v>
      </c>
      <c r="F7" s="21" t="b">
        <v>0</v>
      </c>
    </row>
    <row r="8" spans="1:6" s="21" customFormat="1" x14ac:dyDescent="0.3">
      <c r="B8" s="21" t="s">
        <v>593</v>
      </c>
      <c r="C8" s="21" t="b">
        <v>0</v>
      </c>
      <c r="D8" s="21" t="b">
        <v>1</v>
      </c>
      <c r="E8" s="21" t="b">
        <v>1</v>
      </c>
      <c r="F8" s="21" t="b">
        <v>0</v>
      </c>
    </row>
    <row r="9" spans="1:6" s="21" customFormat="1" x14ac:dyDescent="0.3">
      <c r="B9" s="21" t="s">
        <v>594</v>
      </c>
      <c r="C9" s="21" t="b">
        <v>0</v>
      </c>
      <c r="D9" s="21" t="b">
        <v>0</v>
      </c>
      <c r="E9" s="21" t="b">
        <v>0</v>
      </c>
      <c r="F9" s="21" t="b">
        <v>0</v>
      </c>
    </row>
    <row r="10" spans="1:6" x14ac:dyDescent="0.3">
      <c r="B10" t="s">
        <v>107</v>
      </c>
      <c r="C10" s="21" t="b">
        <v>0</v>
      </c>
      <c r="D10" s="21" t="b">
        <v>1</v>
      </c>
      <c r="E10" t="b">
        <v>1</v>
      </c>
      <c r="F10" s="21" t="b">
        <v>0</v>
      </c>
    </row>
  </sheetData>
  <mergeCells count="2">
    <mergeCell ref="C2:D2"/>
    <mergeCell ref="E2:F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topLeftCell="A10" workbookViewId="0">
      <selection activeCell="A32" sqref="A32"/>
    </sheetView>
  </sheetViews>
  <sheetFormatPr defaultRowHeight="14.4" x14ac:dyDescent="0.3"/>
  <cols>
    <col min="1" max="1" width="51.88671875" bestFit="1" customWidth="1"/>
    <col min="2" max="2" width="15.109375" customWidth="1"/>
    <col min="3" max="3" width="17.88671875" customWidth="1"/>
    <col min="4" max="4" width="21.21875" customWidth="1"/>
  </cols>
  <sheetData>
    <row r="1" spans="1:4" x14ac:dyDescent="0.3">
      <c r="A1" t="s">
        <v>69</v>
      </c>
    </row>
    <row r="2" spans="1:4" x14ac:dyDescent="0.3">
      <c r="B2" s="13" t="s">
        <v>595</v>
      </c>
      <c r="C2" s="13" t="s">
        <v>596</v>
      </c>
      <c r="D2" s="13" t="s">
        <v>597</v>
      </c>
    </row>
    <row r="3" spans="1:4" x14ac:dyDescent="0.3">
      <c r="B3" t="s">
        <v>693</v>
      </c>
      <c r="C3" s="21" t="s">
        <v>693</v>
      </c>
      <c r="D3" s="21" t="s">
        <v>693</v>
      </c>
    </row>
    <row r="4" spans="1:4" x14ac:dyDescent="0.3">
      <c r="A4" t="s">
        <v>688</v>
      </c>
      <c r="B4">
        <v>2.9189999999999999E-6</v>
      </c>
      <c r="C4">
        <v>1.8370000000000002E-6</v>
      </c>
      <c r="D4">
        <v>3.0000000000000001E-6</v>
      </c>
    </row>
    <row r="5" spans="1:4" x14ac:dyDescent="0.3">
      <c r="A5" t="s">
        <v>33</v>
      </c>
      <c r="B5">
        <v>2.9189999999999999E-6</v>
      </c>
      <c r="C5">
        <v>1.8370000000000002E-6</v>
      </c>
      <c r="D5">
        <v>3.0000000000000001E-6</v>
      </c>
    </row>
    <row r="6" spans="1:4" x14ac:dyDescent="0.3">
      <c r="A6" t="s">
        <v>517</v>
      </c>
      <c r="B6">
        <v>2.9189999999999999E-6</v>
      </c>
      <c r="C6">
        <v>1.8370000000000002E-6</v>
      </c>
      <c r="D6">
        <v>3.0000000000000001E-6</v>
      </c>
    </row>
    <row r="7" spans="1:4" x14ac:dyDescent="0.3">
      <c r="A7" t="s">
        <v>518</v>
      </c>
      <c r="B7">
        <v>2.9189999999999999E-6</v>
      </c>
      <c r="C7">
        <v>1.8370000000000002E-6</v>
      </c>
      <c r="D7">
        <v>3.0000000000000001E-6</v>
      </c>
    </row>
    <row r="8" spans="1:4" x14ac:dyDescent="0.3">
      <c r="A8" t="s">
        <v>524</v>
      </c>
      <c r="B8">
        <v>2.9189999999999999E-6</v>
      </c>
      <c r="C8">
        <v>1.8370000000000002E-6</v>
      </c>
      <c r="D8">
        <v>3.0000000000000001E-6</v>
      </c>
    </row>
    <row r="9" spans="1:4" x14ac:dyDescent="0.3">
      <c r="A9" t="s">
        <v>645</v>
      </c>
      <c r="B9">
        <v>5.8379999999999998E-6</v>
      </c>
      <c r="C9">
        <v>3.6740000000000003E-6</v>
      </c>
      <c r="D9">
        <v>6.0000000000000002E-6</v>
      </c>
    </row>
    <row r="10" spans="1:4" x14ac:dyDescent="0.3">
      <c r="A10" t="s">
        <v>646</v>
      </c>
      <c r="B10">
        <v>5.8379999999999998E-6</v>
      </c>
      <c r="C10">
        <v>3.6740000000000003E-6</v>
      </c>
      <c r="D10">
        <v>6.0000000000000002E-6</v>
      </c>
    </row>
    <row r="11" spans="1:4" x14ac:dyDescent="0.3">
      <c r="A11" t="s">
        <v>647</v>
      </c>
      <c r="B11">
        <v>5.8379999999999998E-6</v>
      </c>
      <c r="C11">
        <v>3.6740000000000003E-6</v>
      </c>
      <c r="D11">
        <v>6.0000000000000002E-6</v>
      </c>
    </row>
    <row r="12" spans="1:4" s="21" customFormat="1" x14ac:dyDescent="0.3">
      <c r="A12" s="21" t="s">
        <v>675</v>
      </c>
      <c r="B12" s="21">
        <v>6.3939999999999993E-6</v>
      </c>
      <c r="C12" s="21">
        <v>6.1789999999999996E-6</v>
      </c>
      <c r="D12" s="21">
        <v>6.0000000000000002E-6</v>
      </c>
    </row>
    <row r="13" spans="1:4" s="21" customFormat="1" x14ac:dyDescent="0.3">
      <c r="A13" s="21" t="s">
        <v>676</v>
      </c>
      <c r="B13" s="21">
        <v>6.3939999999999993E-6</v>
      </c>
      <c r="C13" s="21">
        <v>6.1789999999999996E-6</v>
      </c>
      <c r="D13" s="21">
        <v>6.0000000000000002E-6</v>
      </c>
    </row>
    <row r="14" spans="1:4" s="21" customFormat="1" x14ac:dyDescent="0.3">
      <c r="A14" s="21" t="s">
        <v>677</v>
      </c>
      <c r="B14" s="21">
        <v>6.3939999999999993E-6</v>
      </c>
      <c r="C14" s="21">
        <v>6.1789999999999996E-6</v>
      </c>
      <c r="D14" s="21">
        <v>6.0000000000000002E-6</v>
      </c>
    </row>
    <row r="15" spans="1:4" x14ac:dyDescent="0.3">
      <c r="A15" t="s">
        <v>636</v>
      </c>
      <c r="B15">
        <v>6.3939999999999993E-6</v>
      </c>
      <c r="C15">
        <v>6.1789999999999996E-6</v>
      </c>
      <c r="D15">
        <v>6.0000000000000002E-6</v>
      </c>
    </row>
    <row r="16" spans="1:4" x14ac:dyDescent="0.3">
      <c r="A16" t="s">
        <v>637</v>
      </c>
      <c r="B16">
        <v>6.3939999999999993E-6</v>
      </c>
      <c r="C16">
        <v>6.1789999999999996E-6</v>
      </c>
      <c r="D16">
        <v>6.0000000000000002E-6</v>
      </c>
    </row>
    <row r="17" spans="1:4" x14ac:dyDescent="0.3">
      <c r="A17" t="s">
        <v>638</v>
      </c>
      <c r="B17">
        <v>6.3939999999999993E-6</v>
      </c>
      <c r="C17">
        <v>6.1789999999999996E-6</v>
      </c>
      <c r="D17">
        <v>6.0000000000000002E-6</v>
      </c>
    </row>
    <row r="18" spans="1:4" s="21" customFormat="1" x14ac:dyDescent="0.3">
      <c r="A18" s="21" t="s">
        <v>674</v>
      </c>
      <c r="B18" s="21">
        <v>6.3939999999999993E-6</v>
      </c>
      <c r="C18" s="21">
        <v>3.0894999999999998E-6</v>
      </c>
      <c r="D18" s="21">
        <v>6.0000000000000002E-6</v>
      </c>
    </row>
    <row r="19" spans="1:4" x14ac:dyDescent="0.3">
      <c r="A19" t="s">
        <v>631</v>
      </c>
      <c r="B19">
        <v>6.3939999999999993E-6</v>
      </c>
      <c r="C19">
        <v>3.0894999999999998E-6</v>
      </c>
      <c r="D19">
        <v>6.0000000000000002E-6</v>
      </c>
    </row>
    <row r="20" spans="1:4" x14ac:dyDescent="0.3">
      <c r="A20" t="s">
        <v>712</v>
      </c>
      <c r="B20">
        <v>7.3669999999999991E-6</v>
      </c>
      <c r="C20">
        <v>8.3499999999999997E-6</v>
      </c>
      <c r="D20">
        <v>6.0000000000000002E-6</v>
      </c>
    </row>
    <row r="21" spans="1:4" x14ac:dyDescent="0.3">
      <c r="A21" t="s">
        <v>713</v>
      </c>
      <c r="B21">
        <v>7.3669999999999991E-6</v>
      </c>
      <c r="C21">
        <v>8.3499999999999997E-6</v>
      </c>
      <c r="D21">
        <v>6.0000000000000002E-6</v>
      </c>
    </row>
    <row r="22" spans="1:4" x14ac:dyDescent="0.3">
      <c r="A22" t="s">
        <v>714</v>
      </c>
      <c r="B22">
        <v>7.3669999999999991E-6</v>
      </c>
      <c r="C22">
        <v>8.3499999999999997E-6</v>
      </c>
      <c r="D22">
        <v>6.0000000000000002E-6</v>
      </c>
    </row>
    <row r="23" spans="1:4" x14ac:dyDescent="0.3">
      <c r="A23" t="s">
        <v>694</v>
      </c>
      <c r="B23">
        <v>7.3669999999999991E-6</v>
      </c>
      <c r="C23">
        <v>8.3499999999999997E-6</v>
      </c>
      <c r="D23">
        <v>6.0000000000000002E-6</v>
      </c>
    </row>
    <row r="24" spans="1:4" x14ac:dyDescent="0.3">
      <c r="A24" t="s">
        <v>695</v>
      </c>
      <c r="B24">
        <v>7.3669999999999991E-6</v>
      </c>
      <c r="C24">
        <v>8.3499999999999997E-6</v>
      </c>
      <c r="D24">
        <v>6.0000000000000002E-6</v>
      </c>
    </row>
    <row r="25" spans="1:4" x14ac:dyDescent="0.3">
      <c r="A25" t="s">
        <v>696</v>
      </c>
      <c r="B25">
        <v>7.3669999999999991E-6</v>
      </c>
      <c r="C25">
        <v>8.3499999999999997E-6</v>
      </c>
      <c r="D25">
        <v>6.0000000000000002E-6</v>
      </c>
    </row>
    <row r="26" spans="1:4" x14ac:dyDescent="0.3">
      <c r="A26" t="s">
        <v>703</v>
      </c>
      <c r="B26">
        <v>7.3669999999999991E-6</v>
      </c>
      <c r="C26">
        <v>8.3499999999999997E-6</v>
      </c>
      <c r="D26">
        <v>6.0000000000000002E-6</v>
      </c>
    </row>
    <row r="27" spans="1:4" x14ac:dyDescent="0.3">
      <c r="A27" t="s">
        <v>704</v>
      </c>
      <c r="B27">
        <v>7.3669999999999991E-6</v>
      </c>
      <c r="C27">
        <v>8.3499999999999997E-6</v>
      </c>
      <c r="D27">
        <v>6.0000000000000002E-6</v>
      </c>
    </row>
    <row r="28" spans="1:4" x14ac:dyDescent="0.3">
      <c r="A28" t="s">
        <v>705</v>
      </c>
      <c r="B28">
        <v>7.3669999999999991E-6</v>
      </c>
      <c r="C28">
        <v>8.3499999999999997E-6</v>
      </c>
      <c r="D28">
        <v>6.0000000000000002E-6</v>
      </c>
    </row>
    <row r="29" spans="1:4" x14ac:dyDescent="0.3">
      <c r="A29" t="s">
        <v>520</v>
      </c>
      <c r="B29">
        <v>7.3669999999999991E-6</v>
      </c>
      <c r="C29">
        <v>4.1749999999999998E-6</v>
      </c>
      <c r="D29">
        <v>6.0000000000000002E-6</v>
      </c>
    </row>
    <row r="30" spans="1:4" x14ac:dyDescent="0.3">
      <c r="A30" t="s">
        <v>521</v>
      </c>
      <c r="B30">
        <v>7.3669999999999991E-6</v>
      </c>
      <c r="C30">
        <v>4.1749999999999998E-6</v>
      </c>
      <c r="D30">
        <v>6.0000000000000002E-6</v>
      </c>
    </row>
    <row r="31" spans="1:4" x14ac:dyDescent="0.3">
      <c r="A31" t="s">
        <v>522</v>
      </c>
      <c r="B31">
        <v>7.3669999999999991E-6</v>
      </c>
      <c r="C31">
        <v>4.1749999999999998E-6</v>
      </c>
      <c r="D31">
        <v>6.0000000000000002E-6</v>
      </c>
    </row>
    <row r="32" spans="1:4" x14ac:dyDescent="0.3">
      <c r="A32" t="s">
        <v>523</v>
      </c>
      <c r="B32">
        <v>7.3669999999999991E-6</v>
      </c>
      <c r="C32">
        <v>4.1749999999999998E-6</v>
      </c>
      <c r="D32">
        <v>6.0000000000000002E-6</v>
      </c>
    </row>
    <row r="36" spans="2:4" x14ac:dyDescent="0.3">
      <c r="C36" s="21"/>
      <c r="D36" s="21"/>
    </row>
    <row r="37" spans="2:4" x14ac:dyDescent="0.3">
      <c r="B37" s="21"/>
      <c r="C37" s="21"/>
      <c r="D37" s="21"/>
    </row>
    <row r="38" spans="2:4" x14ac:dyDescent="0.3">
      <c r="B38" s="21"/>
      <c r="C38" s="21"/>
      <c r="D38" s="21"/>
    </row>
    <row r="39" spans="2:4" x14ac:dyDescent="0.3">
      <c r="B39" s="21"/>
      <c r="C39" s="21"/>
      <c r="D39" s="21"/>
    </row>
    <row r="40" spans="2:4" x14ac:dyDescent="0.3">
      <c r="B40" s="21"/>
      <c r="C40" s="21"/>
      <c r="D40" s="21"/>
    </row>
    <row r="41" spans="2:4" x14ac:dyDescent="0.3">
      <c r="B41" s="21"/>
      <c r="C41" s="21"/>
      <c r="D41" s="21"/>
    </row>
    <row r="42" spans="2:4" x14ac:dyDescent="0.3">
      <c r="B42" s="21"/>
      <c r="C42" s="21"/>
      <c r="D42" s="21"/>
    </row>
    <row r="43" spans="2:4" x14ac:dyDescent="0.3">
      <c r="B43" s="21"/>
      <c r="C43" s="21"/>
      <c r="D43" s="21"/>
    </row>
    <row r="44" spans="2:4" x14ac:dyDescent="0.3">
      <c r="B44" s="21"/>
      <c r="C44" s="21"/>
      <c r="D44" s="21"/>
    </row>
    <row r="45" spans="2:4" x14ac:dyDescent="0.3">
      <c r="B45" s="21"/>
      <c r="C45" s="21"/>
      <c r="D45" s="21"/>
    </row>
    <row r="46" spans="2:4" x14ac:dyDescent="0.3">
      <c r="B46" s="21"/>
      <c r="C46" s="21"/>
      <c r="D46" s="21"/>
    </row>
    <row r="47" spans="2:4" x14ac:dyDescent="0.3">
      <c r="B47" s="21"/>
      <c r="C47" s="21"/>
      <c r="D47" s="21"/>
    </row>
    <row r="48" spans="2:4" x14ac:dyDescent="0.3">
      <c r="B48" s="21"/>
      <c r="C48" s="21"/>
      <c r="D48" s="21"/>
    </row>
    <row r="49" spans="2:4" x14ac:dyDescent="0.3">
      <c r="B49" s="21"/>
      <c r="C49" s="21"/>
      <c r="D49" s="21"/>
    </row>
    <row r="50" spans="2:4" x14ac:dyDescent="0.3">
      <c r="B50" s="21"/>
      <c r="C50" s="21"/>
      <c r="D50" s="21"/>
    </row>
    <row r="51" spans="2:4" x14ac:dyDescent="0.3">
      <c r="B51" s="21"/>
      <c r="C51" s="21"/>
      <c r="D51" s="21"/>
    </row>
    <row r="52" spans="2:4" x14ac:dyDescent="0.3">
      <c r="B52" s="21"/>
      <c r="C52" s="21"/>
      <c r="D52" s="21"/>
    </row>
    <row r="53" spans="2:4" x14ac:dyDescent="0.3">
      <c r="B53" s="21"/>
      <c r="C53" s="21"/>
      <c r="D53" s="21"/>
    </row>
    <row r="54" spans="2:4" x14ac:dyDescent="0.3">
      <c r="B54" s="21"/>
      <c r="C54" s="21"/>
      <c r="D54" s="21"/>
    </row>
    <row r="55" spans="2:4" x14ac:dyDescent="0.3">
      <c r="B55" s="21"/>
      <c r="C55" s="21"/>
      <c r="D55" s="21"/>
    </row>
    <row r="56" spans="2:4" x14ac:dyDescent="0.3">
      <c r="B56" s="21"/>
      <c r="C56" s="21"/>
      <c r="D56" s="21"/>
    </row>
    <row r="57" spans="2:4" x14ac:dyDescent="0.3">
      <c r="B57" s="21"/>
      <c r="C57" s="21"/>
      <c r="D57" s="21"/>
    </row>
    <row r="58" spans="2:4" x14ac:dyDescent="0.3">
      <c r="B58" s="21"/>
      <c r="C58" s="21"/>
      <c r="D58" s="21"/>
    </row>
    <row r="59" spans="2:4" x14ac:dyDescent="0.3">
      <c r="B59" s="21"/>
      <c r="C59" s="21"/>
      <c r="D59" s="21"/>
    </row>
    <row r="60" spans="2:4" x14ac:dyDescent="0.3">
      <c r="B60" s="21"/>
      <c r="C60" s="21"/>
      <c r="D60" s="21"/>
    </row>
    <row r="61" spans="2:4" x14ac:dyDescent="0.3">
      <c r="B61" s="21"/>
    </row>
    <row r="62" spans="2:4" x14ac:dyDescent="0.3">
      <c r="B62" s="21"/>
    </row>
    <row r="63" spans="2:4" x14ac:dyDescent="0.3">
      <c r="B63" s="21"/>
    </row>
    <row r="64" spans="2:4" x14ac:dyDescent="0.3">
      <c r="B64" s="21"/>
    </row>
    <row r="65" spans="2:2" x14ac:dyDescent="0.3">
      <c r="B65" s="21"/>
    </row>
    <row r="66" spans="2:2" x14ac:dyDescent="0.3">
      <c r="B66" s="21"/>
    </row>
    <row r="67" spans="2:2" x14ac:dyDescent="0.3">
      <c r="B67" s="2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A2" sqref="A2"/>
    </sheetView>
  </sheetViews>
  <sheetFormatPr defaultRowHeight="14.4" x14ac:dyDescent="0.3"/>
  <cols>
    <col min="1" max="1" width="31" bestFit="1" customWidth="1"/>
  </cols>
  <sheetData>
    <row r="1" spans="1:4" x14ac:dyDescent="0.3">
      <c r="A1" t="s">
        <v>69</v>
      </c>
    </row>
    <row r="2" spans="1:4" x14ac:dyDescent="0.3">
      <c r="A2" t="s">
        <v>44</v>
      </c>
      <c r="B2" t="s">
        <v>43</v>
      </c>
      <c r="C2" t="s">
        <v>45</v>
      </c>
      <c r="D2" t="s">
        <v>46</v>
      </c>
    </row>
    <row r="3" spans="1:4" x14ac:dyDescent="0.3">
      <c r="A3">
        <v>2020</v>
      </c>
      <c r="B3">
        <v>0.2</v>
      </c>
      <c r="C3">
        <v>0.2</v>
      </c>
      <c r="D3">
        <v>0.2</v>
      </c>
    </row>
    <row r="4" spans="1:4" x14ac:dyDescent="0.3">
      <c r="A4">
        <v>2030</v>
      </c>
      <c r="B4">
        <v>0.3</v>
      </c>
      <c r="C4">
        <v>0.3</v>
      </c>
      <c r="D4">
        <v>0.3</v>
      </c>
    </row>
    <row r="5" spans="1:4" x14ac:dyDescent="0.3">
      <c r="A5">
        <v>2040</v>
      </c>
      <c r="B5">
        <v>0.4</v>
      </c>
      <c r="C5">
        <v>0.4</v>
      </c>
      <c r="D5">
        <v>0.4</v>
      </c>
    </row>
    <row r="6" spans="1:4" x14ac:dyDescent="0.3">
      <c r="A6">
        <v>2050</v>
      </c>
      <c r="B6">
        <v>0.5</v>
      </c>
      <c r="C6">
        <v>0.5</v>
      </c>
      <c r="D6">
        <v>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26"/>
  <sheetViews>
    <sheetView zoomScale="70" zoomScaleNormal="70" workbookViewId="0">
      <selection activeCell="B9" sqref="B9"/>
    </sheetView>
  </sheetViews>
  <sheetFormatPr defaultRowHeight="14.4" x14ac:dyDescent="0.3"/>
  <cols>
    <col min="1" max="1" width="8.88671875" bestFit="1" customWidth="1"/>
    <col min="2" max="2" width="15.44140625" bestFit="1" customWidth="1"/>
    <col min="3" max="4" width="23.33203125" bestFit="1" customWidth="1"/>
    <col min="5" max="5" width="27.21875" bestFit="1" customWidth="1"/>
    <col min="6" max="6" width="28.5546875" bestFit="1" customWidth="1"/>
    <col min="7" max="7" width="32.44140625" bestFit="1" customWidth="1"/>
    <col min="8" max="8" width="28.5546875" bestFit="1" customWidth="1"/>
    <col min="19" max="19" width="32.44140625" bestFit="1" customWidth="1"/>
    <col min="20" max="20" width="20" bestFit="1" customWidth="1"/>
    <col min="21" max="22" width="11.109375" bestFit="1" customWidth="1"/>
    <col min="23" max="23" width="11.21875" bestFit="1" customWidth="1"/>
    <col min="24" max="29" width="11.109375" bestFit="1" customWidth="1"/>
    <col min="30" max="30" width="11.21875" bestFit="1" customWidth="1"/>
    <col min="31" max="36" width="11.109375" bestFit="1" customWidth="1"/>
    <col min="37" max="37" width="11.21875" bestFit="1" customWidth="1"/>
    <col min="38" max="40" width="11.109375" bestFit="1" customWidth="1"/>
  </cols>
  <sheetData>
    <row r="1" spans="1:40" x14ac:dyDescent="0.3">
      <c r="A1" t="s">
        <v>69</v>
      </c>
    </row>
    <row r="2" spans="1:40" x14ac:dyDescent="0.3">
      <c r="B2" t="s">
        <v>50</v>
      </c>
      <c r="C2" t="s">
        <v>52</v>
      </c>
      <c r="D2" t="s">
        <v>54</v>
      </c>
      <c r="E2" t="s">
        <v>55</v>
      </c>
    </row>
    <row r="3" spans="1:40" x14ac:dyDescent="0.3">
      <c r="A3" t="s">
        <v>47</v>
      </c>
      <c r="B3">
        <v>0.75</v>
      </c>
      <c r="C3" s="3">
        <f>42.4/3.6</f>
        <v>11.777777777777777</v>
      </c>
      <c r="D3">
        <v>3.18</v>
      </c>
      <c r="E3">
        <v>1.5999999999999999E-5</v>
      </c>
    </row>
    <row r="4" spans="1:40" x14ac:dyDescent="0.3">
      <c r="A4" t="s">
        <v>48</v>
      </c>
      <c r="B4">
        <v>0.85</v>
      </c>
      <c r="C4" s="3">
        <f>42.8/3.6</f>
        <v>11.888888888888888</v>
      </c>
      <c r="D4">
        <v>3.14</v>
      </c>
      <c r="E4">
        <v>8.8500000000000004E-4</v>
      </c>
    </row>
    <row r="5" spans="1:40" x14ac:dyDescent="0.3">
      <c r="A5" t="s">
        <v>49</v>
      </c>
      <c r="C5" s="3">
        <f>55.5/3.6</f>
        <v>15.416666666666666</v>
      </c>
      <c r="D5">
        <v>2.65</v>
      </c>
      <c r="E5">
        <v>0</v>
      </c>
    </row>
    <row r="7" spans="1:40" x14ac:dyDescent="0.3">
      <c r="U7" s="21"/>
      <c r="V7" s="21"/>
      <c r="W7" s="21"/>
      <c r="X7" s="21"/>
      <c r="Y7" s="21"/>
      <c r="Z7" s="21"/>
      <c r="AA7" s="21"/>
      <c r="AB7" s="21"/>
      <c r="AC7" s="21"/>
      <c r="AD7" s="21"/>
      <c r="AE7" s="21"/>
      <c r="AF7" s="21"/>
      <c r="AG7" s="21"/>
      <c r="AH7" s="21"/>
      <c r="AI7" s="21"/>
      <c r="AJ7" s="21"/>
      <c r="AK7" s="21"/>
      <c r="AL7" s="21"/>
      <c r="AM7" s="21"/>
      <c r="AN7" s="21"/>
    </row>
    <row r="8" spans="1:40" x14ac:dyDescent="0.3">
      <c r="A8" s="8" t="s">
        <v>670</v>
      </c>
      <c r="B8" s="8" t="s">
        <v>671</v>
      </c>
      <c r="C8" s="8"/>
      <c r="D8" s="8"/>
      <c r="E8" s="8"/>
      <c r="F8" s="8"/>
      <c r="G8" s="8"/>
      <c r="H8" s="8"/>
      <c r="I8" s="8"/>
      <c r="J8" s="8"/>
      <c r="K8" s="8"/>
      <c r="L8" s="8"/>
      <c r="M8" s="8"/>
      <c r="N8" s="8"/>
      <c r="O8" s="8"/>
      <c r="P8" s="8"/>
      <c r="U8" s="21"/>
      <c r="V8" s="21"/>
      <c r="W8" s="21"/>
      <c r="X8" s="21"/>
      <c r="Y8" s="21"/>
      <c r="Z8" s="21"/>
      <c r="AA8" s="21"/>
      <c r="AB8" s="21"/>
      <c r="AC8" s="21"/>
      <c r="AD8" s="21"/>
      <c r="AE8" s="21"/>
      <c r="AF8" s="21"/>
      <c r="AG8" s="21"/>
      <c r="AH8" s="21"/>
      <c r="AI8" s="21"/>
      <c r="AJ8" s="21"/>
      <c r="AK8" s="21"/>
      <c r="AL8" s="21"/>
      <c r="AM8" s="21"/>
      <c r="AN8" s="21"/>
    </row>
    <row r="9" spans="1:40" x14ac:dyDescent="0.3">
      <c r="A9" t="s">
        <v>668</v>
      </c>
      <c r="C9" t="s">
        <v>661</v>
      </c>
      <c r="D9" t="s">
        <v>662</v>
      </c>
      <c r="E9" t="s">
        <v>663</v>
      </c>
      <c r="F9" t="s">
        <v>664</v>
      </c>
      <c r="G9" t="s">
        <v>665</v>
      </c>
      <c r="H9" t="s">
        <v>666</v>
      </c>
      <c r="I9" s="8"/>
      <c r="J9" s="8"/>
      <c r="K9" s="8"/>
      <c r="L9" s="8"/>
      <c r="M9" s="8"/>
      <c r="N9" s="8"/>
      <c r="O9" s="8"/>
      <c r="P9" s="8"/>
      <c r="AA9" s="21"/>
      <c r="AB9" s="21"/>
      <c r="AC9" s="21"/>
      <c r="AD9" s="21"/>
      <c r="AE9" s="21"/>
      <c r="AF9" s="21"/>
      <c r="AG9" s="21"/>
      <c r="AH9" s="21"/>
      <c r="AI9" s="21"/>
      <c r="AJ9" s="21"/>
      <c r="AK9" s="21"/>
      <c r="AL9" s="21"/>
      <c r="AM9" s="21"/>
      <c r="AN9" s="21"/>
    </row>
    <row r="10" spans="1:40" x14ac:dyDescent="0.3">
      <c r="A10" t="s">
        <v>147</v>
      </c>
      <c r="B10" t="s">
        <v>58</v>
      </c>
      <c r="C10" s="7">
        <v>3.9046610243035027</v>
      </c>
      <c r="D10" s="7">
        <v>4.2084239598411006</v>
      </c>
      <c r="E10" s="7">
        <v>2.9087081117400646</v>
      </c>
      <c r="F10" s="7">
        <v>0.68464461685761435</v>
      </c>
      <c r="G10" s="7">
        <v>0.14864762347812063</v>
      </c>
      <c r="H10" s="7">
        <v>0.14884277886536898</v>
      </c>
      <c r="I10" s="29"/>
      <c r="J10" s="8"/>
      <c r="K10" s="8"/>
      <c r="L10" s="8"/>
      <c r="M10" s="8"/>
      <c r="N10" s="8"/>
      <c r="O10" s="8"/>
      <c r="P10" s="8"/>
      <c r="T10" s="7"/>
      <c r="U10" s="7"/>
      <c r="V10" s="7"/>
      <c r="W10" s="7"/>
      <c r="X10" s="7"/>
      <c r="Y10" s="7"/>
      <c r="Z10" s="7"/>
      <c r="AA10" s="7"/>
      <c r="AB10" s="7"/>
      <c r="AC10" s="7"/>
      <c r="AD10" s="7"/>
      <c r="AE10" s="7"/>
      <c r="AF10" s="7"/>
      <c r="AG10" s="7"/>
      <c r="AH10" s="7"/>
      <c r="AI10" s="7"/>
      <c r="AJ10" s="7"/>
      <c r="AK10" s="7"/>
      <c r="AL10" s="7"/>
      <c r="AM10" s="7"/>
      <c r="AN10" s="7"/>
    </row>
    <row r="11" spans="1:40" x14ac:dyDescent="0.3">
      <c r="A11" s="21" t="s">
        <v>147</v>
      </c>
      <c r="B11" t="s">
        <v>61</v>
      </c>
      <c r="C11" s="7">
        <v>0.44542695334279203</v>
      </c>
      <c r="D11" s="7">
        <v>0.44542695334279203</v>
      </c>
      <c r="E11" s="7">
        <v>6.984516274842606E-2</v>
      </c>
      <c r="F11" s="7">
        <v>9.3107814878702483E-2</v>
      </c>
      <c r="G11" s="7">
        <v>1.761857873999224E-2</v>
      </c>
      <c r="H11" s="7">
        <v>1.577375406699133E-2</v>
      </c>
      <c r="I11" s="29"/>
      <c r="J11" s="8"/>
      <c r="K11" s="8"/>
      <c r="L11" s="8"/>
      <c r="M11" s="8"/>
      <c r="N11" s="8"/>
      <c r="O11" s="8"/>
      <c r="P11" s="8"/>
      <c r="T11" s="7"/>
      <c r="U11" s="7"/>
      <c r="V11" s="7"/>
      <c r="W11" s="7"/>
      <c r="X11" s="7"/>
      <c r="Y11" s="7"/>
      <c r="Z11" s="7"/>
      <c r="AA11" s="7"/>
      <c r="AB11" s="7"/>
      <c r="AC11" s="7"/>
      <c r="AD11" s="7"/>
      <c r="AE11" s="7"/>
      <c r="AF11" s="7"/>
      <c r="AG11" s="7"/>
      <c r="AH11" s="7"/>
      <c r="AI11" s="7"/>
      <c r="AJ11" s="7"/>
      <c r="AK11" s="7"/>
      <c r="AL11" s="7"/>
      <c r="AM11" s="7"/>
      <c r="AN11" s="7"/>
    </row>
    <row r="12" spans="1:40" x14ac:dyDescent="0.3">
      <c r="A12" s="21" t="s">
        <v>147</v>
      </c>
      <c r="B12" t="s">
        <v>667</v>
      </c>
      <c r="C12" s="7">
        <v>2.1891509709100943</v>
      </c>
      <c r="D12" s="7">
        <v>1.7638828611574571</v>
      </c>
      <c r="E12" s="7">
        <v>0.86889040162410291</v>
      </c>
      <c r="F12" s="7">
        <v>6.3460278570138265E-2</v>
      </c>
      <c r="G12" s="7">
        <v>6.5178455729151596E-2</v>
      </c>
      <c r="H12" s="7">
        <v>6.5377641840979273E-2</v>
      </c>
      <c r="I12" s="29"/>
      <c r="J12" s="8"/>
      <c r="K12" s="8"/>
      <c r="L12" s="8"/>
      <c r="M12" s="8"/>
      <c r="N12" s="8"/>
      <c r="O12" s="8"/>
      <c r="P12" s="8"/>
      <c r="T12" s="7"/>
      <c r="U12" s="7"/>
      <c r="V12" s="7"/>
      <c r="W12" s="7"/>
      <c r="X12" s="7"/>
      <c r="Y12" s="7"/>
      <c r="Z12" s="7"/>
      <c r="AA12" s="7"/>
      <c r="AB12" s="7"/>
      <c r="AC12" s="7"/>
      <c r="AD12" s="7"/>
      <c r="AE12" s="7"/>
      <c r="AF12" s="7"/>
      <c r="AG12" s="7"/>
      <c r="AH12" s="7"/>
      <c r="AI12" s="7"/>
      <c r="AJ12" s="7"/>
      <c r="AK12" s="7"/>
      <c r="AL12" s="7"/>
      <c r="AM12" s="7"/>
      <c r="AN12" s="7"/>
    </row>
    <row r="13" spans="1:40" x14ac:dyDescent="0.3">
      <c r="A13" s="21" t="s">
        <v>147</v>
      </c>
      <c r="B13" t="s">
        <v>63</v>
      </c>
      <c r="C13" s="7">
        <v>1.3953205227272419E-2</v>
      </c>
      <c r="D13" s="7">
        <v>9.2280040077986746E-3</v>
      </c>
      <c r="E13" s="7">
        <v>1.0464632968199748E-2</v>
      </c>
      <c r="F13" s="7">
        <v>4.3633358248302487E-3</v>
      </c>
      <c r="G13" s="7">
        <v>1.1133692009041535E-3</v>
      </c>
      <c r="H13" s="7">
        <v>1.1148309127867171E-3</v>
      </c>
      <c r="I13" s="30"/>
      <c r="J13" s="8"/>
      <c r="K13" s="8"/>
      <c r="L13" s="8"/>
      <c r="M13" s="8"/>
      <c r="N13" s="8"/>
      <c r="O13" s="8"/>
      <c r="P13" s="8"/>
      <c r="T13" s="7"/>
      <c r="U13" s="7"/>
      <c r="V13" s="7"/>
      <c r="W13" s="7"/>
      <c r="X13" s="7"/>
      <c r="Y13" s="7"/>
      <c r="Z13" s="7"/>
      <c r="AA13" s="7"/>
      <c r="AB13" s="7"/>
      <c r="AC13" s="7"/>
      <c r="AD13" s="7"/>
      <c r="AE13" s="7"/>
      <c r="AF13" s="7"/>
      <c r="AG13" s="7"/>
      <c r="AH13" s="7"/>
      <c r="AI13" s="7"/>
      <c r="AJ13" s="7"/>
      <c r="AK13" s="7"/>
      <c r="AL13" s="7"/>
      <c r="AM13" s="7"/>
      <c r="AN13" s="7"/>
    </row>
    <row r="14" spans="1:40" x14ac:dyDescent="0.3">
      <c r="A14" s="21" t="s">
        <v>147</v>
      </c>
      <c r="B14" t="s">
        <v>57</v>
      </c>
      <c r="C14" s="7">
        <v>2.660963315309357E-2</v>
      </c>
      <c r="D14" s="7">
        <v>2.660963315309357E-2</v>
      </c>
      <c r="E14" s="7">
        <v>1.0791652748455985E-2</v>
      </c>
      <c r="F14" s="7">
        <v>4.8869361238098791E-2</v>
      </c>
      <c r="G14" s="7">
        <v>1.480781037202524E-2</v>
      </c>
      <c r="H14" s="7">
        <v>8.4727149371790506E-3</v>
      </c>
      <c r="I14" s="28"/>
      <c r="J14" s="8"/>
      <c r="K14" s="8"/>
      <c r="L14" s="8"/>
      <c r="M14" s="8"/>
      <c r="N14" s="8"/>
      <c r="O14" s="8"/>
      <c r="P14" s="8"/>
      <c r="T14" s="7"/>
      <c r="U14" s="7"/>
      <c r="V14" s="7"/>
      <c r="W14" s="7"/>
      <c r="X14" s="7"/>
      <c r="Y14" s="7"/>
      <c r="Z14" s="7"/>
      <c r="AA14" s="7"/>
      <c r="AB14" s="7"/>
      <c r="AC14" s="7"/>
      <c r="AD14" s="7"/>
      <c r="AE14" s="7"/>
      <c r="AF14" s="7"/>
      <c r="AG14" s="7"/>
      <c r="AH14" s="7"/>
      <c r="AI14" s="7"/>
      <c r="AJ14" s="7"/>
      <c r="AK14" s="7"/>
      <c r="AL14" s="7"/>
      <c r="AM14" s="7"/>
      <c r="AN14" s="7"/>
    </row>
    <row r="15" spans="1:40" x14ac:dyDescent="0.3">
      <c r="A15" s="21" t="s">
        <v>147</v>
      </c>
      <c r="B15" t="s">
        <v>60</v>
      </c>
      <c r="C15" s="7">
        <v>1.350057491278213E-3</v>
      </c>
      <c r="D15" s="7">
        <v>1.350057491278213E-3</v>
      </c>
      <c r="E15" s="7">
        <v>1.744105494699958E-3</v>
      </c>
      <c r="F15" s="7">
        <v>1.7453343299320993E-3</v>
      </c>
      <c r="G15" s="7">
        <v>4.4534768036166134E-4</v>
      </c>
      <c r="H15" s="7">
        <v>4.4593236511468687E-4</v>
      </c>
      <c r="I15" s="28"/>
      <c r="J15" s="8"/>
      <c r="K15" s="8"/>
      <c r="L15" s="8"/>
      <c r="M15" s="8"/>
      <c r="N15" s="8"/>
      <c r="O15" s="8"/>
      <c r="P15" s="8"/>
      <c r="T15" s="7"/>
      <c r="U15" s="7"/>
      <c r="V15" s="7"/>
      <c r="W15" s="7"/>
      <c r="X15" s="7"/>
      <c r="Y15" s="7"/>
      <c r="Z15" s="7"/>
      <c r="AA15" s="7"/>
      <c r="AB15" s="7"/>
      <c r="AC15" s="7"/>
      <c r="AD15" s="7"/>
      <c r="AE15" s="7"/>
      <c r="AF15" s="7"/>
      <c r="AG15" s="7"/>
      <c r="AH15" s="7"/>
      <c r="AI15" s="7"/>
      <c r="AJ15" s="7"/>
      <c r="AK15" s="7"/>
      <c r="AL15" s="7"/>
      <c r="AM15" s="7"/>
      <c r="AN15" s="7"/>
    </row>
    <row r="16" spans="1:40" x14ac:dyDescent="0.3">
      <c r="A16" s="21" t="s">
        <v>147</v>
      </c>
      <c r="B16" t="s">
        <v>59</v>
      </c>
      <c r="C16" s="7">
        <v>1.350057491278213E-3</v>
      </c>
      <c r="D16" s="7">
        <v>1.350057491278213E-3</v>
      </c>
      <c r="E16" s="7">
        <v>1.744105494699958E-3</v>
      </c>
      <c r="F16" s="7">
        <v>1.7453343299320993E-3</v>
      </c>
      <c r="G16" s="7">
        <v>4.4534768036166134E-4</v>
      </c>
      <c r="H16" s="7">
        <v>4.4593236511468687E-4</v>
      </c>
      <c r="I16" s="28"/>
      <c r="J16" s="8"/>
      <c r="K16" s="8"/>
      <c r="L16" s="8"/>
      <c r="M16" s="8"/>
      <c r="N16" s="8"/>
      <c r="O16" s="8"/>
      <c r="P16" s="8"/>
    </row>
    <row r="17" spans="1:16" x14ac:dyDescent="0.3">
      <c r="A17" s="21" t="s">
        <v>147</v>
      </c>
      <c r="B17" s="21" t="s">
        <v>659</v>
      </c>
      <c r="C17" s="7">
        <v>0.99037189923972668</v>
      </c>
      <c r="D17" s="7">
        <v>0.79798060638763357</v>
      </c>
      <c r="E17" s="7">
        <v>0.39308601769474416</v>
      </c>
      <c r="F17" s="7">
        <v>2.8709430025130551E-2</v>
      </c>
      <c r="G17" s="7">
        <v>2.9486733371868183E-2</v>
      </c>
      <c r="H17" s="7">
        <v>2.9576845168859025E-2</v>
      </c>
      <c r="I17" s="28"/>
      <c r="J17" s="8"/>
      <c r="K17" s="8"/>
      <c r="L17" s="8"/>
      <c r="M17" s="8"/>
      <c r="N17" s="8"/>
      <c r="O17" s="8"/>
      <c r="P17" s="8"/>
    </row>
    <row r="18" spans="1:16" x14ac:dyDescent="0.3">
      <c r="A18" s="21" t="s">
        <v>147</v>
      </c>
      <c r="B18" s="21" t="s">
        <v>603</v>
      </c>
      <c r="C18" s="7">
        <v>6.9833915972032007E-2</v>
      </c>
      <c r="D18" s="7">
        <v>5.6267863270922876E-2</v>
      </c>
      <c r="E18" s="7">
        <v>2.7717603811808881E-2</v>
      </c>
      <c r="F18" s="7">
        <v>2.0243828863874104E-3</v>
      </c>
      <c r="G18" s="7">
        <v>2.0791927377599357E-3</v>
      </c>
      <c r="H18" s="7">
        <v>2.0855467747272387E-3</v>
      </c>
      <c r="I18" s="28"/>
      <c r="J18" s="8"/>
      <c r="K18" s="8"/>
      <c r="L18" s="8"/>
      <c r="M18" s="8"/>
      <c r="N18" s="8"/>
      <c r="O18" s="8"/>
      <c r="P18" s="8"/>
    </row>
    <row r="19" spans="1:16" x14ac:dyDescent="0.3">
      <c r="A19" s="21" t="s">
        <v>147</v>
      </c>
      <c r="B19" s="21" t="s">
        <v>604</v>
      </c>
      <c r="C19" s="7">
        <v>1.4229481310915611E-2</v>
      </c>
      <c r="D19" s="7">
        <v>1.1465238597523471E-2</v>
      </c>
      <c r="E19" s="7">
        <v>5.6477876105566691E-3</v>
      </c>
      <c r="F19" s="7">
        <v>4.124918107058987E-4</v>
      </c>
      <c r="G19" s="7">
        <v>4.2365996223948536E-4</v>
      </c>
      <c r="H19" s="7">
        <v>4.2495467196636527E-4</v>
      </c>
      <c r="I19" s="28"/>
      <c r="J19" s="8"/>
      <c r="K19" s="8"/>
      <c r="L19" s="8"/>
      <c r="M19" s="8"/>
      <c r="N19" s="8"/>
      <c r="O19" s="8"/>
      <c r="P19" s="8"/>
    </row>
    <row r="20" spans="1:16" x14ac:dyDescent="0.3">
      <c r="A20" s="21" t="s">
        <v>147</v>
      </c>
      <c r="B20" s="21" t="s">
        <v>605</v>
      </c>
      <c r="C20" s="7">
        <v>0.11471151087568894</v>
      </c>
      <c r="D20" s="7">
        <v>9.2427461924650761E-2</v>
      </c>
      <c r="E20" s="7">
        <v>4.5529857045102998E-2</v>
      </c>
      <c r="F20" s="7">
        <v>3.3253185970752454E-3</v>
      </c>
      <c r="G20" s="7">
        <v>3.4153510802075438E-3</v>
      </c>
      <c r="H20" s="7">
        <v>3.4257884324673141E-3</v>
      </c>
      <c r="I20" s="28"/>
      <c r="J20" s="8"/>
      <c r="K20" s="8"/>
      <c r="L20" s="8"/>
      <c r="M20" s="8"/>
      <c r="N20" s="8"/>
      <c r="O20" s="8"/>
      <c r="P20" s="8"/>
    </row>
    <row r="21" spans="1:16" x14ac:dyDescent="0.3">
      <c r="A21" s="21" t="s">
        <v>147</v>
      </c>
      <c r="B21" s="21" t="s">
        <v>606</v>
      </c>
      <c r="C21" s="7">
        <v>4.7066745874567023E-2</v>
      </c>
      <c r="D21" s="7">
        <v>3.7923481514885324E-2</v>
      </c>
      <c r="E21" s="7">
        <v>1.8681143634918213E-2</v>
      </c>
      <c r="F21" s="7">
        <v>1.3643959892579726E-3</v>
      </c>
      <c r="G21" s="7">
        <v>1.4013367981767593E-3</v>
      </c>
      <c r="H21" s="7">
        <v>1.4056192995810543E-3</v>
      </c>
      <c r="I21" s="28"/>
      <c r="J21" s="8"/>
      <c r="K21" s="8"/>
      <c r="L21" s="8"/>
      <c r="M21" s="8"/>
      <c r="N21" s="8"/>
      <c r="O21" s="8"/>
      <c r="P21" s="8"/>
    </row>
    <row r="22" spans="1:16" x14ac:dyDescent="0.3">
      <c r="A22" s="21" t="s">
        <v>147</v>
      </c>
      <c r="B22" s="21" t="s">
        <v>607</v>
      </c>
      <c r="C22" s="7">
        <v>3.524533063165252E-2</v>
      </c>
      <c r="D22" s="7">
        <v>2.8398514064635057E-2</v>
      </c>
      <c r="E22" s="7">
        <v>1.3989135466148057E-2</v>
      </c>
      <c r="F22" s="7">
        <v>1.0217104849792259E-3</v>
      </c>
      <c r="G22" s="7">
        <v>1.0493731372393407E-3</v>
      </c>
      <c r="H22" s="7">
        <v>1.0525800336397663E-3</v>
      </c>
      <c r="I22" s="8"/>
      <c r="J22" s="8"/>
      <c r="K22" s="8"/>
      <c r="L22" s="8"/>
      <c r="M22" s="8"/>
      <c r="N22" s="8"/>
      <c r="O22" s="8"/>
      <c r="P22" s="8"/>
    </row>
    <row r="23" spans="1:16" s="21" customFormat="1" x14ac:dyDescent="0.3">
      <c r="A23" s="21" t="s">
        <v>147</v>
      </c>
      <c r="B23" s="21" t="s">
        <v>608</v>
      </c>
      <c r="C23" s="7">
        <v>2.4956321068375076E-2</v>
      </c>
      <c r="D23" s="7">
        <v>2.0108264617195011E-2</v>
      </c>
      <c r="E23" s="7">
        <v>9.9053505785147728E-3</v>
      </c>
      <c r="F23" s="7">
        <v>7.234471756995762E-4</v>
      </c>
      <c r="G23" s="7">
        <v>7.4303439531232817E-4</v>
      </c>
      <c r="H23" s="7">
        <v>7.453051169871637E-4</v>
      </c>
      <c r="I23" s="32"/>
      <c r="J23" s="33"/>
      <c r="K23" s="8"/>
      <c r="L23" s="8"/>
      <c r="M23" s="8"/>
      <c r="N23" s="8"/>
      <c r="O23" s="8"/>
      <c r="P23" s="8"/>
    </row>
    <row r="24" spans="1:16" s="21" customFormat="1" x14ac:dyDescent="0.3">
      <c r="A24" s="21" t="s">
        <v>147</v>
      </c>
      <c r="B24" s="21" t="s">
        <v>609</v>
      </c>
      <c r="C24" s="7">
        <v>1.6199717184734699E-2</v>
      </c>
      <c r="D24" s="7">
        <v>1.3052733172565183E-2</v>
      </c>
      <c r="E24" s="7">
        <v>6.4297889720183622E-3</v>
      </c>
      <c r="F24" s="7">
        <v>4.696060614190232E-4</v>
      </c>
      <c r="G24" s="7">
        <v>4.8232057239572186E-4</v>
      </c>
      <c r="H24" s="7">
        <v>4.8379454962324666E-4</v>
      </c>
      <c r="I24" s="32"/>
      <c r="J24" s="33"/>
      <c r="K24" s="8"/>
      <c r="L24" s="8"/>
      <c r="M24" s="8"/>
      <c r="N24" s="8"/>
      <c r="O24" s="8"/>
      <c r="P24" s="8"/>
    </row>
    <row r="25" spans="1:16" s="21" customFormat="1" x14ac:dyDescent="0.3">
      <c r="A25" s="21" t="s">
        <v>147</v>
      </c>
      <c r="B25" s="21" t="s">
        <v>610</v>
      </c>
      <c r="C25" s="7">
        <v>0.15980802087643686</v>
      </c>
      <c r="D25" s="7">
        <v>0.12876344886449437</v>
      </c>
      <c r="E25" s="7">
        <v>6.3428999318559512E-2</v>
      </c>
      <c r="F25" s="7">
        <v>4.6326003356200931E-3</v>
      </c>
      <c r="G25" s="7">
        <v>4.7580272682280662E-3</v>
      </c>
      <c r="H25" s="7">
        <v>4.7725678543914865E-3</v>
      </c>
      <c r="I25" s="32"/>
      <c r="J25" s="33"/>
      <c r="K25" s="8"/>
      <c r="L25" s="8"/>
      <c r="M25" s="8"/>
      <c r="N25" s="8"/>
      <c r="O25" s="8"/>
      <c r="P25" s="8"/>
    </row>
    <row r="26" spans="1:16" s="21" customFormat="1" x14ac:dyDescent="0.3">
      <c r="A26" s="21" t="s">
        <v>147</v>
      </c>
      <c r="B26" s="21" t="s">
        <v>611</v>
      </c>
      <c r="C26" s="7">
        <v>8.362556708876559E-2</v>
      </c>
      <c r="D26" s="7">
        <v>6.7380325296214863E-2</v>
      </c>
      <c r="E26" s="7">
        <v>3.3191613342040731E-2</v>
      </c>
      <c r="F26" s="7">
        <v>2.4241826413792817E-3</v>
      </c>
      <c r="G26" s="7">
        <v>2.4898170088535907E-3</v>
      </c>
      <c r="H26" s="7">
        <v>2.4974259183254081E-3</v>
      </c>
      <c r="I26" s="32"/>
      <c r="J26" s="33"/>
      <c r="K26" s="8"/>
      <c r="L26" s="8"/>
      <c r="M26" s="8"/>
      <c r="N26" s="8"/>
      <c r="O26" s="8"/>
      <c r="P26" s="8"/>
    </row>
    <row r="27" spans="1:16" s="21" customFormat="1" x14ac:dyDescent="0.3">
      <c r="A27" s="21" t="s">
        <v>147</v>
      </c>
      <c r="B27" s="21" t="s">
        <v>612</v>
      </c>
      <c r="C27" s="7">
        <v>2.4080660680011038E-3</v>
      </c>
      <c r="D27" s="7">
        <v>1.9402711472732029E-3</v>
      </c>
      <c r="E27" s="7">
        <v>9.5577944178651321E-4</v>
      </c>
      <c r="F27" s="7">
        <v>6.9806306427152101E-5</v>
      </c>
      <c r="G27" s="7">
        <v>7.1696301302066765E-5</v>
      </c>
      <c r="H27" s="7">
        <v>7.1915406025077199E-5</v>
      </c>
      <c r="I27" s="32"/>
      <c r="J27" s="33"/>
      <c r="K27" s="8"/>
      <c r="L27" s="8"/>
      <c r="M27" s="8"/>
      <c r="N27" s="8"/>
      <c r="O27" s="8"/>
      <c r="P27" s="8"/>
    </row>
    <row r="28" spans="1:16" s="21" customFormat="1" x14ac:dyDescent="0.3">
      <c r="A28" s="21" t="s">
        <v>147</v>
      </c>
      <c r="B28" s="21" t="s">
        <v>56</v>
      </c>
      <c r="C28" s="7">
        <v>0.12281136946805628</v>
      </c>
      <c r="D28" s="7">
        <v>9.8953828510933331E-2</v>
      </c>
      <c r="E28" s="7">
        <v>4.8744751531112171E-2</v>
      </c>
      <c r="F28" s="7">
        <v>3.5601216277847563E-3</v>
      </c>
      <c r="G28" s="7">
        <v>3.6565113664054042E-3</v>
      </c>
      <c r="H28" s="7">
        <v>3.6676857072789372E-3</v>
      </c>
      <c r="I28" s="32"/>
      <c r="J28" s="33"/>
      <c r="K28" s="8"/>
      <c r="L28" s="8"/>
      <c r="M28" s="8"/>
      <c r="N28" s="8"/>
      <c r="O28" s="8"/>
      <c r="P28" s="8"/>
    </row>
    <row r="29" spans="1:16" s="21" customFormat="1" x14ac:dyDescent="0.3">
      <c r="A29" s="21" t="s">
        <v>147</v>
      </c>
      <c r="B29" s="21" t="s">
        <v>613</v>
      </c>
      <c r="C29" s="7">
        <v>0.24036877660592834</v>
      </c>
      <c r="D29" s="7">
        <v>0.19367433815508878</v>
      </c>
      <c r="E29" s="7">
        <v>9.5404166098326498E-2</v>
      </c>
      <c r="F29" s="7">
        <v>6.9679385870011811E-3</v>
      </c>
      <c r="G29" s="7">
        <v>7.1565944390608446E-3</v>
      </c>
      <c r="H29" s="7">
        <v>7.1784650741395237E-3</v>
      </c>
      <c r="I29" s="32"/>
      <c r="J29" s="33"/>
      <c r="K29" s="8"/>
      <c r="L29" s="8"/>
      <c r="M29" s="8"/>
      <c r="N29" s="8"/>
      <c r="O29" s="8"/>
      <c r="P29" s="8"/>
    </row>
    <row r="30" spans="1:16" s="21" customFormat="1" x14ac:dyDescent="0.3">
      <c r="A30" s="21" t="s">
        <v>147</v>
      </c>
      <c r="B30" s="21" t="s">
        <v>614</v>
      </c>
      <c r="C30" s="7">
        <v>0.11887089772041812</v>
      </c>
      <c r="D30" s="7">
        <v>9.5778839360849924E-2</v>
      </c>
      <c r="E30" s="7">
        <v>4.7180748808188788E-2</v>
      </c>
      <c r="F30" s="7">
        <v>3.4458931263585076E-3</v>
      </c>
      <c r="G30" s="7">
        <v>3.5391901460929318E-3</v>
      </c>
      <c r="H30" s="7">
        <v>3.5500059519651744E-3</v>
      </c>
      <c r="I30" s="32"/>
      <c r="J30" s="33"/>
      <c r="K30" s="8"/>
      <c r="L30" s="8"/>
      <c r="M30" s="8"/>
      <c r="N30" s="8"/>
      <c r="O30" s="8"/>
      <c r="P30" s="8"/>
    </row>
    <row r="31" spans="1:16" s="21" customFormat="1" x14ac:dyDescent="0.3">
      <c r="A31" s="21" t="s">
        <v>147</v>
      </c>
      <c r="B31" s="21" t="s">
        <v>615</v>
      </c>
      <c r="C31" s="7">
        <v>4.9474811942568128E-2</v>
      </c>
      <c r="D31" s="7">
        <v>3.9863752662158525E-2</v>
      </c>
      <c r="E31" s="7">
        <v>1.9636923076704723E-2</v>
      </c>
      <c r="F31" s="7">
        <v>1.4342022956851247E-3</v>
      </c>
      <c r="G31" s="7">
        <v>1.4730330994788259E-3</v>
      </c>
      <c r="H31" s="7">
        <v>1.4775347056061314E-3</v>
      </c>
      <c r="I31" s="32"/>
      <c r="J31" s="33"/>
      <c r="K31" s="8"/>
      <c r="L31" s="8"/>
      <c r="M31" s="8"/>
      <c r="N31" s="8"/>
      <c r="O31" s="8"/>
      <c r="P31" s="8"/>
    </row>
    <row r="32" spans="1:16" s="21" customFormat="1" x14ac:dyDescent="0.3">
      <c r="A32" s="21" t="s">
        <v>147</v>
      </c>
      <c r="B32" s="21" t="s">
        <v>616</v>
      </c>
      <c r="C32" s="7">
        <v>3.7215566505471608E-2</v>
      </c>
      <c r="D32" s="7">
        <v>2.9986008639676771E-2</v>
      </c>
      <c r="E32" s="7">
        <v>1.4771136827609751E-2</v>
      </c>
      <c r="F32" s="7">
        <v>1.0788247356923505E-3</v>
      </c>
      <c r="G32" s="7">
        <v>1.1080337473955773E-3</v>
      </c>
      <c r="H32" s="7">
        <v>1.1114199112966477E-3</v>
      </c>
      <c r="I32" s="32"/>
      <c r="J32" s="33"/>
      <c r="K32" s="8"/>
      <c r="L32" s="8"/>
      <c r="M32" s="8"/>
      <c r="N32" s="8"/>
      <c r="O32" s="8"/>
      <c r="P32" s="8"/>
    </row>
    <row r="33" spans="1:32" s="21" customFormat="1" x14ac:dyDescent="0.3">
      <c r="A33" s="21" t="s">
        <v>147</v>
      </c>
      <c r="B33" s="21" t="s">
        <v>617</v>
      </c>
      <c r="C33" s="7">
        <v>1.6418632281825708E-2</v>
      </c>
      <c r="D33" s="7">
        <v>1.3229121458680928E-2</v>
      </c>
      <c r="E33" s="7">
        <v>6.5166780121807717E-3</v>
      </c>
      <c r="F33" s="7">
        <v>4.7595208927603695E-4</v>
      </c>
      <c r="G33" s="7">
        <v>4.8883841796863693E-4</v>
      </c>
      <c r="H33" s="7">
        <v>4.9033231380734448E-4</v>
      </c>
      <c r="I33" s="32"/>
      <c r="J33" s="33"/>
      <c r="K33" s="8"/>
      <c r="L33" s="8"/>
      <c r="M33" s="8"/>
      <c r="N33" s="8"/>
      <c r="O33" s="8"/>
      <c r="P33" s="8"/>
    </row>
    <row r="34" spans="1:32" s="21" customFormat="1" x14ac:dyDescent="0.3">
      <c r="A34" s="21" t="s">
        <v>147</v>
      </c>
      <c r="B34" s="21" t="s">
        <v>618</v>
      </c>
      <c r="C34" s="7">
        <v>4.8161321360022076E-3</v>
      </c>
      <c r="D34" s="7">
        <v>3.8805422945464058E-3</v>
      </c>
      <c r="E34" s="7">
        <v>1.9115588835730264E-3</v>
      </c>
      <c r="F34" s="7">
        <v>1.396126128543042E-4</v>
      </c>
      <c r="G34" s="7">
        <v>1.4339260260413353E-4</v>
      </c>
      <c r="H34" s="7">
        <v>1.438308120501544E-4</v>
      </c>
      <c r="I34" s="32"/>
      <c r="J34" s="33"/>
      <c r="K34" s="8"/>
      <c r="L34" s="8"/>
      <c r="M34" s="8"/>
      <c r="N34" s="8"/>
      <c r="O34" s="8"/>
      <c r="P34" s="8"/>
    </row>
    <row r="35" spans="1:32" s="21" customFormat="1" x14ac:dyDescent="0.3">
      <c r="A35" s="21" t="s">
        <v>147</v>
      </c>
      <c r="B35" s="21" t="s">
        <v>619</v>
      </c>
      <c r="C35" s="7">
        <v>1.3353820922551576E-2</v>
      </c>
      <c r="D35" s="7">
        <v>1.0759685453060488E-2</v>
      </c>
      <c r="E35" s="7">
        <v>5.3002314499070282E-3</v>
      </c>
      <c r="F35" s="7">
        <v>3.8710769927784345E-4</v>
      </c>
      <c r="G35" s="7">
        <v>3.9758857994782478E-4</v>
      </c>
      <c r="H35" s="7">
        <v>3.9880361522997361E-4</v>
      </c>
      <c r="I35" s="32"/>
      <c r="J35" s="33"/>
      <c r="K35" s="8"/>
      <c r="L35" s="8"/>
      <c r="M35" s="8"/>
      <c r="N35" s="8"/>
      <c r="O35" s="8"/>
      <c r="P35" s="8"/>
      <c r="AC35"/>
      <c r="AF35"/>
    </row>
    <row r="36" spans="1:32" s="21" customFormat="1" x14ac:dyDescent="0.3">
      <c r="A36" s="21" t="s">
        <v>147</v>
      </c>
      <c r="B36" s="21" t="s">
        <v>622</v>
      </c>
      <c r="C36" s="7">
        <v>1.0945754854550472E-3</v>
      </c>
      <c r="D36" s="7">
        <v>8.8194143057872851E-4</v>
      </c>
      <c r="E36" s="7">
        <v>4.3444520081205144E-4</v>
      </c>
      <c r="F36" s="7">
        <v>3.1730139285069131E-5</v>
      </c>
      <c r="G36" s="7">
        <v>3.2589227864575796E-5</v>
      </c>
      <c r="H36" s="7">
        <v>3.2688820920489636E-5</v>
      </c>
      <c r="I36" s="32"/>
      <c r="J36" s="33"/>
      <c r="K36" s="8"/>
      <c r="L36" s="8"/>
      <c r="M36" s="8"/>
      <c r="N36" s="8"/>
      <c r="O36" s="8"/>
      <c r="P36" s="8"/>
      <c r="AC36"/>
      <c r="AF36"/>
    </row>
    <row r="37" spans="1:32" s="21" customFormat="1" x14ac:dyDescent="0.3">
      <c r="A37" s="21" t="s">
        <v>147</v>
      </c>
      <c r="B37" s="21" t="s">
        <v>620</v>
      </c>
      <c r="C37" s="7">
        <v>4.1593868447291791E-3</v>
      </c>
      <c r="D37" s="7">
        <v>3.3513774361991684E-3</v>
      </c>
      <c r="E37" s="7">
        <v>1.6508917630857955E-3</v>
      </c>
      <c r="F37" s="7">
        <v>1.205745292832627E-4</v>
      </c>
      <c r="G37" s="7">
        <v>1.2383906588538804E-4</v>
      </c>
      <c r="H37" s="7">
        <v>1.2421751949786062E-4</v>
      </c>
      <c r="I37" s="32"/>
      <c r="J37" s="33"/>
      <c r="K37" s="8"/>
      <c r="L37" s="8"/>
      <c r="M37" s="8"/>
      <c r="N37" s="8"/>
      <c r="O37" s="8"/>
      <c r="P37" s="8"/>
      <c r="AC37"/>
      <c r="AF37"/>
    </row>
    <row r="38" spans="1:32" s="21" customFormat="1" x14ac:dyDescent="0.3">
      <c r="A38" s="21" t="s">
        <v>147</v>
      </c>
      <c r="B38" s="21" t="s">
        <v>621</v>
      </c>
      <c r="C38" s="7">
        <v>2.211042480619195E-2</v>
      </c>
      <c r="D38" s="7">
        <v>1.7815216897690316E-2</v>
      </c>
      <c r="E38" s="7">
        <v>8.7757930564034397E-3</v>
      </c>
      <c r="F38" s="7">
        <v>6.4094881355839645E-4</v>
      </c>
      <c r="G38" s="7">
        <v>6.5830240286443109E-4</v>
      </c>
      <c r="H38" s="7">
        <v>6.6031418259389059E-4</v>
      </c>
      <c r="I38" s="32"/>
      <c r="J38" s="33"/>
      <c r="K38" s="8"/>
      <c r="L38" s="8"/>
      <c r="M38" s="8"/>
      <c r="N38" s="8"/>
      <c r="O38" s="8"/>
      <c r="P38" s="8"/>
      <c r="AC38"/>
      <c r="AF38"/>
    </row>
    <row r="39" spans="1:32" s="21" customFormat="1" x14ac:dyDescent="0.3">
      <c r="A39" s="21" t="s">
        <v>147</v>
      </c>
      <c r="B39" s="21" t="s">
        <v>623</v>
      </c>
      <c r="C39" s="27">
        <v>3.4799999999999999E-5</v>
      </c>
      <c r="D39" s="27">
        <v>3.4799999999999999E-5</v>
      </c>
      <c r="E39" s="27">
        <v>3.4799999999999999E-5</v>
      </c>
      <c r="F39" s="27">
        <v>3.4799999999999999E-5</v>
      </c>
      <c r="G39" s="27">
        <v>3.4799999999999999E-5</v>
      </c>
      <c r="H39" s="27">
        <v>3.4799999999999999E-5</v>
      </c>
      <c r="I39" s="32"/>
      <c r="J39" s="33"/>
      <c r="K39" s="8"/>
      <c r="L39" s="8"/>
      <c r="M39" s="8"/>
      <c r="N39" s="8"/>
      <c r="O39" s="8"/>
      <c r="P39" s="8"/>
      <c r="AC39"/>
      <c r="AF39"/>
    </row>
    <row r="40" spans="1:32" s="21" customFormat="1" x14ac:dyDescent="0.3">
      <c r="A40" s="21" t="s">
        <v>147</v>
      </c>
      <c r="B40" s="21" t="s">
        <v>624</v>
      </c>
      <c r="C40" s="27">
        <v>2.9999999999999999E-7</v>
      </c>
      <c r="D40" s="27">
        <v>2.9999999999999999E-7</v>
      </c>
      <c r="E40" s="27">
        <v>2.9999999999999999E-7</v>
      </c>
      <c r="F40" s="27">
        <v>2.9999999999999999E-7</v>
      </c>
      <c r="G40" s="27">
        <v>2.9999999999999999E-7</v>
      </c>
      <c r="H40" s="27">
        <v>2.9999999999999999E-7</v>
      </c>
      <c r="I40" s="32"/>
      <c r="J40" s="33"/>
      <c r="K40" s="8"/>
      <c r="L40" s="8"/>
      <c r="M40" s="8"/>
      <c r="N40" s="8"/>
      <c r="O40" s="8"/>
      <c r="P40" s="8"/>
      <c r="AC40"/>
      <c r="AF40"/>
    </row>
    <row r="41" spans="1:32" s="21" customFormat="1" x14ac:dyDescent="0.3">
      <c r="A41" s="21" t="s">
        <v>147</v>
      </c>
      <c r="B41" s="21" t="s">
        <v>625</v>
      </c>
      <c r="C41" s="27">
        <v>2.0000000000000002E-7</v>
      </c>
      <c r="D41" s="27">
        <v>2.0000000000000002E-7</v>
      </c>
      <c r="E41" s="27">
        <v>2.0000000000000002E-7</v>
      </c>
      <c r="F41" s="27">
        <v>2.0000000000000002E-7</v>
      </c>
      <c r="G41" s="27">
        <v>2.0000000000000002E-7</v>
      </c>
      <c r="H41" s="27">
        <v>2.0000000000000002E-7</v>
      </c>
      <c r="I41" s="32"/>
      <c r="J41" s="33"/>
      <c r="K41" s="8"/>
      <c r="L41" s="8"/>
      <c r="M41" s="8"/>
      <c r="N41" s="8"/>
      <c r="O41" s="8"/>
      <c r="P41" s="8"/>
      <c r="AC41"/>
      <c r="AF41"/>
    </row>
    <row r="42" spans="1:32" s="21" customFormat="1" x14ac:dyDescent="0.3">
      <c r="A42" s="21" t="s">
        <v>147</v>
      </c>
      <c r="B42" s="21" t="s">
        <v>626</v>
      </c>
      <c r="C42" s="27">
        <v>2.16E-3</v>
      </c>
      <c r="D42" s="27">
        <v>2.16E-3</v>
      </c>
      <c r="E42" s="27">
        <v>2.16E-3</v>
      </c>
      <c r="F42" s="27">
        <v>2.16E-3</v>
      </c>
      <c r="G42" s="27">
        <v>2.16E-3</v>
      </c>
      <c r="H42" s="27">
        <v>2.16E-3</v>
      </c>
      <c r="I42" s="32"/>
      <c r="J42" s="33"/>
      <c r="K42" s="8"/>
      <c r="L42" s="8"/>
      <c r="M42" s="8"/>
      <c r="N42" s="8"/>
      <c r="O42" s="8"/>
      <c r="P42" s="8"/>
    </row>
    <row r="43" spans="1:32" s="21" customFormat="1" x14ac:dyDescent="0.3">
      <c r="A43" s="21" t="s">
        <v>147</v>
      </c>
      <c r="B43" s="21" t="s">
        <v>581</v>
      </c>
      <c r="C43" s="27">
        <v>4.1999999999999998E-5</v>
      </c>
      <c r="D43" s="27">
        <v>4.1999999999999998E-5</v>
      </c>
      <c r="E43" s="27">
        <v>4.1999999999999998E-5</v>
      </c>
      <c r="F43" s="27">
        <v>4.1999999999999998E-5</v>
      </c>
      <c r="G43" s="27">
        <v>4.1999999999999998E-5</v>
      </c>
      <c r="H43" s="27">
        <v>4.1999999999999998E-5</v>
      </c>
      <c r="I43" s="32"/>
      <c r="J43" s="33"/>
      <c r="K43" s="8"/>
      <c r="L43" s="8"/>
      <c r="M43" s="8"/>
      <c r="N43" s="8"/>
      <c r="O43" s="8"/>
      <c r="P43" s="8"/>
    </row>
    <row r="44" spans="1:32" s="21" customFormat="1" x14ac:dyDescent="0.3">
      <c r="A44" s="21" t="s">
        <v>147</v>
      </c>
      <c r="B44" s="21" t="s">
        <v>583</v>
      </c>
      <c r="C44" s="27">
        <v>1.3000000000000001E-5</v>
      </c>
      <c r="D44" s="27">
        <v>1.3000000000000001E-5</v>
      </c>
      <c r="E44" s="27">
        <v>1.3000000000000001E-5</v>
      </c>
      <c r="F44" s="27">
        <v>1.3000000000000001E-5</v>
      </c>
      <c r="G44" s="27">
        <v>1.3000000000000001E-5</v>
      </c>
      <c r="H44" s="27">
        <v>1.3000000000000001E-5</v>
      </c>
      <c r="I44" s="32"/>
      <c r="J44" s="8"/>
      <c r="K44" s="8"/>
      <c r="L44" s="8"/>
      <c r="M44" s="8"/>
      <c r="N44" s="8"/>
      <c r="O44" s="8"/>
      <c r="P44" s="8"/>
    </row>
    <row r="45" spans="1:32" s="21" customFormat="1" x14ac:dyDescent="0.3">
      <c r="A45" s="21" t="s">
        <v>147</v>
      </c>
      <c r="B45" s="21" t="s">
        <v>582</v>
      </c>
      <c r="C45" s="27">
        <v>1.6000000000000003E-5</v>
      </c>
      <c r="D45" s="27">
        <v>1.6000000000000003E-5</v>
      </c>
      <c r="E45" s="27">
        <v>1.6000000000000003E-5</v>
      </c>
      <c r="F45" s="27">
        <v>1.6000000000000003E-5</v>
      </c>
      <c r="G45" s="27">
        <v>1.6000000000000003E-5</v>
      </c>
      <c r="H45" s="27">
        <v>1.6000000000000003E-5</v>
      </c>
      <c r="I45" s="8"/>
      <c r="J45" s="8"/>
      <c r="K45" s="8"/>
      <c r="L45" s="8"/>
      <c r="M45" s="8"/>
      <c r="N45" s="8"/>
      <c r="O45" s="8"/>
      <c r="P45" s="8"/>
    </row>
    <row r="46" spans="1:32" s="21" customFormat="1" x14ac:dyDescent="0.3">
      <c r="A46" s="21" t="s">
        <v>147</v>
      </c>
      <c r="B46" s="21" t="s">
        <v>629</v>
      </c>
      <c r="C46" s="27">
        <v>3.2000000000000002E-8</v>
      </c>
      <c r="D46" s="27">
        <v>3.2000000000000002E-8</v>
      </c>
      <c r="E46" s="27">
        <v>3.2000000000000002E-8</v>
      </c>
      <c r="F46" s="27">
        <v>3.2000000000000002E-8</v>
      </c>
      <c r="G46" s="27">
        <v>3.2000000000000002E-8</v>
      </c>
      <c r="H46" s="27">
        <v>3.2000000000000002E-8</v>
      </c>
      <c r="I46" s="31"/>
      <c r="J46" s="8"/>
      <c r="K46" s="8"/>
      <c r="L46" s="8"/>
      <c r="M46" s="8"/>
      <c r="N46" s="8"/>
      <c r="O46" s="8"/>
      <c r="P46" s="8"/>
    </row>
    <row r="47" spans="1:32" s="21" customFormat="1" x14ac:dyDescent="0.3">
      <c r="A47" s="21" t="s">
        <v>147</v>
      </c>
      <c r="B47" s="21" t="s">
        <v>627</v>
      </c>
      <c r="C47" s="27">
        <v>8.6999999999999997E-6</v>
      </c>
      <c r="D47" s="27">
        <v>8.6999999999999997E-6</v>
      </c>
      <c r="E47" s="27">
        <v>8.6999999999999997E-6</v>
      </c>
      <c r="F47" s="27">
        <v>8.6999999999999997E-6</v>
      </c>
      <c r="G47" s="27">
        <v>8.6999999999999997E-6</v>
      </c>
      <c r="H47" s="27">
        <v>8.6999999999999997E-6</v>
      </c>
      <c r="I47" s="31"/>
      <c r="J47" s="8"/>
      <c r="K47" s="8"/>
      <c r="L47" s="8"/>
      <c r="M47" s="8"/>
      <c r="N47" s="8"/>
      <c r="O47" s="8"/>
      <c r="P47" s="8"/>
    </row>
    <row r="48" spans="1:32" s="21" customFormat="1" x14ac:dyDescent="0.3">
      <c r="A48" s="21" t="s">
        <v>147</v>
      </c>
      <c r="B48" s="21" t="s">
        <v>628</v>
      </c>
      <c r="C48" s="27">
        <v>1.08E-5</v>
      </c>
      <c r="D48" s="27">
        <v>1.08E-5</v>
      </c>
      <c r="E48" s="27">
        <v>1.08E-5</v>
      </c>
      <c r="F48" s="27">
        <v>1.08E-5</v>
      </c>
      <c r="G48" s="27">
        <v>1.08E-5</v>
      </c>
      <c r="H48" s="27">
        <v>1.08E-5</v>
      </c>
      <c r="I48" s="31"/>
      <c r="J48" s="8"/>
      <c r="K48" s="8"/>
      <c r="L48" s="8"/>
      <c r="M48" s="8"/>
      <c r="N48" s="8"/>
      <c r="O48" s="8"/>
      <c r="P48" s="8"/>
    </row>
    <row r="49" spans="1:35" s="21" customFormat="1" x14ac:dyDescent="0.3">
      <c r="A49" t="s">
        <v>148</v>
      </c>
      <c r="B49" t="s">
        <v>58</v>
      </c>
      <c r="C49" s="7">
        <v>2.915195448533793</v>
      </c>
      <c r="D49" s="7">
        <v>3.2299158780310151</v>
      </c>
      <c r="E49" s="7">
        <v>3.5224878702476778</v>
      </c>
      <c r="F49" s="7">
        <v>0.80889745917939671</v>
      </c>
      <c r="G49" s="7">
        <v>9.5150832475643779E-2</v>
      </c>
      <c r="H49" s="7">
        <v>9.5149632903978362E-2</v>
      </c>
      <c r="I49" s="31"/>
      <c r="J49" s="8"/>
      <c r="K49" s="8"/>
      <c r="L49" s="8"/>
      <c r="M49" s="8"/>
      <c r="N49" s="8"/>
      <c r="O49" s="8"/>
      <c r="P49" s="8"/>
    </row>
    <row r="50" spans="1:35" s="21" customFormat="1" x14ac:dyDescent="0.3">
      <c r="A50" s="21" t="s">
        <v>148</v>
      </c>
      <c r="B50" t="s">
        <v>61</v>
      </c>
      <c r="C50" s="7">
        <v>0.10489381378097931</v>
      </c>
      <c r="D50" s="7">
        <v>0.10489381378097931</v>
      </c>
      <c r="E50" s="7">
        <v>3.8860210090666626E-2</v>
      </c>
      <c r="F50" s="7">
        <v>2.686988232543534E-2</v>
      </c>
      <c r="G50" s="7">
        <v>9.2318827679158492E-3</v>
      </c>
      <c r="H50" s="7">
        <v>7.0497830742104438E-3</v>
      </c>
      <c r="I50" s="31"/>
      <c r="J50" s="8"/>
      <c r="K50" s="8"/>
      <c r="L50" s="8"/>
      <c r="M50" s="8"/>
      <c r="N50" s="8"/>
      <c r="O50" s="8"/>
      <c r="P50" s="8"/>
    </row>
    <row r="51" spans="1:35" s="21" customFormat="1" x14ac:dyDescent="0.3">
      <c r="A51" s="21" t="s">
        <v>148</v>
      </c>
      <c r="B51" s="21" t="s">
        <v>667</v>
      </c>
      <c r="C51" s="7">
        <v>1.0838177419178909</v>
      </c>
      <c r="D51" s="7">
        <v>0.64320914062177992</v>
      </c>
      <c r="E51" s="7">
        <v>0.82099046851904756</v>
      </c>
      <c r="F51" s="7">
        <v>9.0637972192836605E-2</v>
      </c>
      <c r="G51" s="7">
        <v>2.307364639176256E-2</v>
      </c>
      <c r="H51" s="7">
        <v>2.3066881837462593E-2</v>
      </c>
      <c r="I51" s="31"/>
      <c r="J51" s="8"/>
      <c r="K51" s="8"/>
      <c r="L51" s="8"/>
      <c r="M51" s="8"/>
      <c r="N51" s="8"/>
      <c r="O51" s="8"/>
      <c r="P51" s="8"/>
    </row>
    <row r="52" spans="1:35" s="21" customFormat="1" x14ac:dyDescent="0.3">
      <c r="A52" s="21" t="s">
        <v>148</v>
      </c>
      <c r="B52" s="21" t="s">
        <v>63</v>
      </c>
      <c r="C52" s="7">
        <v>8.0330641182335405E-3</v>
      </c>
      <c r="D52" s="7">
        <v>3.1374129927211969E-3</v>
      </c>
      <c r="E52" s="7">
        <v>1.0638578146824082E-2</v>
      </c>
      <c r="F52" s="7">
        <v>4.9486252530670048E-3</v>
      </c>
      <c r="G52" s="7">
        <v>1.4133139635978708E-3</v>
      </c>
      <c r="H52" s="7">
        <v>1.4132961458726764E-3</v>
      </c>
      <c r="I52" s="31"/>
      <c r="J52" s="8"/>
      <c r="K52" s="8"/>
      <c r="L52" s="8"/>
      <c r="M52" s="8"/>
      <c r="N52" s="8"/>
      <c r="O52" s="8"/>
      <c r="P52" s="8"/>
      <c r="AG52" s="26"/>
      <c r="AH52" s="26"/>
      <c r="AI52" s="26"/>
    </row>
    <row r="53" spans="1:35" s="21" customFormat="1" x14ac:dyDescent="0.3">
      <c r="A53" s="21" t="s">
        <v>148</v>
      </c>
      <c r="B53" s="21" t="s">
        <v>57</v>
      </c>
      <c r="C53" s="7">
        <v>2.7569509623956653E-2</v>
      </c>
      <c r="D53" s="7">
        <v>2.7569509623956653E-2</v>
      </c>
      <c r="E53" s="7">
        <v>1.0971033713912328E-2</v>
      </c>
      <c r="F53" s="7">
        <v>5.542460283435046E-2</v>
      </c>
      <c r="G53" s="7">
        <v>1.8797075715851683E-2</v>
      </c>
      <c r="H53" s="7">
        <v>1.0741050708632342E-2</v>
      </c>
      <c r="I53" s="31"/>
      <c r="J53" s="8"/>
      <c r="K53" s="8"/>
      <c r="L53" s="8"/>
      <c r="M53" s="8"/>
      <c r="N53" s="8"/>
      <c r="O53" s="8"/>
      <c r="P53" s="8"/>
      <c r="AG53" s="26"/>
      <c r="AH53" s="26"/>
      <c r="AI53" s="26"/>
    </row>
    <row r="54" spans="1:35" s="21" customFormat="1" x14ac:dyDescent="0.3">
      <c r="A54" s="21" t="s">
        <v>148</v>
      </c>
      <c r="B54" s="21" t="s">
        <v>60</v>
      </c>
      <c r="C54" s="7">
        <v>1.3987574644320985E-3</v>
      </c>
      <c r="D54" s="7">
        <v>1.3987574644320985E-3</v>
      </c>
      <c r="E54" s="7">
        <v>1.7730963578040135E-3</v>
      </c>
      <c r="F54" s="7">
        <v>1.9794501012268019E-3</v>
      </c>
      <c r="G54" s="7">
        <v>5.6532558543914832E-4</v>
      </c>
      <c r="H54" s="7">
        <v>5.653184583490706E-4</v>
      </c>
      <c r="I54" s="31"/>
      <c r="J54" s="8"/>
      <c r="K54" s="8"/>
      <c r="L54" s="8"/>
      <c r="M54" s="8"/>
      <c r="N54" s="8"/>
      <c r="O54" s="8"/>
      <c r="P54" s="8"/>
      <c r="AG54" s="26"/>
      <c r="AH54" s="26"/>
      <c r="AI54" s="26"/>
    </row>
    <row r="55" spans="1:35" s="21" customFormat="1" x14ac:dyDescent="0.3">
      <c r="A55" s="21" t="s">
        <v>148</v>
      </c>
      <c r="B55" s="21" t="s">
        <v>59</v>
      </c>
      <c r="C55" s="7">
        <v>1.3987574644320985E-3</v>
      </c>
      <c r="D55" s="7">
        <v>1.3987574644320985E-3</v>
      </c>
      <c r="E55" s="7">
        <v>1.7730963578040135E-3</v>
      </c>
      <c r="F55" s="7">
        <v>1.9794501012268019E-3</v>
      </c>
      <c r="G55" s="7">
        <v>5.6532558543914832E-4</v>
      </c>
      <c r="H55" s="7">
        <v>5.653184583490706E-4</v>
      </c>
      <c r="I55" s="31"/>
      <c r="J55" s="8"/>
      <c r="K55" s="8"/>
      <c r="L55" s="8"/>
      <c r="M55" s="8"/>
      <c r="N55" s="8"/>
      <c r="O55" s="8"/>
      <c r="P55" s="8"/>
      <c r="AG55" s="26"/>
      <c r="AH55" s="26"/>
      <c r="AI55" s="26"/>
    </row>
    <row r="56" spans="1:35" s="21" customFormat="1" x14ac:dyDescent="0.3">
      <c r="A56" s="21" t="s">
        <v>148</v>
      </c>
      <c r="B56" s="21" t="s">
        <v>659</v>
      </c>
      <c r="C56" s="7">
        <v>0.49031914644365387</v>
      </c>
      <c r="D56" s="7">
        <v>0.29098781521729328</v>
      </c>
      <c r="E56" s="7">
        <v>0.37141608795801712</v>
      </c>
      <c r="F56" s="7">
        <v>4.1004618620039283E-2</v>
      </c>
      <c r="G56" s="7">
        <v>1.0438517627633382E-2</v>
      </c>
      <c r="H56" s="7">
        <v>1.0435457343268078E-2</v>
      </c>
      <c r="I56" s="32"/>
      <c r="J56" s="8"/>
      <c r="K56" s="8"/>
      <c r="L56" s="8"/>
      <c r="M56" s="8"/>
      <c r="N56" s="8"/>
      <c r="O56" s="8"/>
      <c r="P56" s="8"/>
      <c r="AG56" s="26"/>
      <c r="AH56" s="26"/>
      <c r="AI56" s="26"/>
    </row>
    <row r="57" spans="1:35" x14ac:dyDescent="0.3">
      <c r="A57" s="21" t="s">
        <v>148</v>
      </c>
      <c r="B57" s="21" t="s">
        <v>603</v>
      </c>
      <c r="C57" s="7">
        <v>3.457378596718072E-2</v>
      </c>
      <c r="D57" s="7">
        <v>2.0518371585834777E-2</v>
      </c>
      <c r="E57" s="7">
        <v>2.6189595945757614E-2</v>
      </c>
      <c r="F57" s="7">
        <v>2.8913513129514875E-3</v>
      </c>
      <c r="G57" s="7">
        <v>7.3604931989722558E-4</v>
      </c>
      <c r="H57" s="7">
        <v>7.3583353061505664E-4</v>
      </c>
      <c r="I57" s="8"/>
      <c r="J57" s="8"/>
      <c r="K57" s="8"/>
      <c r="L57" s="8"/>
      <c r="M57" s="8"/>
      <c r="N57" s="8"/>
      <c r="O57" s="8"/>
      <c r="P57" s="8"/>
      <c r="AG57" s="26"/>
      <c r="AH57" s="26"/>
      <c r="AI57" s="26"/>
    </row>
    <row r="58" spans="1:35" x14ac:dyDescent="0.3">
      <c r="A58" s="21" t="s">
        <v>148</v>
      </c>
      <c r="B58" s="21" t="s">
        <v>604</v>
      </c>
      <c r="C58" s="7">
        <v>7.0448153224662909E-3</v>
      </c>
      <c r="D58" s="7">
        <v>4.1808594140415696E-3</v>
      </c>
      <c r="E58" s="7">
        <v>5.3364380453738086E-3</v>
      </c>
      <c r="F58" s="7">
        <v>5.891468192534379E-4</v>
      </c>
      <c r="G58" s="7">
        <v>1.4997870154645664E-4</v>
      </c>
      <c r="H58" s="7">
        <v>1.4993473194350684E-4</v>
      </c>
      <c r="I58" s="8"/>
      <c r="J58" s="8"/>
      <c r="K58" s="8"/>
      <c r="L58" s="8"/>
      <c r="M58" s="8"/>
      <c r="N58" s="8"/>
      <c r="O58" s="8"/>
      <c r="P58" s="8"/>
      <c r="AG58" s="26"/>
      <c r="AH58" s="26"/>
      <c r="AI58" s="26"/>
    </row>
    <row r="59" spans="1:35" x14ac:dyDescent="0.3">
      <c r="A59" s="21" t="s">
        <v>148</v>
      </c>
      <c r="B59" s="21" t="s">
        <v>605</v>
      </c>
      <c r="C59" s="7">
        <v>5.6792049676497487E-2</v>
      </c>
      <c r="D59" s="7">
        <v>3.3704158968581269E-2</v>
      </c>
      <c r="E59" s="7">
        <v>4.3019900550398095E-2</v>
      </c>
      <c r="F59" s="7">
        <v>4.7494297429046383E-3</v>
      </c>
      <c r="G59" s="7">
        <v>1.2090590709283582E-3</v>
      </c>
      <c r="H59" s="7">
        <v>1.2087046082830399E-3</v>
      </c>
      <c r="I59" s="28"/>
      <c r="J59" s="8"/>
      <c r="K59" s="8"/>
      <c r="L59" s="8"/>
      <c r="M59" s="8"/>
      <c r="N59" s="8"/>
      <c r="O59" s="8"/>
      <c r="P59" s="8"/>
      <c r="AG59" s="26"/>
      <c r="AH59" s="26"/>
      <c r="AI59" s="26"/>
    </row>
    <row r="60" spans="1:35" x14ac:dyDescent="0.3">
      <c r="A60" s="21" t="s">
        <v>148</v>
      </c>
      <c r="B60" s="21" t="s">
        <v>606</v>
      </c>
      <c r="C60" s="7">
        <v>2.3302081451234653E-2</v>
      </c>
      <c r="D60" s="7">
        <v>1.3828996523368267E-2</v>
      </c>
      <c r="E60" s="7">
        <v>1.7651295073159521E-2</v>
      </c>
      <c r="F60" s="7">
        <v>1.9487164021459869E-3</v>
      </c>
      <c r="G60" s="7">
        <v>4.9608339742289497E-4</v>
      </c>
      <c r="H60" s="7">
        <v>4.959379595054457E-4</v>
      </c>
      <c r="I60" s="28"/>
      <c r="J60" s="8"/>
      <c r="K60" s="8"/>
      <c r="L60" s="8"/>
      <c r="M60" s="8"/>
      <c r="N60" s="8"/>
      <c r="O60" s="8"/>
      <c r="P60" s="8"/>
      <c r="AG60" s="26"/>
      <c r="AH60" s="26"/>
      <c r="AI60" s="26"/>
    </row>
    <row r="61" spans="1:35" x14ac:dyDescent="0.3">
      <c r="A61" s="21" t="s">
        <v>148</v>
      </c>
      <c r="B61" s="21" t="s">
        <v>607</v>
      </c>
      <c r="C61" s="7">
        <v>1.7449465644878044E-2</v>
      </c>
      <c r="D61" s="7">
        <v>1.0355667164010656E-2</v>
      </c>
      <c r="E61" s="7">
        <v>1.3217946543156665E-2</v>
      </c>
      <c r="F61" s="7">
        <v>1.4592713523046692E-3</v>
      </c>
      <c r="G61" s="7">
        <v>3.7148570690737721E-4</v>
      </c>
      <c r="H61" s="7">
        <v>3.7137679758314772E-4</v>
      </c>
      <c r="I61" s="28"/>
      <c r="J61" s="8"/>
      <c r="K61" s="8"/>
      <c r="L61" s="8"/>
      <c r="M61" s="8"/>
      <c r="N61" s="8"/>
      <c r="O61" s="8"/>
      <c r="P61" s="8"/>
      <c r="AG61" s="26"/>
      <c r="AH61" s="26"/>
      <c r="AI61" s="26"/>
    </row>
    <row r="62" spans="1:35" x14ac:dyDescent="0.3">
      <c r="A62" s="21" t="s">
        <v>148</v>
      </c>
      <c r="B62" s="21" t="s">
        <v>608</v>
      </c>
      <c r="C62" s="7">
        <v>1.2355522257863957E-2</v>
      </c>
      <c r="D62" s="7">
        <v>7.3325842030882915E-3</v>
      </c>
      <c r="E62" s="7">
        <v>9.359291341117142E-3</v>
      </c>
      <c r="F62" s="7">
        <v>1.0332728829983374E-3</v>
      </c>
      <c r="G62" s="7">
        <v>2.6303956886609319E-4</v>
      </c>
      <c r="H62" s="7">
        <v>2.6296245294707356E-4</v>
      </c>
      <c r="I62" s="28"/>
      <c r="J62" s="8"/>
      <c r="K62" s="8"/>
      <c r="L62" s="8"/>
      <c r="M62" s="8"/>
      <c r="N62" s="8"/>
      <c r="O62" s="8"/>
      <c r="P62" s="8"/>
      <c r="AG62" s="26"/>
      <c r="AH62" s="26"/>
      <c r="AI62" s="26"/>
    </row>
    <row r="63" spans="1:35" x14ac:dyDescent="0.3">
      <c r="A63" s="21" t="s">
        <v>148</v>
      </c>
      <c r="B63" s="21" t="s">
        <v>609</v>
      </c>
      <c r="C63" s="7">
        <v>8.0202512901923935E-3</v>
      </c>
      <c r="D63" s="7">
        <v>4.7597476406011719E-3</v>
      </c>
      <c r="E63" s="7">
        <v>6.0753294670409519E-3</v>
      </c>
      <c r="F63" s="7">
        <v>6.7072099422699086E-4</v>
      </c>
      <c r="G63" s="7">
        <v>1.7074498329904296E-4</v>
      </c>
      <c r="H63" s="7">
        <v>1.706949255972232E-4</v>
      </c>
      <c r="I63" s="28"/>
      <c r="J63" s="8"/>
      <c r="K63" s="8"/>
      <c r="L63" s="8"/>
      <c r="M63" s="8"/>
      <c r="N63" s="8"/>
      <c r="O63" s="8"/>
      <c r="P63" s="8"/>
      <c r="AG63" s="26"/>
      <c r="AH63" s="26"/>
      <c r="AI63" s="26"/>
    </row>
    <row r="64" spans="1:35" x14ac:dyDescent="0.3">
      <c r="A64" s="21" t="s">
        <v>148</v>
      </c>
      <c r="B64" s="21" t="s">
        <v>610</v>
      </c>
      <c r="C64" s="7">
        <v>7.9118695160006039E-2</v>
      </c>
      <c r="D64" s="7">
        <v>4.6954267265389933E-2</v>
      </c>
      <c r="E64" s="7">
        <v>5.9932304201890468E-2</v>
      </c>
      <c r="F64" s="7">
        <v>6.6165719700770715E-3</v>
      </c>
      <c r="G64" s="7">
        <v>1.6843761865986667E-3</v>
      </c>
      <c r="H64" s="7">
        <v>1.6838823741347692E-3</v>
      </c>
      <c r="I64" s="28"/>
      <c r="J64" s="8"/>
      <c r="K64" s="8"/>
      <c r="L64" s="8"/>
      <c r="M64" s="8"/>
      <c r="N64" s="8"/>
      <c r="O64" s="8"/>
      <c r="P64" s="8"/>
      <c r="AG64" s="26"/>
      <c r="AH64" s="26"/>
      <c r="AI64" s="26"/>
    </row>
    <row r="65" spans="1:35" x14ac:dyDescent="0.3">
      <c r="A65" s="21" t="s">
        <v>148</v>
      </c>
      <c r="B65" s="21" t="s">
        <v>611</v>
      </c>
      <c r="C65" s="7">
        <v>4.1401837741263429E-2</v>
      </c>
      <c r="D65" s="7">
        <v>2.4570589171751991E-2</v>
      </c>
      <c r="E65" s="7">
        <v>3.1361835897427616E-2</v>
      </c>
      <c r="F65" s="7">
        <v>3.4623705377663581E-3</v>
      </c>
      <c r="G65" s="7">
        <v>8.8141329216532974E-4</v>
      </c>
      <c r="H65" s="7">
        <v>8.8115488619107103E-4</v>
      </c>
      <c r="I65" s="28"/>
      <c r="J65" s="8"/>
      <c r="K65" s="8"/>
      <c r="L65" s="8"/>
      <c r="M65" s="8"/>
      <c r="N65" s="8"/>
      <c r="O65" s="8"/>
      <c r="P65" s="8"/>
      <c r="AG65" s="26"/>
      <c r="AH65" s="26"/>
      <c r="AI65" s="26"/>
    </row>
    <row r="66" spans="1:35" x14ac:dyDescent="0.3">
      <c r="A66" s="21" t="s">
        <v>148</v>
      </c>
      <c r="B66" s="21" t="s">
        <v>612</v>
      </c>
      <c r="C66" s="7">
        <v>1.1921995161096801E-3</v>
      </c>
      <c r="D66" s="7">
        <v>7.0753005468395793E-4</v>
      </c>
      <c r="E66" s="7">
        <v>9.0308951537095233E-4</v>
      </c>
      <c r="F66" s="7">
        <v>9.9701769412120265E-5</v>
      </c>
      <c r="G66" s="7">
        <v>2.5381011030938817E-5</v>
      </c>
      <c r="H66" s="7">
        <v>2.5373570021208853E-5</v>
      </c>
      <c r="I66" s="28"/>
      <c r="J66" s="8"/>
      <c r="K66" s="8"/>
      <c r="L66" s="8"/>
      <c r="M66" s="8"/>
      <c r="N66" s="8"/>
      <c r="O66" s="8"/>
      <c r="P66" s="8"/>
      <c r="AG66" s="26"/>
      <c r="AH66" s="26"/>
      <c r="AI66" s="26"/>
    </row>
    <row r="67" spans="1:35" x14ac:dyDescent="0.3">
      <c r="A67" s="21" t="s">
        <v>148</v>
      </c>
      <c r="B67" s="21" t="s">
        <v>56</v>
      </c>
      <c r="C67" s="7">
        <v>6.0802175321593675E-2</v>
      </c>
      <c r="D67" s="7">
        <v>3.6084032788881851E-2</v>
      </c>
      <c r="E67" s="7">
        <v>4.6057565283918564E-2</v>
      </c>
      <c r="F67" s="7">
        <v>5.0847902400181335E-3</v>
      </c>
      <c r="G67" s="7">
        <v>1.2944315625778794E-3</v>
      </c>
      <c r="H67" s="7">
        <v>1.2940520710816514E-3</v>
      </c>
      <c r="I67" s="28"/>
      <c r="J67" s="8"/>
      <c r="K67" s="8"/>
      <c r="L67" s="8"/>
      <c r="M67" s="8"/>
      <c r="N67" s="8"/>
      <c r="O67" s="8"/>
      <c r="P67" s="8"/>
      <c r="AG67" s="26"/>
      <c r="AH67" s="26"/>
      <c r="AI67" s="26"/>
    </row>
    <row r="68" spans="1:35" x14ac:dyDescent="0.3">
      <c r="A68" s="21" t="s">
        <v>148</v>
      </c>
      <c r="B68" s="21" t="s">
        <v>613</v>
      </c>
      <c r="C68" s="7">
        <v>0.11900318806258442</v>
      </c>
      <c r="D68" s="7">
        <v>7.0624363640271429E-2</v>
      </c>
      <c r="E68" s="7">
        <v>9.0144753443391415E-2</v>
      </c>
      <c r="F68" s="7">
        <v>9.9520493467734582E-3</v>
      </c>
      <c r="G68" s="7">
        <v>2.533486373815529E-3</v>
      </c>
      <c r="H68" s="7">
        <v>2.5327436257533927E-3</v>
      </c>
      <c r="I68" s="28"/>
      <c r="J68" s="8"/>
      <c r="K68" s="8"/>
      <c r="L68" s="8"/>
      <c r="M68" s="8"/>
      <c r="N68" s="8"/>
      <c r="O68" s="8"/>
      <c r="P68" s="8"/>
      <c r="AG68" s="26"/>
      <c r="AH68" s="26"/>
      <c r="AI68" s="26"/>
    </row>
    <row r="69" spans="1:35" x14ac:dyDescent="0.3">
      <c r="A69" s="21" t="s">
        <v>148</v>
      </c>
      <c r="B69" s="21" t="s">
        <v>614</v>
      </c>
      <c r="C69" s="7">
        <v>5.8851303386141481E-2</v>
      </c>
      <c r="D69" s="7">
        <v>3.492625633576265E-2</v>
      </c>
      <c r="E69" s="7">
        <v>4.4579782440584283E-2</v>
      </c>
      <c r="F69" s="7">
        <v>4.9216418900710273E-3</v>
      </c>
      <c r="G69" s="7">
        <v>1.2528989990727071E-3</v>
      </c>
      <c r="H69" s="7">
        <v>1.2525316837742188E-3</v>
      </c>
      <c r="I69" s="28"/>
      <c r="J69" s="8"/>
      <c r="K69" s="8"/>
      <c r="L69" s="8"/>
      <c r="M69" s="8"/>
      <c r="N69" s="8"/>
      <c r="O69" s="8"/>
      <c r="P69" s="8"/>
      <c r="AG69" s="26"/>
      <c r="AH69" s="26"/>
      <c r="AI69" s="26"/>
    </row>
    <row r="70" spans="1:35" x14ac:dyDescent="0.3">
      <c r="A70" s="21" t="s">
        <v>148</v>
      </c>
      <c r="B70" s="21" t="s">
        <v>615</v>
      </c>
      <c r="C70" s="7">
        <v>2.4494280967344333E-2</v>
      </c>
      <c r="D70" s="7">
        <v>1.4536526578052225E-2</v>
      </c>
      <c r="E70" s="7">
        <v>1.8554384588530475E-2</v>
      </c>
      <c r="F70" s="7">
        <v>2.0484181715581073E-3</v>
      </c>
      <c r="G70" s="7">
        <v>5.2146440845383382E-4</v>
      </c>
      <c r="H70" s="7">
        <v>5.2131152952665462E-4</v>
      </c>
      <c r="I70" s="28"/>
      <c r="J70" s="8"/>
      <c r="K70" s="8"/>
      <c r="L70" s="8"/>
      <c r="M70" s="8"/>
      <c r="N70" s="8"/>
      <c r="O70" s="8"/>
      <c r="P70" s="8"/>
      <c r="AG70" s="26"/>
      <c r="AH70" s="26"/>
      <c r="AI70" s="26"/>
    </row>
    <row r="71" spans="1:35" s="21" customFormat="1" x14ac:dyDescent="0.3">
      <c r="A71" s="21" t="s">
        <v>148</v>
      </c>
      <c r="B71" s="21" t="s">
        <v>616</v>
      </c>
      <c r="C71" s="7">
        <v>1.8424901612604148E-2</v>
      </c>
      <c r="D71" s="7">
        <v>1.0934555390570259E-2</v>
      </c>
      <c r="E71" s="7">
        <v>1.3956837964823809E-2</v>
      </c>
      <c r="F71" s="7">
        <v>1.5408455272782225E-3</v>
      </c>
      <c r="G71" s="7">
        <v>3.9225198865996356E-4</v>
      </c>
      <c r="H71" s="7">
        <v>3.9213699123686409E-4</v>
      </c>
      <c r="I71" s="8"/>
      <c r="J71" s="8"/>
      <c r="K71" s="8"/>
      <c r="L71" s="8"/>
      <c r="M71" s="8"/>
      <c r="N71" s="8"/>
      <c r="O71" s="8"/>
      <c r="P71" s="8"/>
      <c r="AG71" s="26"/>
      <c r="AH71" s="26"/>
      <c r="AI71" s="26"/>
    </row>
    <row r="72" spans="1:35" s="21" customFormat="1" x14ac:dyDescent="0.3">
      <c r="A72" s="21" t="s">
        <v>148</v>
      </c>
      <c r="B72" s="21" t="s">
        <v>617</v>
      </c>
      <c r="C72" s="7">
        <v>8.1286330643841817E-3</v>
      </c>
      <c r="D72" s="7">
        <v>4.824068554663349E-3</v>
      </c>
      <c r="E72" s="7">
        <v>6.1574285138928566E-3</v>
      </c>
      <c r="F72" s="7">
        <v>6.7978479144627452E-4</v>
      </c>
      <c r="G72" s="7">
        <v>1.7305234793821918E-4</v>
      </c>
      <c r="H72" s="7">
        <v>1.7300161378096946E-4</v>
      </c>
      <c r="I72" s="30"/>
      <c r="J72" s="8"/>
      <c r="K72" s="8"/>
      <c r="L72" s="33"/>
      <c r="M72" s="33"/>
      <c r="N72" s="33"/>
      <c r="O72" s="8"/>
      <c r="P72" s="8"/>
      <c r="AG72" s="26"/>
      <c r="AH72" s="26"/>
      <c r="AI72" s="26"/>
    </row>
    <row r="73" spans="1:35" s="21" customFormat="1" x14ac:dyDescent="0.3">
      <c r="A73" s="21" t="s">
        <v>148</v>
      </c>
      <c r="B73" s="21" t="s">
        <v>618</v>
      </c>
      <c r="C73" s="7">
        <v>2.3843990322193601E-3</v>
      </c>
      <c r="D73" s="7">
        <v>1.4150601093679159E-3</v>
      </c>
      <c r="E73" s="7">
        <v>1.8061790307419047E-3</v>
      </c>
      <c r="F73" s="7">
        <v>1.9940353882424053E-4</v>
      </c>
      <c r="G73" s="7">
        <v>5.0762022061877634E-5</v>
      </c>
      <c r="H73" s="7">
        <v>5.0747140042417706E-5</v>
      </c>
      <c r="I73" s="30"/>
      <c r="J73" s="8"/>
      <c r="K73" s="8"/>
      <c r="L73" s="33"/>
      <c r="M73" s="33"/>
      <c r="N73" s="33"/>
      <c r="O73" s="8"/>
      <c r="P73" s="8"/>
      <c r="AG73" s="26"/>
      <c r="AH73" s="26"/>
      <c r="AI73" s="26"/>
    </row>
    <row r="74" spans="1:35" s="21" customFormat="1" x14ac:dyDescent="0.3">
      <c r="A74" s="21" t="s">
        <v>148</v>
      </c>
      <c r="B74" s="21" t="s">
        <v>619</v>
      </c>
      <c r="C74" s="7">
        <v>6.6112882256991355E-3</v>
      </c>
      <c r="D74" s="7">
        <v>3.9235757577928574E-3</v>
      </c>
      <c r="E74" s="7">
        <v>5.0080418579661907E-3</v>
      </c>
      <c r="F74" s="7">
        <v>5.5289163037630336E-4</v>
      </c>
      <c r="G74" s="7">
        <v>1.4074924298975163E-4</v>
      </c>
      <c r="H74" s="7">
        <v>1.4070797920852184E-4</v>
      </c>
      <c r="I74" s="30"/>
      <c r="J74" s="8"/>
      <c r="K74" s="8"/>
      <c r="L74" s="33"/>
      <c r="M74" s="33"/>
      <c r="N74" s="33"/>
      <c r="O74" s="8"/>
      <c r="P74" s="8"/>
    </row>
    <row r="75" spans="1:35" s="21" customFormat="1" x14ac:dyDescent="0.3">
      <c r="A75" s="21" t="s">
        <v>148</v>
      </c>
      <c r="B75" s="21" t="s">
        <v>660</v>
      </c>
      <c r="C75" s="7">
        <v>5.419088709589455E-4</v>
      </c>
      <c r="D75" s="7">
        <v>3.2160457031088995E-4</v>
      </c>
      <c r="E75" s="7">
        <v>4.1049523425952381E-4</v>
      </c>
      <c r="F75" s="7">
        <v>4.5318986096418302E-5</v>
      </c>
      <c r="G75" s="7">
        <v>1.1536823195881281E-5</v>
      </c>
      <c r="H75" s="7">
        <v>1.1533440918731296E-5</v>
      </c>
      <c r="I75" s="30"/>
      <c r="J75" s="8"/>
      <c r="K75" s="8"/>
      <c r="L75" s="33"/>
      <c r="M75" s="33"/>
      <c r="N75" s="33"/>
      <c r="O75" s="8"/>
      <c r="P75" s="8"/>
    </row>
    <row r="76" spans="1:35" s="21" customFormat="1" x14ac:dyDescent="0.3">
      <c r="A76" s="21" t="s">
        <v>148</v>
      </c>
      <c r="B76" s="21" t="s">
        <v>620</v>
      </c>
      <c r="C76" s="7">
        <v>2.0592537096439929E-3</v>
      </c>
      <c r="D76" s="7">
        <v>1.2220973671813818E-3</v>
      </c>
      <c r="E76" s="7">
        <v>1.5598818901861903E-3</v>
      </c>
      <c r="F76" s="7">
        <v>1.7221214716638955E-4</v>
      </c>
      <c r="G76" s="7">
        <v>4.3839928144348865E-5</v>
      </c>
      <c r="H76" s="7">
        <v>4.3827075491178927E-5</v>
      </c>
      <c r="I76" s="30"/>
      <c r="J76" s="8"/>
      <c r="K76" s="8"/>
      <c r="L76" s="33"/>
      <c r="M76" s="33"/>
      <c r="N76" s="33"/>
      <c r="O76" s="8"/>
      <c r="P76" s="8"/>
    </row>
    <row r="77" spans="1:35" s="21" customFormat="1" x14ac:dyDescent="0.3">
      <c r="A77" s="21" t="s">
        <v>148</v>
      </c>
      <c r="B77" s="21" t="s">
        <v>621</v>
      </c>
      <c r="C77" s="7">
        <v>1.0946559193370698E-2</v>
      </c>
      <c r="D77" s="7">
        <v>6.496412320279977E-3</v>
      </c>
      <c r="E77" s="7">
        <v>8.2920037320423808E-3</v>
      </c>
      <c r="F77" s="7">
        <v>9.1544351914764972E-4</v>
      </c>
      <c r="G77" s="7">
        <v>2.3304382855680183E-4</v>
      </c>
      <c r="H77" s="7">
        <v>2.3297550655837219E-4</v>
      </c>
      <c r="I77" s="30"/>
      <c r="J77" s="8"/>
      <c r="K77" s="8"/>
      <c r="L77" s="33"/>
      <c r="M77" s="33"/>
      <c r="N77" s="33"/>
      <c r="O77" s="8"/>
      <c r="P77" s="8"/>
    </row>
    <row r="78" spans="1:35" s="21" customFormat="1" x14ac:dyDescent="0.3">
      <c r="A78" s="21" t="s">
        <v>148</v>
      </c>
      <c r="B78" s="21" t="s">
        <v>623</v>
      </c>
      <c r="C78" s="27">
        <v>3.4799999999999999E-5</v>
      </c>
      <c r="D78" s="27">
        <v>3.4799999999999999E-5</v>
      </c>
      <c r="E78" s="27">
        <v>3.4799999999999999E-5</v>
      </c>
      <c r="F78" s="27">
        <v>3.4799999999999999E-5</v>
      </c>
      <c r="G78" s="27">
        <v>3.4799999999999999E-5</v>
      </c>
      <c r="H78" s="27">
        <v>3.4799999999999999E-5</v>
      </c>
      <c r="I78" s="30"/>
      <c r="J78" s="8"/>
      <c r="K78" s="8"/>
      <c r="L78" s="33"/>
      <c r="M78" s="33"/>
      <c r="N78" s="33"/>
      <c r="O78" s="8"/>
      <c r="P78" s="8"/>
    </row>
    <row r="79" spans="1:35" s="21" customFormat="1" x14ac:dyDescent="0.3">
      <c r="A79" s="21" t="s">
        <v>148</v>
      </c>
      <c r="B79" s="21" t="s">
        <v>624</v>
      </c>
      <c r="C79" s="27">
        <v>2.9999999999999999E-7</v>
      </c>
      <c r="D79" s="27">
        <v>2.9999999999999999E-7</v>
      </c>
      <c r="E79" s="27">
        <v>2.9999999999999999E-7</v>
      </c>
      <c r="F79" s="27">
        <v>2.9999999999999999E-7</v>
      </c>
      <c r="G79" s="27">
        <v>2.9999999999999999E-7</v>
      </c>
      <c r="H79" s="27">
        <v>2.9999999999999999E-7</v>
      </c>
      <c r="I79" s="30"/>
      <c r="J79" s="8"/>
      <c r="K79" s="8"/>
      <c r="L79" s="33"/>
      <c r="M79" s="33"/>
      <c r="N79" s="33"/>
      <c r="O79" s="8"/>
      <c r="P79" s="8"/>
    </row>
    <row r="80" spans="1:35" s="21" customFormat="1" x14ac:dyDescent="0.3">
      <c r="A80" s="21" t="s">
        <v>148</v>
      </c>
      <c r="B80" s="21" t="s">
        <v>625</v>
      </c>
      <c r="C80" s="27">
        <v>2.0000000000000002E-7</v>
      </c>
      <c r="D80" s="27">
        <v>2.0000000000000002E-7</v>
      </c>
      <c r="E80" s="27">
        <v>2.0000000000000002E-7</v>
      </c>
      <c r="F80" s="27">
        <v>2.0000000000000002E-7</v>
      </c>
      <c r="G80" s="27">
        <v>2.0000000000000002E-7</v>
      </c>
      <c r="H80" s="27">
        <v>2.0000000000000002E-7</v>
      </c>
      <c r="I80" s="30"/>
      <c r="J80" s="8"/>
      <c r="K80" s="8"/>
      <c r="L80" s="33"/>
      <c r="M80" s="33"/>
      <c r="N80" s="33"/>
      <c r="O80" s="8"/>
      <c r="P80" s="8"/>
    </row>
    <row r="81" spans="1:16" s="21" customFormat="1" x14ac:dyDescent="0.3">
      <c r="A81" s="21" t="s">
        <v>148</v>
      </c>
      <c r="B81" s="21" t="s">
        <v>626</v>
      </c>
      <c r="C81" s="27">
        <v>2.16E-3</v>
      </c>
      <c r="D81" s="27">
        <v>2.16E-3</v>
      </c>
      <c r="E81" s="27">
        <v>2.16E-3</v>
      </c>
      <c r="F81" s="27">
        <v>2.16E-3</v>
      </c>
      <c r="G81" s="27">
        <v>2.16E-3</v>
      </c>
      <c r="H81" s="27">
        <v>2.16E-3</v>
      </c>
      <c r="I81" s="30"/>
      <c r="J81" s="8"/>
      <c r="K81" s="8"/>
      <c r="L81" s="33"/>
      <c r="M81" s="33"/>
      <c r="N81" s="33"/>
      <c r="O81" s="8"/>
      <c r="P81" s="8"/>
    </row>
    <row r="82" spans="1:16" s="21" customFormat="1" x14ac:dyDescent="0.3">
      <c r="A82" s="21" t="s">
        <v>148</v>
      </c>
      <c r="B82" s="21" t="s">
        <v>581</v>
      </c>
      <c r="C82" s="27">
        <v>4.1999999999999998E-5</v>
      </c>
      <c r="D82" s="27">
        <v>4.1999999999999998E-5</v>
      </c>
      <c r="E82" s="27">
        <v>4.1999999999999998E-5</v>
      </c>
      <c r="F82" s="27">
        <v>4.1999999999999998E-5</v>
      </c>
      <c r="G82" s="27">
        <v>4.1999999999999998E-5</v>
      </c>
      <c r="H82" s="27">
        <v>4.1999999999999998E-5</v>
      </c>
      <c r="I82" s="30"/>
      <c r="J82" s="8"/>
      <c r="K82" s="8"/>
      <c r="L82" s="33"/>
      <c r="M82" s="33"/>
      <c r="N82" s="33"/>
      <c r="O82" s="8"/>
      <c r="P82" s="8"/>
    </row>
    <row r="83" spans="1:16" s="21" customFormat="1" x14ac:dyDescent="0.3">
      <c r="A83" s="21" t="s">
        <v>148</v>
      </c>
      <c r="B83" s="21" t="s">
        <v>583</v>
      </c>
      <c r="C83" s="27">
        <v>1.3000000000000001E-5</v>
      </c>
      <c r="D83" s="27">
        <v>1.3000000000000001E-5</v>
      </c>
      <c r="E83" s="27">
        <v>1.3000000000000001E-5</v>
      </c>
      <c r="F83" s="27">
        <v>1.3000000000000001E-5</v>
      </c>
      <c r="G83" s="27">
        <v>1.3000000000000001E-5</v>
      </c>
      <c r="H83" s="27">
        <v>1.3000000000000001E-5</v>
      </c>
      <c r="I83" s="30"/>
      <c r="J83" s="8"/>
      <c r="K83" s="8"/>
      <c r="L83" s="33"/>
      <c r="M83" s="33"/>
      <c r="N83" s="33"/>
      <c r="O83" s="8"/>
      <c r="P83" s="8"/>
    </row>
    <row r="84" spans="1:16" s="21" customFormat="1" x14ac:dyDescent="0.3">
      <c r="A84" s="21" t="s">
        <v>148</v>
      </c>
      <c r="B84" s="21" t="s">
        <v>582</v>
      </c>
      <c r="C84" s="27">
        <v>1.6000000000000003E-5</v>
      </c>
      <c r="D84" s="27">
        <v>1.6000000000000003E-5</v>
      </c>
      <c r="E84" s="27">
        <v>1.6000000000000003E-5</v>
      </c>
      <c r="F84" s="27">
        <v>1.6000000000000003E-5</v>
      </c>
      <c r="G84" s="27">
        <v>1.6000000000000003E-5</v>
      </c>
      <c r="H84" s="27">
        <v>1.6000000000000003E-5</v>
      </c>
      <c r="I84" s="30"/>
      <c r="J84" s="8"/>
      <c r="K84" s="8"/>
      <c r="L84" s="33"/>
      <c r="M84" s="33"/>
      <c r="N84" s="33"/>
      <c r="O84" s="8"/>
      <c r="P84" s="8"/>
    </row>
    <row r="85" spans="1:16" s="21" customFormat="1" x14ac:dyDescent="0.3">
      <c r="A85" s="21" t="s">
        <v>148</v>
      </c>
      <c r="B85" s="21" t="s">
        <v>629</v>
      </c>
      <c r="C85" s="27">
        <v>3.2000000000000002E-8</v>
      </c>
      <c r="D85" s="27">
        <v>3.2000000000000002E-8</v>
      </c>
      <c r="E85" s="27">
        <v>3.2000000000000002E-8</v>
      </c>
      <c r="F85" s="27">
        <v>3.2000000000000002E-8</v>
      </c>
      <c r="G85" s="27">
        <v>3.2000000000000002E-8</v>
      </c>
      <c r="H85" s="27">
        <v>3.2000000000000002E-8</v>
      </c>
      <c r="I85" s="30"/>
      <c r="J85" s="8"/>
      <c r="K85" s="8"/>
      <c r="L85" s="33"/>
      <c r="M85" s="33"/>
      <c r="N85" s="33"/>
      <c r="O85" s="8"/>
      <c r="P85" s="8"/>
    </row>
    <row r="86" spans="1:16" s="21" customFormat="1" x14ac:dyDescent="0.3">
      <c r="A86" s="21" t="s">
        <v>148</v>
      </c>
      <c r="B86" s="21" t="s">
        <v>627</v>
      </c>
      <c r="C86" s="27">
        <v>8.6999999999999997E-6</v>
      </c>
      <c r="D86" s="27">
        <v>8.6999999999999997E-6</v>
      </c>
      <c r="E86" s="27">
        <v>8.6999999999999997E-6</v>
      </c>
      <c r="F86" s="27">
        <v>8.6999999999999997E-6</v>
      </c>
      <c r="G86" s="27">
        <v>8.6999999999999997E-6</v>
      </c>
      <c r="H86" s="27">
        <v>8.6999999999999997E-6</v>
      </c>
      <c r="I86" s="30"/>
      <c r="J86" s="8"/>
      <c r="K86" s="8"/>
      <c r="L86" s="33"/>
      <c r="M86" s="33"/>
      <c r="N86" s="33"/>
      <c r="O86" s="8"/>
      <c r="P86" s="8"/>
    </row>
    <row r="87" spans="1:16" s="21" customFormat="1" x14ac:dyDescent="0.3">
      <c r="A87" s="21" t="s">
        <v>148</v>
      </c>
      <c r="B87" s="21" t="s">
        <v>628</v>
      </c>
      <c r="C87" s="27">
        <v>1.08E-5</v>
      </c>
      <c r="D87" s="27">
        <v>1.08E-5</v>
      </c>
      <c r="E87" s="27">
        <v>1.08E-5</v>
      </c>
      <c r="F87" s="27">
        <v>1.08E-5</v>
      </c>
      <c r="G87" s="27">
        <v>1.08E-5</v>
      </c>
      <c r="H87" s="27">
        <v>1.08E-5</v>
      </c>
      <c r="I87" s="30"/>
      <c r="J87" s="8"/>
      <c r="K87" s="8"/>
      <c r="L87" s="33"/>
      <c r="M87" s="33"/>
      <c r="N87" s="33"/>
      <c r="O87" s="8"/>
      <c r="P87" s="8"/>
    </row>
    <row r="88" spans="1:16" s="21" customFormat="1" x14ac:dyDescent="0.3">
      <c r="A88" s="21" t="s">
        <v>149</v>
      </c>
      <c r="B88" s="21" t="s">
        <v>58</v>
      </c>
      <c r="C88" s="7">
        <v>2.915195448533793</v>
      </c>
      <c r="D88" s="7">
        <v>3.2299158780310151</v>
      </c>
      <c r="E88" s="7">
        <v>1.4585926343621791</v>
      </c>
      <c r="F88" s="7">
        <v>0.708341892150957</v>
      </c>
      <c r="G88" s="7">
        <v>8.3455151885463486E-2</v>
      </c>
      <c r="H88" s="7">
        <v>8.3454099761872666E-2</v>
      </c>
      <c r="I88" s="30"/>
      <c r="J88" s="8"/>
      <c r="K88" s="8"/>
      <c r="L88" s="33"/>
      <c r="M88" s="33"/>
      <c r="N88" s="33"/>
      <c r="O88" s="8"/>
      <c r="P88" s="8"/>
    </row>
    <row r="89" spans="1:16" s="21" customFormat="1" x14ac:dyDescent="0.3">
      <c r="A89" s="21" t="s">
        <v>149</v>
      </c>
      <c r="B89" s="21" t="s">
        <v>61</v>
      </c>
      <c r="C89" s="7">
        <v>0.10489381378097931</v>
      </c>
      <c r="D89" s="7">
        <v>0.10489381378097931</v>
      </c>
      <c r="E89" s="7">
        <v>2.6143425239245593E-2</v>
      </c>
      <c r="F89" s="7">
        <v>1.821059018432937E-2</v>
      </c>
      <c r="G89" s="7">
        <v>6.1620141012972453E-3</v>
      </c>
      <c r="H89" s="7">
        <v>4.7581662322556638E-3</v>
      </c>
      <c r="I89" s="30"/>
      <c r="J89" s="8"/>
      <c r="K89" s="8"/>
      <c r="L89" s="33"/>
      <c r="M89" s="33"/>
      <c r="N89" s="33"/>
      <c r="O89" s="8"/>
      <c r="P89" s="8"/>
    </row>
    <row r="90" spans="1:16" s="21" customFormat="1" x14ac:dyDescent="0.3">
      <c r="A90" s="21" t="s">
        <v>149</v>
      </c>
      <c r="B90" s="21" t="s">
        <v>667</v>
      </c>
      <c r="C90" s="7">
        <v>1.0838177419178909</v>
      </c>
      <c r="D90" s="7">
        <v>0.64320914062177992</v>
      </c>
      <c r="E90" s="7">
        <v>0.48292296293835996</v>
      </c>
      <c r="F90" s="7">
        <v>5.3220185225018736E-2</v>
      </c>
      <c r="G90" s="7">
        <v>1.3588965977336222E-2</v>
      </c>
      <c r="H90" s="7">
        <v>1.3583175766044535E-2</v>
      </c>
      <c r="I90" s="30"/>
      <c r="J90" s="8"/>
      <c r="K90" s="8"/>
      <c r="L90" s="33"/>
      <c r="M90" s="33"/>
      <c r="N90" s="33"/>
      <c r="O90" s="8"/>
      <c r="P90" s="8"/>
    </row>
    <row r="91" spans="1:16" s="21" customFormat="1" x14ac:dyDescent="0.3">
      <c r="A91" s="21" t="s">
        <v>149</v>
      </c>
      <c r="B91" s="21" t="s">
        <v>63</v>
      </c>
      <c r="C91" s="7">
        <v>8.0330641182335405E-3</v>
      </c>
      <c r="D91" s="7">
        <v>3.1374129927211969E-3</v>
      </c>
      <c r="E91" s="7">
        <v>1.0638578146824082E-2</v>
      </c>
      <c r="F91" s="7">
        <v>4.9486252530670048E-3</v>
      </c>
      <c r="G91" s="7">
        <v>1.4133139635978708E-3</v>
      </c>
      <c r="H91" s="7">
        <v>1.4132961458726764E-3</v>
      </c>
      <c r="I91" s="30"/>
      <c r="J91" s="8"/>
      <c r="K91" s="8"/>
      <c r="L91" s="33"/>
      <c r="M91" s="33"/>
      <c r="N91" s="33"/>
      <c r="O91" s="8"/>
      <c r="P91" s="8"/>
    </row>
    <row r="92" spans="1:16" s="21" customFormat="1" x14ac:dyDescent="0.3">
      <c r="A92" s="21" t="s">
        <v>149</v>
      </c>
      <c r="B92" s="21" t="s">
        <v>57</v>
      </c>
      <c r="C92" s="7">
        <v>2.7569509623956653E-2</v>
      </c>
      <c r="D92" s="7">
        <v>2.7569509623956653E-2</v>
      </c>
      <c r="E92" s="7">
        <v>1.0971033713912328E-2</v>
      </c>
      <c r="F92" s="7">
        <v>5.542460283435046E-2</v>
      </c>
      <c r="G92" s="7">
        <v>1.8797075715851683E-2</v>
      </c>
      <c r="H92" s="7">
        <v>1.0741050708632342E-2</v>
      </c>
      <c r="I92" s="30"/>
      <c r="J92" s="8"/>
      <c r="K92" s="8"/>
      <c r="L92" s="33"/>
      <c r="M92" s="33"/>
      <c r="N92" s="33"/>
      <c r="O92" s="8"/>
      <c r="P92" s="8"/>
    </row>
    <row r="93" spans="1:16" s="21" customFormat="1" x14ac:dyDescent="0.3">
      <c r="A93" s="21" t="s">
        <v>149</v>
      </c>
      <c r="B93" s="21" t="s">
        <v>60</v>
      </c>
      <c r="C93" s="7">
        <v>1.3987574644320985E-3</v>
      </c>
      <c r="D93" s="7">
        <v>1.3987574644320985E-3</v>
      </c>
      <c r="E93" s="7">
        <v>1.7730963578040135E-3</v>
      </c>
      <c r="F93" s="7">
        <v>1.9794501012268019E-3</v>
      </c>
      <c r="G93" s="7">
        <v>5.6532558543914832E-4</v>
      </c>
      <c r="H93" s="7">
        <v>5.653184583490706E-4</v>
      </c>
      <c r="I93" s="30"/>
      <c r="J93" s="8"/>
      <c r="K93" s="8"/>
      <c r="L93" s="33"/>
      <c r="M93" s="33"/>
      <c r="N93" s="33"/>
      <c r="O93" s="8"/>
      <c r="P93" s="8"/>
    </row>
    <row r="94" spans="1:16" x14ac:dyDescent="0.3">
      <c r="A94" s="21" t="s">
        <v>149</v>
      </c>
      <c r="B94" s="21" t="s">
        <v>59</v>
      </c>
      <c r="C94" s="7">
        <v>1.3987574644320985E-3</v>
      </c>
      <c r="D94" s="7">
        <v>1.3987574644320985E-3</v>
      </c>
      <c r="E94" s="7">
        <v>1.7730963578040135E-3</v>
      </c>
      <c r="F94" s="7">
        <v>1.9794501012268019E-3</v>
      </c>
      <c r="G94" s="7">
        <v>5.6532558543914832E-4</v>
      </c>
      <c r="H94" s="7">
        <v>5.653184583490706E-4</v>
      </c>
      <c r="I94" s="8"/>
      <c r="J94" s="8"/>
      <c r="K94" s="8"/>
      <c r="L94" s="8"/>
      <c r="M94" s="8"/>
      <c r="N94" s="8"/>
      <c r="O94" s="8"/>
      <c r="P94" s="8"/>
    </row>
    <row r="95" spans="1:16" s="21" customFormat="1" x14ac:dyDescent="0.3">
      <c r="A95" s="21" t="s">
        <v>149</v>
      </c>
      <c r="B95" s="21" t="s">
        <v>659</v>
      </c>
      <c r="C95" s="7">
        <v>0.49031914644365387</v>
      </c>
      <c r="D95" s="7">
        <v>0.29098781521729328</v>
      </c>
      <c r="E95" s="7">
        <v>0.21847434843331406</v>
      </c>
      <c r="F95" s="7">
        <v>2.4076811795798476E-2</v>
      </c>
      <c r="G95" s="7">
        <v>6.1476482081469072E-3</v>
      </c>
      <c r="H95" s="7">
        <v>6.145028716558548E-3</v>
      </c>
      <c r="I95" s="8"/>
      <c r="J95" s="8"/>
      <c r="K95" s="8"/>
      <c r="L95" s="8"/>
      <c r="M95" s="8"/>
      <c r="N95" s="8"/>
      <c r="O95" s="8"/>
      <c r="P95" s="8"/>
    </row>
    <row r="96" spans="1:16" s="21" customFormat="1" x14ac:dyDescent="0.3">
      <c r="A96" s="21" t="s">
        <v>149</v>
      </c>
      <c r="B96" s="21" t="s">
        <v>603</v>
      </c>
      <c r="C96" s="7">
        <v>3.457378596718072E-2</v>
      </c>
      <c r="D96" s="7">
        <v>2.0518371585834777E-2</v>
      </c>
      <c r="E96" s="7">
        <v>1.5405242517733682E-2</v>
      </c>
      <c r="F96" s="7">
        <v>1.6977239086780976E-3</v>
      </c>
      <c r="G96" s="7">
        <v>4.3348801467702543E-4</v>
      </c>
      <c r="H96" s="7">
        <v>4.3330330693682064E-4</v>
      </c>
      <c r="I96" s="8"/>
      <c r="J96" s="8"/>
      <c r="K96" s="8"/>
      <c r="L96" s="8"/>
      <c r="M96" s="8"/>
      <c r="N96" s="8"/>
      <c r="O96" s="8"/>
      <c r="P96" s="8"/>
    </row>
    <row r="97" spans="1:16" s="21" customFormat="1" x14ac:dyDescent="0.3">
      <c r="A97" s="21" t="s">
        <v>149</v>
      </c>
      <c r="B97" s="21" t="s">
        <v>604</v>
      </c>
      <c r="C97" s="7">
        <v>7.0448153224662909E-3</v>
      </c>
      <c r="D97" s="7">
        <v>4.1808594140415696E-3</v>
      </c>
      <c r="E97" s="7">
        <v>3.1389992590993396E-3</v>
      </c>
      <c r="F97" s="7">
        <v>3.4593120396262175E-4</v>
      </c>
      <c r="G97" s="7">
        <v>8.8328278852685434E-5</v>
      </c>
      <c r="H97" s="7">
        <v>8.8290642479289466E-5</v>
      </c>
      <c r="I97" s="8"/>
      <c r="J97" s="8"/>
      <c r="K97" s="8"/>
      <c r="L97" s="8"/>
      <c r="M97" s="8"/>
      <c r="N97" s="8"/>
      <c r="O97" s="8"/>
      <c r="P97" s="8"/>
    </row>
    <row r="98" spans="1:16" s="21" customFormat="1" x14ac:dyDescent="0.3">
      <c r="A98" s="21" t="s">
        <v>149</v>
      </c>
      <c r="B98" s="21" t="s">
        <v>605</v>
      </c>
      <c r="C98" s="7">
        <v>5.6792049676497487E-2</v>
      </c>
      <c r="D98" s="7">
        <v>3.3704158968581269E-2</v>
      </c>
      <c r="E98" s="7">
        <v>2.5305163257970064E-2</v>
      </c>
      <c r="F98" s="7">
        <v>2.788737705790982E-3</v>
      </c>
      <c r="G98" s="7">
        <v>7.1206181721241801E-4</v>
      </c>
      <c r="H98" s="7">
        <v>7.117584101407336E-4</v>
      </c>
      <c r="I98" s="8"/>
      <c r="J98" s="8"/>
      <c r="K98" s="8"/>
      <c r="L98" s="8"/>
      <c r="M98" s="8"/>
      <c r="N98" s="8"/>
      <c r="O98" s="8"/>
      <c r="P98" s="8"/>
    </row>
    <row r="99" spans="1:16" s="21" customFormat="1" x14ac:dyDescent="0.3">
      <c r="A99" s="21" t="s">
        <v>149</v>
      </c>
      <c r="B99" s="21" t="s">
        <v>606</v>
      </c>
      <c r="C99" s="7">
        <v>2.3302081451234653E-2</v>
      </c>
      <c r="D99" s="7">
        <v>1.3828996523368267E-2</v>
      </c>
      <c r="E99" s="7">
        <v>1.0382843703174738E-2</v>
      </c>
      <c r="F99" s="7">
        <v>1.1442339823379028E-3</v>
      </c>
      <c r="G99" s="7">
        <v>2.9216276851272877E-4</v>
      </c>
      <c r="H99" s="7">
        <v>2.9203827896995748E-4</v>
      </c>
      <c r="I99" s="8"/>
      <c r="J99" s="8"/>
      <c r="K99" s="8"/>
      <c r="L99" s="8"/>
      <c r="M99" s="8"/>
      <c r="N99" s="8"/>
      <c r="O99" s="8"/>
      <c r="P99" s="8"/>
    </row>
    <row r="100" spans="1:16" s="21" customFormat="1" x14ac:dyDescent="0.3">
      <c r="A100" s="21" t="s">
        <v>149</v>
      </c>
      <c r="B100" s="21" t="s">
        <v>607</v>
      </c>
      <c r="C100" s="7">
        <v>1.7449465644878044E-2</v>
      </c>
      <c r="D100" s="7">
        <v>1.0355667164010656E-2</v>
      </c>
      <c r="E100" s="7">
        <v>7.7750597033075953E-3</v>
      </c>
      <c r="F100" s="7">
        <v>8.5684498212280165E-4</v>
      </c>
      <c r="G100" s="7">
        <v>2.1878235223511317E-4</v>
      </c>
      <c r="H100" s="7">
        <v>2.18689129833317E-4</v>
      </c>
      <c r="I100" s="8"/>
      <c r="J100" s="8"/>
      <c r="K100" s="8"/>
      <c r="L100" s="8"/>
      <c r="M100" s="8"/>
      <c r="N100" s="8"/>
      <c r="O100" s="8"/>
      <c r="P100" s="8"/>
    </row>
    <row r="101" spans="1:16" s="21" customFormat="1" x14ac:dyDescent="0.3">
      <c r="A101" s="21" t="s">
        <v>149</v>
      </c>
      <c r="B101" s="21" t="s">
        <v>608</v>
      </c>
      <c r="C101" s="7">
        <v>1.2355522257863957E-2</v>
      </c>
      <c r="D101" s="7">
        <v>7.3325842030882915E-3</v>
      </c>
      <c r="E101" s="7">
        <v>5.505321777497304E-3</v>
      </c>
      <c r="F101" s="7">
        <v>6.0671011156521366E-4</v>
      </c>
      <c r="G101" s="7">
        <v>1.5491421214163293E-4</v>
      </c>
      <c r="H101" s="7">
        <v>1.5484820373290771E-4</v>
      </c>
      <c r="I101" s="8"/>
      <c r="J101" s="8"/>
      <c r="K101" s="8"/>
      <c r="L101" s="8"/>
      <c r="M101" s="8"/>
      <c r="N101" s="8"/>
      <c r="O101" s="8"/>
      <c r="P101" s="8"/>
    </row>
    <row r="102" spans="1:16" s="21" customFormat="1" x14ac:dyDescent="0.3">
      <c r="A102" s="21" t="s">
        <v>149</v>
      </c>
      <c r="B102" s="21" t="s">
        <v>609</v>
      </c>
      <c r="C102" s="7">
        <v>8.0202512901923935E-3</v>
      </c>
      <c r="D102" s="7">
        <v>4.7597476406011719E-3</v>
      </c>
      <c r="E102" s="7">
        <v>3.573629925743864E-3</v>
      </c>
      <c r="F102" s="7">
        <v>3.9382937066513866E-4</v>
      </c>
      <c r="G102" s="7">
        <v>1.0055834823228805E-4</v>
      </c>
      <c r="H102" s="7">
        <v>1.0051550066872956E-4</v>
      </c>
      <c r="I102" s="8"/>
      <c r="J102" s="8"/>
      <c r="K102" s="8"/>
      <c r="L102" s="8"/>
      <c r="M102" s="8"/>
      <c r="N102" s="8"/>
      <c r="O102" s="8"/>
      <c r="P102" s="8"/>
    </row>
    <row r="103" spans="1:16" s="21" customFormat="1" x14ac:dyDescent="0.3">
      <c r="A103" s="21" t="s">
        <v>149</v>
      </c>
      <c r="B103" s="21" t="s">
        <v>610</v>
      </c>
      <c r="C103" s="7">
        <v>7.9118695160006039E-2</v>
      </c>
      <c r="D103" s="7">
        <v>4.6954267265389933E-2</v>
      </c>
      <c r="E103" s="7">
        <v>3.5253376294500274E-2</v>
      </c>
      <c r="F103" s="7">
        <v>3.8850735214263675E-3</v>
      </c>
      <c r="G103" s="7">
        <v>9.9199451634554418E-4</v>
      </c>
      <c r="H103" s="7">
        <v>9.9157183092125098E-4</v>
      </c>
      <c r="I103" s="8"/>
      <c r="J103" s="8"/>
      <c r="K103" s="8"/>
      <c r="L103" s="8"/>
      <c r="M103" s="8"/>
      <c r="N103" s="8"/>
      <c r="O103" s="8"/>
      <c r="P103" s="8"/>
    </row>
    <row r="104" spans="1:16" s="21" customFormat="1" x14ac:dyDescent="0.3">
      <c r="A104" s="21" t="s">
        <v>149</v>
      </c>
      <c r="B104" s="21" t="s">
        <v>611</v>
      </c>
      <c r="C104" s="7">
        <v>4.1401837741263429E-2</v>
      </c>
      <c r="D104" s="7">
        <v>2.4570589171751991E-2</v>
      </c>
      <c r="E104" s="7">
        <v>1.8447657184245351E-2</v>
      </c>
      <c r="F104" s="7">
        <v>2.0330110755957154E-3</v>
      </c>
      <c r="G104" s="7">
        <v>5.1909850033424361E-4</v>
      </c>
      <c r="H104" s="7">
        <v>5.1887731426290124E-4</v>
      </c>
      <c r="I104" s="8"/>
      <c r="J104" s="8"/>
      <c r="K104" s="8"/>
      <c r="L104" s="8"/>
      <c r="M104" s="8"/>
      <c r="N104" s="8"/>
      <c r="O104" s="8"/>
      <c r="P104" s="8"/>
    </row>
    <row r="105" spans="1:16" x14ac:dyDescent="0.3">
      <c r="A105" s="21" t="s">
        <v>149</v>
      </c>
      <c r="B105" s="21" t="s">
        <v>612</v>
      </c>
      <c r="C105" s="7">
        <v>1.1921995161096801E-3</v>
      </c>
      <c r="D105" s="7">
        <v>7.0753005468395793E-4</v>
      </c>
      <c r="E105" s="7">
        <v>5.3121525923219596E-4</v>
      </c>
      <c r="F105" s="7">
        <v>5.8542203747520615E-5</v>
      </c>
      <c r="G105" s="7">
        <v>1.4947862575069845E-5</v>
      </c>
      <c r="H105" s="7">
        <v>1.494149334264899E-5</v>
      </c>
      <c r="I105" s="8"/>
      <c r="J105" s="8"/>
      <c r="K105" s="8"/>
      <c r="L105" s="8"/>
      <c r="M105" s="8"/>
      <c r="N105" s="8"/>
      <c r="O105" s="8"/>
      <c r="P105" s="8"/>
    </row>
    <row r="106" spans="1:16" x14ac:dyDescent="0.3">
      <c r="A106" s="21" t="s">
        <v>149</v>
      </c>
      <c r="B106" s="21" t="s">
        <v>56</v>
      </c>
      <c r="C106" s="7">
        <v>6.0802175321593675E-2</v>
      </c>
      <c r="D106" s="7">
        <v>3.6084032788881851E-2</v>
      </c>
      <c r="E106" s="7">
        <v>2.7091978220841993E-2</v>
      </c>
      <c r="F106" s="7">
        <v>2.9856523911235507E-3</v>
      </c>
      <c r="G106" s="7">
        <v>7.6234099132856201E-4</v>
      </c>
      <c r="H106" s="7">
        <v>7.620161604750984E-4</v>
      </c>
      <c r="I106" s="8"/>
      <c r="J106" s="8"/>
      <c r="K106" s="8"/>
      <c r="L106" s="8"/>
      <c r="M106" s="8"/>
      <c r="N106" s="8"/>
      <c r="O106" s="8"/>
      <c r="P106" s="8"/>
    </row>
    <row r="107" spans="1:16" x14ac:dyDescent="0.3">
      <c r="A107" s="21" t="s">
        <v>149</v>
      </c>
      <c r="B107" s="21" t="s">
        <v>613</v>
      </c>
      <c r="C107" s="7">
        <v>0.11900318806258442</v>
      </c>
      <c r="D107" s="7">
        <v>7.0624363640271429E-2</v>
      </c>
      <c r="E107" s="7">
        <v>5.3024941330631924E-2</v>
      </c>
      <c r="F107" s="7">
        <v>5.8435763377070573E-3</v>
      </c>
      <c r="G107" s="7">
        <v>1.492068464311517E-3</v>
      </c>
      <c r="H107" s="7">
        <v>1.4914326991116898E-3</v>
      </c>
      <c r="I107" s="8"/>
      <c r="J107" s="8"/>
      <c r="K107" s="8"/>
      <c r="L107" s="8"/>
      <c r="M107" s="8"/>
      <c r="N107" s="8"/>
      <c r="O107" s="8"/>
      <c r="P107" s="8"/>
    </row>
    <row r="108" spans="1:16" x14ac:dyDescent="0.3">
      <c r="A108" s="21" t="s">
        <v>149</v>
      </c>
      <c r="B108" s="21" t="s">
        <v>614</v>
      </c>
      <c r="C108" s="7">
        <v>5.8851303386141481E-2</v>
      </c>
      <c r="D108" s="7">
        <v>3.492625633576265E-2</v>
      </c>
      <c r="E108" s="7">
        <v>2.6222716887552944E-2</v>
      </c>
      <c r="F108" s="7">
        <v>2.8898560577185176E-3</v>
      </c>
      <c r="G108" s="7">
        <v>7.3788085256935691E-4</v>
      </c>
      <c r="H108" s="7">
        <v>7.3756644409621829E-4</v>
      </c>
      <c r="I108" s="29"/>
      <c r="J108" s="8"/>
      <c r="K108" s="8"/>
      <c r="L108" s="29"/>
      <c r="M108" s="29"/>
      <c r="N108" s="29"/>
      <c r="O108" s="8"/>
      <c r="P108" s="8"/>
    </row>
    <row r="109" spans="1:16" x14ac:dyDescent="0.3">
      <c r="A109" s="21" t="s">
        <v>149</v>
      </c>
      <c r="B109" s="21" t="s">
        <v>615</v>
      </c>
      <c r="C109" s="7">
        <v>2.4494280967344333E-2</v>
      </c>
      <c r="D109" s="7">
        <v>1.4536526578052225E-2</v>
      </c>
      <c r="E109" s="7">
        <v>1.0914058962406934E-2</v>
      </c>
      <c r="F109" s="7">
        <v>1.2027761860854233E-3</v>
      </c>
      <c r="G109" s="7">
        <v>3.0711063108779859E-4</v>
      </c>
      <c r="H109" s="7">
        <v>3.0697977231260648E-4</v>
      </c>
      <c r="I109" s="29"/>
      <c r="J109" s="8"/>
      <c r="K109" s="8"/>
      <c r="L109" s="29"/>
      <c r="M109" s="29"/>
      <c r="N109" s="29"/>
      <c r="O109" s="8"/>
      <c r="P109" s="8"/>
    </row>
    <row r="110" spans="1:16" x14ac:dyDescent="0.3">
      <c r="A110" s="21" t="s">
        <v>149</v>
      </c>
      <c r="B110" s="21" t="s">
        <v>616</v>
      </c>
      <c r="C110" s="7">
        <v>1.8424901612604148E-2</v>
      </c>
      <c r="D110" s="7">
        <v>1.0934555390570259E-2</v>
      </c>
      <c r="E110" s="7">
        <v>8.2096903699521197E-3</v>
      </c>
      <c r="F110" s="7">
        <v>9.0474314882531856E-4</v>
      </c>
      <c r="G110" s="7">
        <v>2.310124216147158E-4</v>
      </c>
      <c r="H110" s="7">
        <v>2.309139880227571E-4</v>
      </c>
      <c r="I110" s="29"/>
      <c r="J110" s="8"/>
      <c r="K110" s="8"/>
      <c r="L110" s="29"/>
      <c r="M110" s="29"/>
      <c r="N110" s="29"/>
      <c r="O110" s="8"/>
      <c r="P110" s="8"/>
    </row>
    <row r="111" spans="1:16" x14ac:dyDescent="0.3">
      <c r="A111" s="21" t="s">
        <v>149</v>
      </c>
      <c r="B111" s="21" t="s">
        <v>617</v>
      </c>
      <c r="C111" s="7">
        <v>8.1286330643841817E-3</v>
      </c>
      <c r="D111" s="7">
        <v>4.824068554663349E-3</v>
      </c>
      <c r="E111" s="7">
        <v>3.6219222220376995E-3</v>
      </c>
      <c r="F111" s="7">
        <v>3.9915138918764049E-4</v>
      </c>
      <c r="G111" s="7">
        <v>1.0191724483002166E-4</v>
      </c>
      <c r="H111" s="7">
        <v>1.01873818245334E-4</v>
      </c>
      <c r="I111" s="29"/>
      <c r="J111" s="8"/>
      <c r="K111" s="8"/>
      <c r="L111" s="29"/>
      <c r="M111" s="29"/>
      <c r="N111" s="29"/>
      <c r="O111" s="8"/>
      <c r="P111" s="8"/>
    </row>
    <row r="112" spans="1:16" x14ac:dyDescent="0.3">
      <c r="A112" s="21" t="s">
        <v>149</v>
      </c>
      <c r="B112" s="21" t="s">
        <v>618</v>
      </c>
      <c r="C112" s="7">
        <v>2.3843990322193601E-3</v>
      </c>
      <c r="D112" s="7">
        <v>1.4150601093679159E-3</v>
      </c>
      <c r="E112" s="7">
        <v>1.0624305184643919E-3</v>
      </c>
      <c r="F112" s="7">
        <v>1.1708440749504123E-4</v>
      </c>
      <c r="G112" s="7">
        <v>2.9895725150139691E-5</v>
      </c>
      <c r="H112" s="7">
        <v>2.9882986685297979E-5</v>
      </c>
      <c r="I112" s="8"/>
      <c r="J112" s="8"/>
      <c r="K112" s="8"/>
      <c r="L112" s="8"/>
      <c r="M112" s="8"/>
      <c r="N112" s="8"/>
      <c r="O112" s="8"/>
      <c r="P112" s="8"/>
    </row>
    <row r="113" spans="1:16" x14ac:dyDescent="0.3">
      <c r="A113" s="21" t="s">
        <v>149</v>
      </c>
      <c r="B113" s="21" t="s">
        <v>619</v>
      </c>
      <c r="C113" s="7">
        <v>6.6112882256991355E-3</v>
      </c>
      <c r="D113" s="7">
        <v>3.9235757577928574E-3</v>
      </c>
      <c r="E113" s="7">
        <v>2.9458300739239958E-3</v>
      </c>
      <c r="F113" s="7">
        <v>3.2464312987261429E-4</v>
      </c>
      <c r="G113" s="7">
        <v>8.2892692461750963E-5</v>
      </c>
      <c r="H113" s="7">
        <v>8.285737217287166E-5</v>
      </c>
      <c r="I113" s="8"/>
      <c r="J113" s="8"/>
      <c r="K113" s="8"/>
      <c r="L113" s="8"/>
      <c r="M113" s="8"/>
      <c r="N113" s="8"/>
      <c r="O113" s="8"/>
      <c r="P113" s="8"/>
    </row>
    <row r="114" spans="1:16" x14ac:dyDescent="0.3">
      <c r="A114" s="21" t="s">
        <v>149</v>
      </c>
      <c r="B114" s="21" t="s">
        <v>660</v>
      </c>
      <c r="C114" s="7">
        <v>5.419088709589455E-4</v>
      </c>
      <c r="D114" s="7">
        <v>3.2160457031088995E-4</v>
      </c>
      <c r="E114" s="7">
        <v>2.4146148146917998E-4</v>
      </c>
      <c r="F114" s="7">
        <v>2.6610092612509368E-5</v>
      </c>
      <c r="G114" s="7">
        <v>6.7944829886681113E-6</v>
      </c>
      <c r="H114" s="7">
        <v>6.7915878830222673E-6</v>
      </c>
      <c r="I114" s="8"/>
      <c r="J114" s="8"/>
      <c r="K114" s="8"/>
      <c r="L114" s="8"/>
      <c r="M114" s="8"/>
      <c r="N114" s="8"/>
      <c r="O114" s="8"/>
      <c r="P114" s="8"/>
    </row>
    <row r="115" spans="1:16" x14ac:dyDescent="0.3">
      <c r="A115" s="21" t="s">
        <v>149</v>
      </c>
      <c r="B115" s="21" t="s">
        <v>620</v>
      </c>
      <c r="C115" s="7">
        <v>2.0592537096439929E-3</v>
      </c>
      <c r="D115" s="7">
        <v>1.2220973671813818E-3</v>
      </c>
      <c r="E115" s="7">
        <v>9.1755362958288386E-4</v>
      </c>
      <c r="F115" s="7">
        <v>1.0111835192753559E-4</v>
      </c>
      <c r="G115" s="7">
        <v>2.581903535693882E-5</v>
      </c>
      <c r="H115" s="7">
        <v>2.5808033955484614E-5</v>
      </c>
      <c r="I115" s="28"/>
      <c r="J115" s="8"/>
      <c r="K115" s="8"/>
      <c r="L115" s="29"/>
      <c r="M115" s="29"/>
      <c r="N115" s="8"/>
      <c r="O115" s="8"/>
      <c r="P115" s="8"/>
    </row>
    <row r="116" spans="1:16" x14ac:dyDescent="0.3">
      <c r="A116" s="21" t="s">
        <v>149</v>
      </c>
      <c r="B116" s="21" t="s">
        <v>621</v>
      </c>
      <c r="C116" s="7">
        <v>1.0946559193370698E-2</v>
      </c>
      <c r="D116" s="7">
        <v>6.496412320279977E-3</v>
      </c>
      <c r="E116" s="7">
        <v>4.877521925677435E-3</v>
      </c>
      <c r="F116" s="7">
        <v>5.3752387077268923E-4</v>
      </c>
      <c r="G116" s="7">
        <v>1.3724855637109584E-4</v>
      </c>
      <c r="H116" s="7">
        <v>1.3719007523704981E-4</v>
      </c>
      <c r="I116" s="5"/>
      <c r="L116" s="6"/>
      <c r="M116" s="6"/>
    </row>
    <row r="117" spans="1:16" x14ac:dyDescent="0.3">
      <c r="A117" s="21" t="s">
        <v>149</v>
      </c>
      <c r="B117" s="21" t="s">
        <v>623</v>
      </c>
      <c r="C117" s="27">
        <v>3.4799999999999999E-5</v>
      </c>
      <c r="D117" s="27">
        <v>3.4799999999999999E-5</v>
      </c>
      <c r="E117" s="27">
        <v>3.4799999999999999E-5</v>
      </c>
      <c r="F117" s="27">
        <v>3.4799999999999999E-5</v>
      </c>
      <c r="G117" s="27">
        <v>3.4799999999999999E-5</v>
      </c>
      <c r="H117" s="27">
        <v>3.4799999999999999E-5</v>
      </c>
      <c r="I117" s="5"/>
      <c r="L117" s="6"/>
      <c r="M117" s="6"/>
    </row>
    <row r="118" spans="1:16" x14ac:dyDescent="0.3">
      <c r="A118" s="21" t="s">
        <v>149</v>
      </c>
      <c r="B118" s="21" t="s">
        <v>624</v>
      </c>
      <c r="C118" s="27">
        <v>2.9999999999999999E-7</v>
      </c>
      <c r="D118" s="27">
        <v>2.9999999999999999E-7</v>
      </c>
      <c r="E118" s="27">
        <v>2.9999999999999999E-7</v>
      </c>
      <c r="F118" s="27">
        <v>2.9999999999999999E-7</v>
      </c>
      <c r="G118" s="27">
        <v>2.9999999999999999E-7</v>
      </c>
      <c r="H118" s="27">
        <v>2.9999999999999999E-7</v>
      </c>
      <c r="I118" s="4"/>
      <c r="L118" s="6"/>
      <c r="M118" s="6"/>
    </row>
    <row r="119" spans="1:16" x14ac:dyDescent="0.3">
      <c r="A119" s="21" t="s">
        <v>149</v>
      </c>
      <c r="B119" s="21" t="s">
        <v>625</v>
      </c>
      <c r="C119" s="27">
        <v>2.0000000000000002E-7</v>
      </c>
      <c r="D119" s="27">
        <v>2.0000000000000002E-7</v>
      </c>
      <c r="E119" s="27">
        <v>2.0000000000000002E-7</v>
      </c>
      <c r="F119" s="27">
        <v>2.0000000000000002E-7</v>
      </c>
      <c r="G119" s="27">
        <v>2.0000000000000002E-7</v>
      </c>
      <c r="H119" s="27">
        <v>2.0000000000000002E-7</v>
      </c>
    </row>
    <row r="120" spans="1:16" x14ac:dyDescent="0.3">
      <c r="A120" s="21" t="s">
        <v>149</v>
      </c>
      <c r="B120" s="21" t="s">
        <v>626</v>
      </c>
      <c r="C120" s="27">
        <v>2.16E-3</v>
      </c>
      <c r="D120" s="27">
        <v>2.16E-3</v>
      </c>
      <c r="E120" s="27">
        <v>2.16E-3</v>
      </c>
      <c r="F120" s="27">
        <v>2.16E-3</v>
      </c>
      <c r="G120" s="27">
        <v>2.16E-3</v>
      </c>
      <c r="H120" s="27">
        <v>2.16E-3</v>
      </c>
    </row>
    <row r="121" spans="1:16" x14ac:dyDescent="0.3">
      <c r="A121" s="21" t="s">
        <v>149</v>
      </c>
      <c r="B121" s="21" t="s">
        <v>581</v>
      </c>
      <c r="C121" s="27">
        <v>4.1999999999999998E-5</v>
      </c>
      <c r="D121" s="27">
        <v>4.1999999999999998E-5</v>
      </c>
      <c r="E121" s="27">
        <v>4.1999999999999998E-5</v>
      </c>
      <c r="F121" s="27">
        <v>4.1999999999999998E-5</v>
      </c>
      <c r="G121" s="27">
        <v>4.1999999999999998E-5</v>
      </c>
      <c r="H121" s="27">
        <v>4.1999999999999998E-5</v>
      </c>
    </row>
    <row r="122" spans="1:16" x14ac:dyDescent="0.3">
      <c r="A122" s="21" t="s">
        <v>149</v>
      </c>
      <c r="B122" s="21" t="s">
        <v>583</v>
      </c>
      <c r="C122" s="27">
        <v>1.3000000000000001E-5</v>
      </c>
      <c r="D122" s="27">
        <v>1.3000000000000001E-5</v>
      </c>
      <c r="E122" s="27">
        <v>1.3000000000000001E-5</v>
      </c>
      <c r="F122" s="27">
        <v>1.3000000000000001E-5</v>
      </c>
      <c r="G122" s="27">
        <v>1.3000000000000001E-5</v>
      </c>
      <c r="H122" s="27">
        <v>1.3000000000000001E-5</v>
      </c>
      <c r="I122" s="5"/>
      <c r="L122" s="6"/>
      <c r="M122" s="6"/>
    </row>
    <row r="123" spans="1:16" x14ac:dyDescent="0.3">
      <c r="A123" s="21" t="s">
        <v>149</v>
      </c>
      <c r="B123" s="21" t="s">
        <v>582</v>
      </c>
      <c r="C123" s="27">
        <v>1.6000000000000003E-5</v>
      </c>
      <c r="D123" s="27">
        <v>1.6000000000000003E-5</v>
      </c>
      <c r="E123" s="27">
        <v>1.6000000000000003E-5</v>
      </c>
      <c r="F123" s="27">
        <v>1.6000000000000003E-5</v>
      </c>
      <c r="G123" s="27">
        <v>1.6000000000000003E-5</v>
      </c>
      <c r="H123" s="27">
        <v>1.6000000000000003E-5</v>
      </c>
      <c r="I123" s="5"/>
      <c r="L123" s="6"/>
      <c r="M123" s="6"/>
    </row>
    <row r="124" spans="1:16" x14ac:dyDescent="0.3">
      <c r="A124" s="21" t="s">
        <v>149</v>
      </c>
      <c r="B124" s="21" t="s">
        <v>629</v>
      </c>
      <c r="C124" s="27">
        <v>3.2000000000000002E-8</v>
      </c>
      <c r="D124" s="27">
        <v>3.2000000000000002E-8</v>
      </c>
      <c r="E124" s="27">
        <v>3.2000000000000002E-8</v>
      </c>
      <c r="F124" s="27">
        <v>3.2000000000000002E-8</v>
      </c>
      <c r="G124" s="27">
        <v>3.2000000000000002E-8</v>
      </c>
      <c r="H124" s="27">
        <v>3.2000000000000002E-8</v>
      </c>
      <c r="I124" s="5"/>
      <c r="L124" s="6"/>
      <c r="M124" s="6"/>
    </row>
    <row r="125" spans="1:16" x14ac:dyDescent="0.3">
      <c r="A125" s="21" t="s">
        <v>149</v>
      </c>
      <c r="B125" s="21" t="s">
        <v>627</v>
      </c>
      <c r="C125" s="27">
        <v>8.6999999999999997E-6</v>
      </c>
      <c r="D125" s="27">
        <v>8.6999999999999997E-6</v>
      </c>
      <c r="E125" s="27">
        <v>8.6999999999999997E-6</v>
      </c>
      <c r="F125" s="27">
        <v>8.6999999999999997E-6</v>
      </c>
      <c r="G125" s="27">
        <v>8.6999999999999997E-6</v>
      </c>
      <c r="H125" s="27">
        <v>8.6999999999999997E-6</v>
      </c>
      <c r="I125" s="4"/>
      <c r="L125" s="6"/>
      <c r="M125" s="4"/>
    </row>
    <row r="126" spans="1:16" x14ac:dyDescent="0.3">
      <c r="A126" s="21" t="s">
        <v>149</v>
      </c>
      <c r="B126" s="21" t="s">
        <v>628</v>
      </c>
      <c r="C126" s="27">
        <v>1.08E-5</v>
      </c>
      <c r="D126" s="27">
        <v>1.08E-5</v>
      </c>
      <c r="E126" s="27">
        <v>1.08E-5</v>
      </c>
      <c r="F126" s="27">
        <v>1.08E-5</v>
      </c>
      <c r="G126" s="27">
        <v>1.08E-5</v>
      </c>
      <c r="H126" s="27">
        <v>1.08E-5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1"/>
  <sheetViews>
    <sheetView topLeftCell="A175" workbookViewId="0">
      <selection activeCell="B316" sqref="B316"/>
    </sheetView>
  </sheetViews>
  <sheetFormatPr defaultRowHeight="14.4" x14ac:dyDescent="0.3"/>
  <cols>
    <col min="1" max="1" width="42.21875" bestFit="1" customWidth="1"/>
    <col min="6" max="6" width="12.109375" bestFit="1" customWidth="1"/>
    <col min="7" max="7" width="28.6640625" bestFit="1" customWidth="1"/>
    <col min="8" max="8" width="20" bestFit="1" customWidth="1"/>
  </cols>
  <sheetData>
    <row r="1" spans="1:2" x14ac:dyDescent="0.3">
      <c r="A1" s="9" t="s">
        <v>71</v>
      </c>
      <c r="B1" t="s">
        <v>70</v>
      </c>
    </row>
    <row r="3" spans="1:2" ht="15.6" x14ac:dyDescent="0.3">
      <c r="A3" s="11" t="s">
        <v>72</v>
      </c>
      <c r="B3" s="9" t="str">
        <f>B5&amp;", "&amp;B7</f>
        <v>Kick Scooter, electric, &lt;1kW, 2020</v>
      </c>
    </row>
    <row r="4" spans="1:2" x14ac:dyDescent="0.3">
      <c r="A4" t="s">
        <v>73</v>
      </c>
      <c r="B4" t="s">
        <v>37</v>
      </c>
    </row>
    <row r="5" spans="1:2" x14ac:dyDescent="0.3">
      <c r="A5" t="s">
        <v>87</v>
      </c>
      <c r="B5" s="12" t="s">
        <v>688</v>
      </c>
    </row>
    <row r="6" spans="1:2" x14ac:dyDescent="0.3">
      <c r="A6" t="s">
        <v>88</v>
      </c>
      <c r="B6" s="12"/>
    </row>
    <row r="7" spans="1:2" x14ac:dyDescent="0.3">
      <c r="A7" t="s">
        <v>89</v>
      </c>
      <c r="B7" s="12">
        <v>2020</v>
      </c>
    </row>
    <row r="8" spans="1:2" x14ac:dyDescent="0.3">
      <c r="A8" t="s">
        <v>131</v>
      </c>
      <c r="B8" s="12" t="str">
        <f>B5&amp;" - "&amp;B7&amp;" - "&amp;B4</f>
        <v>Kick Scooter, electric, &lt;1kW - 2020 - CH</v>
      </c>
    </row>
    <row r="9" spans="1:2" x14ac:dyDescent="0.3">
      <c r="A9" t="s">
        <v>74</v>
      </c>
      <c r="B9" s="12" t="str">
        <f>B5</f>
        <v>Kick Scooter, electric, &lt;1kW</v>
      </c>
    </row>
    <row r="10" spans="1:2" x14ac:dyDescent="0.3">
      <c r="A10" t="s">
        <v>75</v>
      </c>
      <c r="B10" t="s">
        <v>76</v>
      </c>
    </row>
    <row r="11" spans="1:2" x14ac:dyDescent="0.3">
      <c r="A11" t="s">
        <v>77</v>
      </c>
      <c r="B11" t="s">
        <v>77</v>
      </c>
    </row>
    <row r="12" spans="1:2" x14ac:dyDescent="0.3">
      <c r="A12" t="s">
        <v>79</v>
      </c>
      <c r="B12" t="s">
        <v>90</v>
      </c>
    </row>
    <row r="13" spans="1:2" x14ac:dyDescent="0.3">
      <c r="A13" t="s">
        <v>132</v>
      </c>
      <c r="B13">
        <f>INDEX('vehicles specifications'!$B$3:$CK$86,MATCH('lci-kick scooter'!B8,'vehicles specifications'!$A$3:$A$86,0),MATCH("Lifetime [km]",'vehicles specifications'!$B$2:$CK$2,0))</f>
        <v>1785</v>
      </c>
    </row>
    <row r="14" spans="1:2" x14ac:dyDescent="0.3">
      <c r="A14" t="s">
        <v>133</v>
      </c>
      <c r="B14">
        <f>INDEX('vehicles specifications'!$B$3:$CK$86,MATCH('lci-kick scooter'!B8,'vehicles specifications'!$A$3:$A$86,0),MATCH("Passengers [unit]",'vehicles specifications'!$B$2:$CK$2,0))</f>
        <v>1</v>
      </c>
    </row>
    <row r="15" spans="1:2" x14ac:dyDescent="0.3">
      <c r="A15" t="s">
        <v>134</v>
      </c>
      <c r="B15">
        <f>INDEX('vehicles specifications'!$B$3:$CK$86,MATCH('lci-kick scooter'!B8,'vehicles specifications'!$A$3:$A$86,0),MATCH("Servicing [unit]",'vehicles specifications'!$B$2:$CK$2,0))</f>
        <v>0.44624999999999998</v>
      </c>
    </row>
    <row r="16" spans="1:2" x14ac:dyDescent="0.3">
      <c r="A16" t="s">
        <v>135</v>
      </c>
      <c r="B16">
        <f>INDEX('vehicles specifications'!$B$3:$CK$86,MATCH('lci-kick scooter'!B8,'vehicles specifications'!$A$3:$A$86,0),MATCH("Energy battery replacement [unit]",'vehicles specifications'!$B$2:$CK$2,0))</f>
        <v>0</v>
      </c>
    </row>
    <row r="17" spans="1:2" x14ac:dyDescent="0.3">
      <c r="A17" t="s">
        <v>136</v>
      </c>
      <c r="B17">
        <f>INDEX('vehicles specifications'!$B$3:$CK$86,MATCH('lci-kick scooter'!B8,'vehicles specifications'!$A$3:$A$86,0),MATCH("Annual kilometers [km]",'vehicles specifications'!$B$2:$CK$2,0))</f>
        <v>890</v>
      </c>
    </row>
    <row r="18" spans="1:2" x14ac:dyDescent="0.3">
      <c r="A18" t="s">
        <v>137</v>
      </c>
      <c r="B18">
        <f>INDEX('vehicles specifications'!$B$3:$CK$86,MATCH('lci-kick scooter'!B8,'vehicles specifications'!$A$3:$A$86,0),MATCH("Curb mass [kg]",'vehicles specifications'!$B$2:$CK$2,0))</f>
        <v>12.274999999999999</v>
      </c>
    </row>
    <row r="19" spans="1:2" x14ac:dyDescent="0.3">
      <c r="A19" t="s">
        <v>138</v>
      </c>
      <c r="B19">
        <f>INDEX('vehicles specifications'!$B$3:$CK$86,MATCH('lci-kick scooter'!B8,'vehicles specifications'!$A$3:$A$86,0),MATCH("Power [kW]",'vehicles specifications'!$B$2:$CK$2,0))</f>
        <v>0.25</v>
      </c>
    </row>
    <row r="20" spans="1:2" x14ac:dyDescent="0.3">
      <c r="A20" t="s">
        <v>139</v>
      </c>
      <c r="B20">
        <f>INDEX('vehicles specifications'!$B$3:$CK$86,MATCH('lci-kick scooter'!B8,'vehicles specifications'!$A$3:$A$86,0),MATCH("Energy battery mass [kg]",'vehicles specifications'!$B$2:$CK$2,0))</f>
        <v>2.2749999999999995</v>
      </c>
    </row>
    <row r="21" spans="1:2" x14ac:dyDescent="0.3">
      <c r="A21" t="s">
        <v>140</v>
      </c>
      <c r="B21">
        <f>INDEX('vehicles specifications'!$B$3:$CK$86,MATCH('lci-kick scooter'!B8,'vehicles specifications'!$A$3:$A$86,0),MATCH("Electric energy stored [kWh]",'vehicles specifications'!$B$2:$CK$2,0))</f>
        <v>0.35</v>
      </c>
    </row>
    <row r="22" spans="1:2" s="21" customFormat="1" x14ac:dyDescent="0.3">
      <c r="A22" s="21" t="s">
        <v>654</v>
      </c>
      <c r="B22" s="21">
        <f>INDEX('vehicles specifications'!$B$3:$CK$86,MATCH('lci-kick scooter'!B8,'vehicles specifications'!$A$3:$A$86,0),MATCH("Electric energy available [kWh]",'vehicles specifications'!$B$2:$CK$2,0))</f>
        <v>0.27999999999999997</v>
      </c>
    </row>
    <row r="23" spans="1:2" x14ac:dyDescent="0.3">
      <c r="A23" t="s">
        <v>143</v>
      </c>
      <c r="B23">
        <f>INDEX('vehicles specifications'!$B$3:$CK$86,MATCH('lci-kick scooter'!B8,'vehicles specifications'!$A$3:$A$86,0),MATCH("Oxydation energy stored [kWh]",'vehicles specifications'!$B$2:$CK$2,0))</f>
        <v>0</v>
      </c>
    </row>
    <row r="24" spans="1:2" x14ac:dyDescent="0.3">
      <c r="A24" t="s">
        <v>145</v>
      </c>
      <c r="B24">
        <f>INDEX('vehicles specifications'!$B$3:$CK$86,MATCH('lci-kick scooter'!B8,'vehicles specifications'!$A$3:$A$86,0),MATCH("Fuel mass [kg]",'vehicles specifications'!$B$2:$CK$2,0))</f>
        <v>0</v>
      </c>
    </row>
    <row r="25" spans="1:2" x14ac:dyDescent="0.3">
      <c r="A25" t="s">
        <v>141</v>
      </c>
      <c r="B25">
        <f>INDEX('vehicles specifications'!$B$3:$CK$86,MATCH('lci-kick scooter'!B8,'vehicles specifications'!$A$3:$A$86,0),MATCH("Range [km]",'vehicles specifications'!$B$2:$CK$2,0))</f>
        <v>11.703738317757008</v>
      </c>
    </row>
    <row r="26" spans="1:2" x14ac:dyDescent="0.3">
      <c r="A26" t="s">
        <v>142</v>
      </c>
      <c r="B26" t="str">
        <f>INDEX('vehicles specifications'!$B$3:$CK$86,MATCH('lci-kick scooter'!B8,'vehicles specifications'!$A$3:$A$86,0),MATCH("Emission standard",'vehicles specifications'!$B$2:$CK$2,0))</f>
        <v>None</v>
      </c>
    </row>
    <row r="27" spans="1:2" x14ac:dyDescent="0.3">
      <c r="A27" t="s">
        <v>144</v>
      </c>
      <c r="B27" s="6">
        <f>INDEX('vehicles specifications'!$B$3:$CK$86,MATCH('lci-kick scooter'!B8,'vehicles specifications'!$A$3:$A$86,0),MATCH("Lightweighting rate [%]",'vehicles specifications'!$B$2:$CK$2,0))</f>
        <v>0</v>
      </c>
    </row>
    <row r="28" spans="1:2" s="21" customFormat="1" x14ac:dyDescent="0.3">
      <c r="A28" s="21" t="s">
        <v>513</v>
      </c>
      <c r="B28" s="6" t="s">
        <v>514</v>
      </c>
    </row>
    <row r="29" spans="1:2" s="21" customFormat="1" x14ac:dyDescent="0.3">
      <c r="A29" s="21" t="s">
        <v>515</v>
      </c>
      <c r="B29" s="2">
        <v>15900</v>
      </c>
    </row>
    <row r="30" spans="1:2" s="21" customFormat="1" x14ac:dyDescent="0.3">
      <c r="A30" s="21" t="s">
        <v>516</v>
      </c>
      <c r="B30" s="2">
        <v>1000</v>
      </c>
    </row>
    <row r="31" spans="1:2" s="21" customFormat="1" x14ac:dyDescent="0.3">
      <c r="A31" s="21" t="s">
        <v>84</v>
      </c>
      <c r="B31" s="21" t="str">
        <f>"Power: "&amp;B19&amp;" kW. Lifetime: "&amp;B13&amp;" km. Annual kilometers: "&amp;ROUND(B17,0)&amp;" km. Number of passengers: "&amp;ROUND(B14,1)&amp;". Curb mass: "&amp;ROUND(B18,1)&amp;" kg. Lightweighting of glider: "&amp;ROUND(B27*100,0)&amp;"%. Emission standard: "&amp;B26&amp;". Service visits throughout lifetime: "&amp;ROUND(B15,1)&amp;". Range: "&amp;ROUND(B25,0)&amp;" km. Battery capacity: "&amp;ROUND(B21,1)&amp;" kWh. Available battery capacity: "&amp;B22&amp;" kWh. Battery mass: "&amp;ROUND(B20,1)&amp; " kg. Battery replacement throughout lifetime: "&amp;ROUND(B16,1)&amp;". Fuel tank capacity: "&amp;ROUND(B23,1)&amp;" kWh. Fuel mass: "&amp;ROUND(B24,1)&amp;" kg. Origin of manufacture: "&amp;B28&amp;". Shipping distance: "&amp;B29&amp;" km. Lorry distribution distance: "&amp;B30&amp;" km. Documentation: "&amp;Readmefirst!$B$2&amp;", "&amp;Readmefirst!$B$3&amp;". "&amp;'lci-kick scooter'!B12</f>
        <v>Power: 0.25 kW. Lifetime: 1785 km. Annual kilometers: 890 km. Number of passengers: 1. Curb mass: 12.3 kg. Lightweighting of glider: 0%. Emission standard: None. Service visits throughout lifetime: 0.4. Range: 12 km. Battery capacity: 0.4 kWh. Available battery capacity: 0.28 kWh. Battery mass: 2.3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32" spans="1:2" ht="15.6" x14ac:dyDescent="0.3">
      <c r="A32" s="11" t="s">
        <v>80</v>
      </c>
    </row>
    <row r="33" spans="1:8" x14ac:dyDescent="0.3">
      <c r="A33" t="s">
        <v>81</v>
      </c>
      <c r="B33" t="s">
        <v>82</v>
      </c>
      <c r="C33" t="s">
        <v>73</v>
      </c>
      <c r="D33" t="s">
        <v>77</v>
      </c>
      <c r="E33" t="s">
        <v>83</v>
      </c>
      <c r="F33" t="s">
        <v>75</v>
      </c>
      <c r="G33" t="s">
        <v>84</v>
      </c>
      <c r="H33" t="s">
        <v>74</v>
      </c>
    </row>
    <row r="34" spans="1:8" x14ac:dyDescent="0.3">
      <c r="A34" s="12" t="str">
        <f>B3</f>
        <v>Kick Scooter, electric, &lt;1kW, 2020</v>
      </c>
      <c r="B34" s="12">
        <v>1</v>
      </c>
      <c r="C34" s="12" t="str">
        <f>B4</f>
        <v>CH</v>
      </c>
      <c r="D34" s="12" t="str">
        <f>B11</f>
        <v>unit</v>
      </c>
      <c r="E34" s="12"/>
      <c r="F34" s="12" t="s">
        <v>85</v>
      </c>
      <c r="G34" s="12" t="s">
        <v>86</v>
      </c>
      <c r="H34" s="12" t="str">
        <f>B9</f>
        <v>Kick Scooter, electric, &lt;1kW</v>
      </c>
    </row>
    <row r="35" spans="1:8" x14ac:dyDescent="0.3">
      <c r="A35" s="12" t="str">
        <f>INDEX('ei names mapping'!$B$4:$R$33,MATCH('lci-kick scooter'!$B$5,'ei names mapping'!$A$4:$A$33,0),MATCH('lci-kick scooter'!$G35,'ei names mapping'!$B$3:$R$3,0))</f>
        <v>bicycle production</v>
      </c>
      <c r="B35" s="14">
        <f>INDEX('vehicles specifications'!$B$3:$CK$86,MATCH(B8,'vehicles specifications'!$A$3:$A$86,0),MATCH(G35,'vehicles specifications'!$B$2:$CK$2,0))*INDEX('ei names mapping'!$B$137:$BK$220,MATCH(B8,'ei names mapping'!$A$137:$A$220,0),MATCH(G35,'ei names mapping'!$B$136:$BK$136,0))</f>
        <v>0.41176470588235292</v>
      </c>
      <c r="C35" s="12" t="str">
        <f>INDEX('ei names mapping'!$B$38:$R$67,MATCH('lci-kick scooter'!$B$5,'ei names mapping'!$A$4:$A$33,0),MATCH('lci-kick scooter'!$G35,'ei names mapping'!$B$3:$R$3,0))</f>
        <v>RER</v>
      </c>
      <c r="D35" s="12" t="str">
        <f>INDEX('ei names mapping'!$B$104:$R$133,MATCH('lci-kick scooter'!$B$5,'ei names mapping'!$A$4:$A$33,0),MATCH('lci-kick scooter'!$G35,'ei names mapping'!$B$3:$R$3,0))</f>
        <v>unit</v>
      </c>
      <c r="E35" s="12"/>
      <c r="F35" s="12" t="s">
        <v>91</v>
      </c>
      <c r="G35" s="21" t="s">
        <v>15</v>
      </c>
      <c r="H35" s="12" t="str">
        <f>INDEX('ei names mapping'!$B$71:$R$100,MATCH('lci-kick scooter'!$B$5,'ei names mapping'!$A$4:$A$33,0),MATCH('lci-kick scooter'!$G35,'ei names mapping'!$B$3:$R$3,0))</f>
        <v>bicycle</v>
      </c>
    </row>
    <row r="36" spans="1:8" x14ac:dyDescent="0.3">
      <c r="A36" s="12" t="str">
        <f>INDEX('ei names mapping'!$B$4:$R$33,MATCH('lci-kick scooter'!$B$5,'ei names mapping'!$A$4:$A$33,0),MATCH('lci-kick scooter'!$G36,'ei names mapping'!$B$3:$R$3,0))</f>
        <v>market for electric motor, vehicle</v>
      </c>
      <c r="B36" s="14">
        <f>INDEX('vehicles specifications'!$B$3:$CK$86,MATCH(B8,'vehicles specifications'!$A$3:$A$86,0),MATCH(G36,'vehicles specifications'!$B$2:$CK$2,0))*INDEX('ei names mapping'!$B$137:$BK$220,MATCH(B8,'ei names mapping'!$A$137:$A$220,0),MATCH(G36,'ei names mapping'!$B$136:$BK$136,0))</f>
        <v>3</v>
      </c>
      <c r="C36" s="12" t="str">
        <f>INDEX('ei names mapping'!$B$38:$R$67,MATCH('lci-kick scooter'!$B$5,'ei names mapping'!$A$4:$A$33,0),MATCH('lci-kick scooter'!$G36,'ei names mapping'!$B$3:$R$3,0))</f>
        <v>GLO</v>
      </c>
      <c r="D36" s="12" t="str">
        <f>INDEX('ei names mapping'!$B$104:$R$133,MATCH('lci-kick scooter'!$B$5,'ei names mapping'!$A$4:$A$33,0),MATCH('lci-kick scooter'!$G36,'ei names mapping'!$B$3:$R$3,0))</f>
        <v>kilogram</v>
      </c>
      <c r="E36" s="12"/>
      <c r="F36" s="12" t="s">
        <v>91</v>
      </c>
      <c r="G36" s="12" t="s">
        <v>557</v>
      </c>
      <c r="H36" s="12" t="str">
        <f>INDEX('ei names mapping'!$B$71:$R$100,MATCH('lci-kick scooter'!$B$5,'ei names mapping'!$A$4:$A$33,0),MATCH('lci-kick scooter'!$G36,'ei names mapping'!$B$3:$R$3,0))</f>
        <v>electric motor, vehicle</v>
      </c>
    </row>
    <row r="37" spans="1:8" s="21" customFormat="1" x14ac:dyDescent="0.3">
      <c r="A37" s="12" t="str">
        <f>INDEX('ei names mapping'!$B$4:$R$33,MATCH(B5,'ei names mapping'!$A$4:$A$33,0),MATCH(G37,'ei names mapping'!$B$3:$R$3,0))</f>
        <v>glider lightweighting</v>
      </c>
      <c r="B37" s="16">
        <f>INDEX('vehicles specifications'!$B$3:$CK$86,MATCH(B8,'vehicles specifications'!$A$3:$A$86,0),MATCH(G37,'vehicles specifications'!$B$2:$CK$2,0))*INDEX('ei names mapping'!$B$137:$BK$220,MATCH(B8,'ei names mapping'!$A$137:$A$220,0),MATCH(G37,'ei names mapping'!$B$136:$BK$136,0))</f>
        <v>0</v>
      </c>
      <c r="C37" s="12" t="str">
        <f>INDEX('ei names mapping'!$B$38:$R$67,MATCH(B5,'ei names mapping'!$A$4:$A$33,0),MATCH(G37,'ei names mapping'!$B$3:$R$3,0))</f>
        <v>GLO</v>
      </c>
      <c r="D37" s="12" t="str">
        <f>INDEX('ei names mapping'!$B$104:$R$133,MATCH(B5,'ei names mapping'!$A$4:$A$33,0),MATCH(G37,'ei names mapping'!$B$3:$R$3,0))</f>
        <v>kilogram</v>
      </c>
      <c r="E37" s="12"/>
      <c r="F37" s="12" t="s">
        <v>91</v>
      </c>
      <c r="G37" s="21" t="s">
        <v>14</v>
      </c>
      <c r="H37" s="12" t="str">
        <f>INDEX('ei names mapping'!$B$71:$R$100,MATCH(B5,'ei names mapping'!$A$4:$A$33,0),MATCH(G37,'ei names mapping'!$B$3:$R$3,0))</f>
        <v>glider lightweighting</v>
      </c>
    </row>
    <row r="38" spans="1:8" x14ac:dyDescent="0.3">
      <c r="A38" s="12" t="str">
        <f>INDEX('ei names mapping'!$B$4:$R$33,MATCH('lci-kick scooter'!$B$5,'ei names mapping'!$A$4:$A$33,0),MATCH('lci-kick scooter'!$G38,'ei names mapping'!$B$3:$R$3,0))</f>
        <v>Battery cell, NMC</v>
      </c>
      <c r="B38" s="14">
        <f>INDEX('vehicles specifications'!$B$3:$CK$86,MATCH(B8,'vehicles specifications'!$A$3:$A$86,0),MATCH(G38,'vehicles specifications'!$B$2:$CK$2,0))*INDEX('ei names mapping'!$B$137:$BK$220,MATCH(B8,'ei names mapping'!$A$137:$A$220,0),MATCH(G38,'ei names mapping'!$B$136:$BK$136,0))</f>
        <v>1.7499999999999998</v>
      </c>
      <c r="C38" s="12" t="str">
        <f>INDEX('ei names mapping'!$B$38:$R$67,MATCH('lci-kick scooter'!$B$5,'ei names mapping'!$A$4:$A$33,0),MATCH('lci-kick scooter'!$G38,'ei names mapping'!$B$3:$R$3,0))</f>
        <v>GLO</v>
      </c>
      <c r="D38" s="12" t="str">
        <f>INDEX('ei names mapping'!$B$104:$R$133,MATCH('lci-kick scooter'!$B$5,'ei names mapping'!$A$4:$A$33,0),MATCH('lci-kick scooter'!$G38,'ei names mapping'!$B$3:$R$3,0))</f>
        <v>kilogram</v>
      </c>
      <c r="E38" s="12"/>
      <c r="F38" s="12" t="s">
        <v>91</v>
      </c>
      <c r="G38" s="12" t="s">
        <v>19</v>
      </c>
      <c r="H38" s="12" t="str">
        <f>INDEX('ei names mapping'!$B$71:$R$100,MATCH('lci-kick scooter'!$B$5,'ei names mapping'!$A$4:$A$33,0),MATCH('lci-kick scooter'!$G38,'ei names mapping'!$B$3:$R$3,0))</f>
        <v>Battery cell</v>
      </c>
    </row>
    <row r="39" spans="1:8" x14ac:dyDescent="0.3">
      <c r="A39" s="12" t="str">
        <f>INDEX('ei names mapping'!$B$4:$R$33,MATCH('lci-kick scooter'!$B$5,'ei names mapping'!$A$4:$A$33,0),MATCH('lci-kick scooter'!$G39,'ei names mapping'!$B$3:$R$3,0))</f>
        <v>Battery BoP</v>
      </c>
      <c r="B39" s="14">
        <f>INDEX('vehicles specifications'!$B$3:$CK$86,MATCH(B8,'vehicles specifications'!$A$3:$A$86,0),MATCH(G39,'vehicles specifications'!$B$2:$CK$2,0))*INDEX('ei names mapping'!$B$137:$BK$220,MATCH(B8,'ei names mapping'!$A$137:$A$220,0),MATCH(G39,'ei names mapping'!$B$136:$BK$136,0))</f>
        <v>0.52499999999999991</v>
      </c>
      <c r="C39" s="12" t="str">
        <f>INDEX('ei names mapping'!$B$38:$R$67,MATCH('lci-kick scooter'!$B$5,'ei names mapping'!$A$4:$A$33,0),MATCH('lci-kick scooter'!$G39,'ei names mapping'!$B$3:$R$3,0))</f>
        <v>GLO</v>
      </c>
      <c r="D39" s="12" t="str">
        <f>INDEX('ei names mapping'!$B$104:$R$133,MATCH('lci-kick scooter'!$B$5,'ei names mapping'!$A$4:$A$33,0),MATCH('lci-kick scooter'!$G39,'ei names mapping'!$B$3:$R$3,0))</f>
        <v>kilogram</v>
      </c>
      <c r="E39" s="12"/>
      <c r="F39" s="12" t="s">
        <v>91</v>
      </c>
      <c r="G39" s="12" t="s">
        <v>20</v>
      </c>
      <c r="H39" s="12" t="str">
        <f>INDEX('ei names mapping'!$B$71:$R$100,MATCH('lci-kick scooter'!$B$5,'ei names mapping'!$A$4:$A$33,0),MATCH('lci-kick scooter'!$G39,'ei names mapping'!$B$3:$R$3,0))</f>
        <v>Battery BoP</v>
      </c>
    </row>
    <row r="40" spans="1:8" x14ac:dyDescent="0.3">
      <c r="A40" s="12" t="str">
        <f>INDEX('ei names mapping'!$B$4:$R$33,MATCH('lci-kick scooter'!$B$5,'ei names mapping'!$A$4:$A$33,0),MATCH('lci-kick scooter'!$G40,'ei names mapping'!$B$3:$R$3,0))</f>
        <v>charging station, 100W</v>
      </c>
      <c r="B40" s="14">
        <f>INDEX('vehicles specifications'!$B$3:$CK$86,MATCH(B8,'vehicles specifications'!$A$3:$A$86,0),MATCH(G40,'vehicles specifications'!$B$2:$CK$2,0))*INDEX('ei names mapping'!$B$137:$BK$220,MATCH(B8,'ei names mapping'!$A$137:$A$220,0),MATCH(G40,'ei names mapping'!$B$136:$BK$136,0))</f>
        <v>1</v>
      </c>
      <c r="C40" s="12" t="str">
        <f>INDEX('ei names mapping'!$B$38:$R$67,MATCH('lci-kick scooter'!$B$5,'ei names mapping'!$A$4:$A$33,0),MATCH('lci-kick scooter'!$G40,'ei names mapping'!$B$3:$R$3,0))</f>
        <v>GLO</v>
      </c>
      <c r="D40" s="12" t="str">
        <f>INDEX('ei names mapping'!$B$104:$R$133,MATCH('lci-kick scooter'!$B$5,'ei names mapping'!$A$4:$A$33,0),MATCH('lci-kick scooter'!$G40,'ei names mapping'!$B$3:$R$3,0))</f>
        <v>unit</v>
      </c>
      <c r="F40" s="12" t="s">
        <v>91</v>
      </c>
      <c r="G40" t="s">
        <v>53</v>
      </c>
      <c r="H40" s="12" t="str">
        <f>INDEX('ei names mapping'!$B$71:$R$100,MATCH('lci-kick scooter'!$B$5,'ei names mapping'!$A$4:$A$33,0),MATCH('lci-kick scooter'!$G40,'ei names mapping'!$B$3:$R$3,0))</f>
        <v>charging station, 100W</v>
      </c>
    </row>
    <row r="41" spans="1:8" x14ac:dyDescent="0.3">
      <c r="A41" s="12" t="str">
        <f>INDEX('ei names mapping'!$B$4:$R$33,MATCH('lci-kick scooter'!$B$5,'ei names mapping'!$A$4:$A$33,0),MATCH('lci-kick scooter'!$G41,'ei names mapping'!$B$3:$R$3,0))</f>
        <v>treatment of used electric bicycle</v>
      </c>
      <c r="B41" s="14">
        <f>INDEX('vehicles specifications'!$B$3:$CK$86,MATCH(B8,'vehicles specifications'!$A$3:$A$86,0),MATCH(G41,'vehicles specifications'!$B$2:$CK$2,0))*INDEX('ei names mapping'!$B$137:$BK$220,MATCH(B8,'ei names mapping'!$A$137:$A$220,0),MATCH(G41,'ei names mapping'!$B$136:$BK$136,0))</f>
        <v>-0.125</v>
      </c>
      <c r="C41" s="12" t="str">
        <f>INDEX('ei names mapping'!$B$38:$R$67,MATCH('lci-kick scooter'!$B$5,'ei names mapping'!$A$4:$A$33,0),MATCH('lci-kick scooter'!$G41,'ei names mapping'!$B$3:$R$3,0))</f>
        <v>CH</v>
      </c>
      <c r="D41" s="12" t="str">
        <f>INDEX('ei names mapping'!$B$104:$R$133,MATCH('lci-kick scooter'!$B$5,'ei names mapping'!$A$4:$A$33,0),MATCH('lci-kick scooter'!$G41,'ei names mapping'!$B$3:$R$3,0))</f>
        <v>unit</v>
      </c>
      <c r="F41" s="12" t="s">
        <v>91</v>
      </c>
      <c r="G41" t="s">
        <v>151</v>
      </c>
      <c r="H41" s="12" t="str">
        <f>INDEX('ei names mapping'!$B$71:$R$100,MATCH('lci-kick scooter'!$B$5,'ei names mapping'!$A$4:$A$33,0),MATCH('lci-kick scooter'!$G41,'ei names mapping'!$B$3:$R$3,0))</f>
        <v>used electric bicycle</v>
      </c>
    </row>
    <row r="42" spans="1:8" x14ac:dyDescent="0.3">
      <c r="A42" s="12" t="str">
        <f>INDEX('ei names mapping'!$B$4:$R$33,MATCH('lci-kick scooter'!$B$5,'ei names mapping'!$A$4:$A$33,0),MATCH('lci-kick scooter'!$G42,'ei names mapping'!$B$3:$R$3,0))</f>
        <v>market for used Li-ion battery</v>
      </c>
      <c r="B42" s="14">
        <f>INDEX('vehicles specifications'!$B$3:$CK$86,MATCH(B8,'vehicles specifications'!$A$3:$A$86,0),MATCH(G42,'vehicles specifications'!$B$2:$CK$2,0))*INDEX('ei names mapping'!$B$137:$BK$220,MATCH(B8,'ei names mapping'!$A$137:$A$220,0),MATCH(G42,'ei names mapping'!$B$136:$BK$136,0))</f>
        <v>-2.2749999999999995</v>
      </c>
      <c r="C42" s="12" t="str">
        <f>INDEX('ei names mapping'!$B$38:$R$67,MATCH('lci-kick scooter'!$B$5,'ei names mapping'!$A$4:$A$33,0),MATCH('lci-kick scooter'!$G42,'ei names mapping'!$B$3:$R$3,0))</f>
        <v>GLO</v>
      </c>
      <c r="D42" s="12" t="str">
        <f>INDEX('ei names mapping'!$B$104:$R$133,MATCH('lci-kick scooter'!$B$5,'ei names mapping'!$A$4:$A$33,0),MATCH('lci-kick scooter'!$G42,'ei names mapping'!$B$3:$R$3,0))</f>
        <v>kilogram</v>
      </c>
      <c r="F42" s="12" t="s">
        <v>91</v>
      </c>
      <c r="G42" t="s">
        <v>152</v>
      </c>
      <c r="H42" s="12" t="str">
        <f>INDEX('ei names mapping'!$B$71:$R$100,MATCH('lci-kick scooter'!$B$5,'ei names mapping'!$A$4:$A$33,0),MATCH('lci-kick scooter'!$G42,'ei names mapping'!$B$3:$R$3,0))</f>
        <v>used Li-ion battery</v>
      </c>
    </row>
    <row r="43" spans="1:8" s="21" customFormat="1" x14ac:dyDescent="0.3">
      <c r="A43" s="22" t="s">
        <v>468</v>
      </c>
      <c r="B43" s="21">
        <f>(B18/1000)*B30</f>
        <v>12.274999999999999</v>
      </c>
      <c r="C43" s="21" t="s">
        <v>94</v>
      </c>
      <c r="D43" s="21" t="s">
        <v>243</v>
      </c>
      <c r="F43" s="21" t="s">
        <v>91</v>
      </c>
      <c r="H43" s="22" t="s">
        <v>469</v>
      </c>
    </row>
    <row r="44" spans="1:8" s="21" customFormat="1" x14ac:dyDescent="0.3">
      <c r="A44" s="22" t="s">
        <v>467</v>
      </c>
      <c r="B44" s="2">
        <f>(B18/1000)*B29</f>
        <v>195.17249999999996</v>
      </c>
      <c r="C44" s="21" t="s">
        <v>98</v>
      </c>
      <c r="D44" s="21" t="s">
        <v>243</v>
      </c>
      <c r="F44" s="21" t="s">
        <v>91</v>
      </c>
      <c r="H44" s="22" t="s">
        <v>467</v>
      </c>
    </row>
    <row r="46" spans="1:8" ht="15.6" x14ac:dyDescent="0.3">
      <c r="A46" s="11" t="s">
        <v>72</v>
      </c>
      <c r="B46" s="9" t="str">
        <f>B48&amp;", "&amp;B50</f>
        <v>Kick Scooter, electric, &lt;1kW, 2030</v>
      </c>
    </row>
    <row r="47" spans="1:8" x14ac:dyDescent="0.3">
      <c r="A47" t="s">
        <v>73</v>
      </c>
      <c r="B47" t="s">
        <v>37</v>
      </c>
    </row>
    <row r="48" spans="1:8" x14ac:dyDescent="0.3">
      <c r="A48" t="s">
        <v>87</v>
      </c>
      <c r="B48" s="12" t="s">
        <v>688</v>
      </c>
    </row>
    <row r="49" spans="1:2" x14ac:dyDescent="0.3">
      <c r="A49" t="s">
        <v>88</v>
      </c>
      <c r="B49" s="12"/>
    </row>
    <row r="50" spans="1:2" x14ac:dyDescent="0.3">
      <c r="A50" t="s">
        <v>89</v>
      </c>
      <c r="B50" s="12">
        <v>2030</v>
      </c>
    </row>
    <row r="51" spans="1:2" x14ac:dyDescent="0.3">
      <c r="A51" t="s">
        <v>131</v>
      </c>
      <c r="B51" s="12" t="str">
        <f>B48&amp;" - "&amp;B50&amp;" - "&amp;B47</f>
        <v>Kick Scooter, electric, &lt;1kW - 2030 - CH</v>
      </c>
    </row>
    <row r="52" spans="1:2" x14ac:dyDescent="0.3">
      <c r="A52" t="s">
        <v>74</v>
      </c>
      <c r="B52" s="12" t="str">
        <f>B48</f>
        <v>Kick Scooter, electric, &lt;1kW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specifications'!$B$3:$CK$86,MATCH('lci-kick scooter'!B51,'vehicles specifications'!$A$3:$A$86,0),MATCH("Lifetime [km]",'vehicles specifications'!$B$2:$CK$2,0))</f>
        <v>1785</v>
      </c>
    </row>
    <row r="57" spans="1:2" x14ac:dyDescent="0.3">
      <c r="A57" t="s">
        <v>133</v>
      </c>
      <c r="B57">
        <f>INDEX('vehicles specifications'!$B$3:$CK$86,MATCH('lci-kick scooter'!B51,'vehicles specifications'!$A$3:$A$86,0),MATCH("Passengers [unit]",'vehicles specifications'!$B$2:$CK$2,0))</f>
        <v>1</v>
      </c>
    </row>
    <row r="58" spans="1:2" x14ac:dyDescent="0.3">
      <c r="A58" t="s">
        <v>134</v>
      </c>
      <c r="B58">
        <f>INDEX('vehicles specifications'!$B$3:$CK$86,MATCH('lci-kick scooter'!B51,'vehicles specifications'!$A$3:$A$86,0),MATCH("Servicing [unit]",'vehicles specifications'!$B$2:$CK$2,0))</f>
        <v>0.44624999999999998</v>
      </c>
    </row>
    <row r="59" spans="1:2" x14ac:dyDescent="0.3">
      <c r="A59" t="s">
        <v>135</v>
      </c>
      <c r="B59">
        <f>INDEX('vehicles specifications'!$B$3:$CK$86,MATCH('lci-kick scooter'!B51,'vehicles specifications'!$A$3:$A$86,0),MATCH("Energy battery replacement [unit]",'vehicles specifications'!$B$2:$CK$2,0))</f>
        <v>0</v>
      </c>
    </row>
    <row r="60" spans="1:2" x14ac:dyDescent="0.3">
      <c r="A60" t="s">
        <v>136</v>
      </c>
      <c r="B60">
        <f>INDEX('vehicles specifications'!$B$3:$CK$86,MATCH('lci-kick scooter'!B51,'vehicles specifications'!$A$3:$A$86,0),MATCH("Annual kilometers [km]",'vehicles specifications'!$B$2:$CK$2,0))</f>
        <v>890</v>
      </c>
    </row>
    <row r="61" spans="1:2" x14ac:dyDescent="0.3">
      <c r="A61" t="s">
        <v>137</v>
      </c>
      <c r="B61">
        <f>INDEX('vehicles specifications'!$B$3:$CK$86,MATCH('lci-kick scooter'!B51,'vehicles specifications'!$A$3:$A$86,0),MATCH("Curb mass [kg]",'vehicles specifications'!$B$2:$CK$2,0))</f>
        <v>11.856666666666666</v>
      </c>
    </row>
    <row r="62" spans="1:2" x14ac:dyDescent="0.3">
      <c r="A62" t="s">
        <v>138</v>
      </c>
      <c r="B62">
        <f>INDEX('vehicles specifications'!$B$3:$CK$86,MATCH('lci-kick scooter'!B51,'vehicles specifications'!$A$3:$A$86,0),MATCH("Power [kW]",'vehicles specifications'!$B$2:$CK$2,0))</f>
        <v>0.25</v>
      </c>
    </row>
    <row r="63" spans="1:2" x14ac:dyDescent="0.3">
      <c r="A63" t="s">
        <v>139</v>
      </c>
      <c r="B63">
        <f>INDEX('vehicles specifications'!$B$3:$CK$86,MATCH('lci-kick scooter'!B51,'vehicles specifications'!$A$3:$A$86,0),MATCH("Energy battery mass [kg]",'vehicles specifications'!$B$2:$CK$2,0))</f>
        <v>2.166666666666667</v>
      </c>
    </row>
    <row r="64" spans="1:2" x14ac:dyDescent="0.3">
      <c r="A64" t="s">
        <v>140</v>
      </c>
      <c r="B64" s="21">
        <f>INDEX('vehicles specifications'!$B$3:$CK$86,MATCH('lci-kick scooter'!B51,'vehicles specifications'!$A$3:$A$86,0),MATCH("Electric energy stored [kWh]",'vehicles specifications'!$B$2:$CK$2,0))</f>
        <v>0.5</v>
      </c>
    </row>
    <row r="65" spans="1:8" s="21" customFormat="1" x14ac:dyDescent="0.3">
      <c r="A65" s="21" t="s">
        <v>654</v>
      </c>
      <c r="B65" s="21">
        <f>INDEX('vehicles specifications'!$B$3:$CK$86,MATCH('lci-kick scooter'!B51,'vehicles specifications'!$A$3:$A$86,0),MATCH("Electric energy available [kWh]",'vehicles specifications'!$B$2:$CK$2,0))</f>
        <v>0.4</v>
      </c>
    </row>
    <row r="66" spans="1:8" x14ac:dyDescent="0.3">
      <c r="A66" t="s">
        <v>143</v>
      </c>
      <c r="B66">
        <f>INDEX('vehicles specifications'!$B$3:$CK$86,MATCH('lci-kick scooter'!B51,'vehicles specifications'!$A$3:$A$86,0),MATCH("Oxydation energy stored [kWh]",'vehicles specifications'!$B$2:$CK$2,0))</f>
        <v>0</v>
      </c>
    </row>
    <row r="67" spans="1:8" x14ac:dyDescent="0.3">
      <c r="A67" t="s">
        <v>145</v>
      </c>
      <c r="B67">
        <f>INDEX('vehicles specifications'!$B$3:$CK$86,MATCH('lci-kick scooter'!B51,'vehicles specifications'!$A$3:$A$86,0),MATCH("Fuel mass [kg]",'vehicles specifications'!$B$2:$CK$2,0))</f>
        <v>0</v>
      </c>
    </row>
    <row r="68" spans="1:8" x14ac:dyDescent="0.3">
      <c r="A68" t="s">
        <v>141</v>
      </c>
      <c r="B68">
        <f>INDEX('vehicles specifications'!$B$3:$CK$86,MATCH('lci-kick scooter'!B51,'vehicles specifications'!$A$3:$A$86,0),MATCH("Range [km]",'vehicles specifications'!$B$2:$CK$2,0))</f>
        <v>16.719626168224298</v>
      </c>
    </row>
    <row r="69" spans="1:8" x14ac:dyDescent="0.3">
      <c r="A69" t="s">
        <v>142</v>
      </c>
      <c r="B69" t="str">
        <f>INDEX('vehicles specifications'!$B$3:$CK$86,MATCH('lci-kick scooter'!B51,'vehicles specifications'!$A$3:$A$86,0),MATCH("Emission standard",'vehicles specifications'!$B$2:$CK$2,0))</f>
        <v>None</v>
      </c>
    </row>
    <row r="70" spans="1:8" x14ac:dyDescent="0.3">
      <c r="A70" t="s">
        <v>144</v>
      </c>
      <c r="B70" s="6">
        <f>INDEX('vehicles specifications'!$B$3:$CK$86,MATCH('lci-kick scooter'!B51,'vehicles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0.25 kW. Lifetime: 1785 km. Annual kilometers: 890 km. Number of passengers: 1. Curb mass: 11.9 kg. Lightweighting of glider: 3%. Emission standard: None. Service visits throughout lifetime: 0.4. Range: 17 km. Battery capacity: 0.5 kWh. Available battery capacity: 0.4 kWh. Battery mass: 2.2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Kick Scooter, electric, &lt;1kW, 2030</v>
      </c>
      <c r="B77" s="12">
        <v>1</v>
      </c>
      <c r="C77" s="12" t="str">
        <f>B47</f>
        <v>CH</v>
      </c>
      <c r="D77" s="12" t="str">
        <f>B54</f>
        <v>unit</v>
      </c>
      <c r="E77" s="12"/>
      <c r="F77" s="12" t="s">
        <v>85</v>
      </c>
      <c r="G77" s="12" t="s">
        <v>86</v>
      </c>
      <c r="H77" s="12" t="str">
        <f>B52</f>
        <v>Kick Scooter, electric, &lt;1kW</v>
      </c>
    </row>
    <row r="78" spans="1:8" x14ac:dyDescent="0.3">
      <c r="A78" s="12" t="str">
        <f>INDEX('ei names mapping'!$B$4:$R$33,MATCH('lci-kick scooter'!$B$5,'ei names mapping'!$A$4:$A$33,0),MATCH('lci-kick scooter'!$G78,'ei names mapping'!$B$3:$R$3,0))</f>
        <v>bicycle production</v>
      </c>
      <c r="B78" s="14">
        <f>INDEX('vehicles specifications'!$B$3:$CK$86,MATCH(B51,'vehicles specifications'!$A$3:$A$86,0),MATCH(G78,'vehicles specifications'!$B$2:$CK$2,0))*INDEX('ei names mapping'!$B$137:$BK$220,MATCH(B51,'ei names mapping'!$A$137:$A$220,0),MATCH(G78,'ei names mapping'!$B$136:$BK$136,0))</f>
        <v>0.41176470588235292</v>
      </c>
      <c r="C78" s="12" t="str">
        <f>INDEX('ei names mapping'!$B$38:$R$67,MATCH('lci-kick scooter'!$B$5,'ei names mapping'!$A$4:$A$33,0),MATCH('lci-kick scooter'!$G78,'ei names mapping'!$B$3:$R$3,0))</f>
        <v>RER</v>
      </c>
      <c r="D78" s="12" t="str">
        <f>INDEX('ei names mapping'!$B$104:$R$133,MATCH('lci-kick scooter'!$B$5,'ei names mapping'!$A$4:$A$33,0),MATCH('lci-kick scooter'!$G78,'ei names mapping'!$B$3:$R$3,0))</f>
        <v>unit</v>
      </c>
      <c r="E78" s="12"/>
      <c r="F78" s="12" t="s">
        <v>91</v>
      </c>
      <c r="G78" s="21" t="s">
        <v>15</v>
      </c>
      <c r="H78" s="12" t="str">
        <f>INDEX('ei names mapping'!$B$71:$R$100,MATCH('lci-kick scooter'!$B$5,'ei names mapping'!$A$4:$A$33,0),MATCH('lci-kick scooter'!$G78,'ei names mapping'!$B$3:$R$3,0))</f>
        <v>bicycle</v>
      </c>
    </row>
    <row r="79" spans="1:8" x14ac:dyDescent="0.3">
      <c r="A79" s="12" t="str">
        <f>INDEX('ei names mapping'!$B$4:$R$33,MATCH('lci-kick scooter'!$B$5,'ei names mapping'!$A$4:$A$33,0),MATCH('lci-kick scooter'!$G79,'ei names mapping'!$B$3:$R$3,0))</f>
        <v>market for electric motor, vehicle</v>
      </c>
      <c r="B79" s="14">
        <f>INDEX('vehicles specifications'!$B$3:$CK$86,MATCH(B51,'vehicles specifications'!$A$3:$A$86,0),MATCH(G79,'vehicles specifications'!$B$2:$CK$2,0))*INDEX('ei names mapping'!$B$137:$BK$220,MATCH(B51,'ei names mapping'!$A$137:$A$220,0),MATCH(G79,'ei names mapping'!$B$136:$BK$136,0))</f>
        <v>2.9</v>
      </c>
      <c r="C79" s="12" t="str">
        <f>INDEX('ei names mapping'!$B$38:$R$67,MATCH('lci-kick scooter'!$B$5,'ei names mapping'!$A$4:$A$33,0),MATCH('lci-kick scooter'!$G79,'ei names mapping'!$B$3:$R$3,0))</f>
        <v>GLO</v>
      </c>
      <c r="D79" s="12" t="str">
        <f>INDEX('ei names mapping'!$B$104:$R$133,MATCH('lci-kick scooter'!$B$5,'ei names mapping'!$A$4:$A$33,0),MATCH('lci-kick scooter'!$G79,'ei names mapping'!$B$3:$R$3,0))</f>
        <v>kilogram</v>
      </c>
      <c r="E79" s="12"/>
      <c r="F79" s="12" t="s">
        <v>91</v>
      </c>
      <c r="G79" s="12" t="s">
        <v>557</v>
      </c>
      <c r="H79" s="12" t="str">
        <f>INDEX('ei names mapping'!$B$71:$R$100,MATCH('lci-kick scooter'!$B$5,'ei names mapping'!$A$4:$A$33,0),MATCH('lci-kick scooter'!$G79,'ei names mapping'!$B$3:$R$3,0))</f>
        <v>electric motor, vehicle</v>
      </c>
    </row>
    <row r="80" spans="1:8" s="21" customFormat="1" x14ac:dyDescent="0.3">
      <c r="A80" s="12" t="str">
        <f>INDEX('ei names mapping'!$B$4:$R$33,MATCH(B48,'ei names mapping'!$A$4:$A$33,0),MATCH(G80,'ei names mapping'!$B$3:$R$3,0))</f>
        <v>glider lightweighting</v>
      </c>
      <c r="B80" s="16">
        <f>INDEX('vehicles specifications'!$B$3:$CK$86,MATCH(B51,'vehicles specifications'!$A$3:$A$86,0),MATCH(G80,'vehicles specifications'!$B$2:$CK$2,0))*INDEX('ei names mapping'!$B$137:$BK$220,MATCH(B51,'ei names mapping'!$A$137:$A$220,0),MATCH(G80,'ei names mapping'!$B$136:$BK$136,0))</f>
        <v>0.21</v>
      </c>
      <c r="C80" s="12" t="str">
        <f>INDEX('ei names mapping'!$B$38:$R$67,MATCH(B48,'ei names mapping'!$A$4:$A$33,0),MATCH(G80,'ei names mapping'!$B$3:$R$3,0))</f>
        <v>GLO</v>
      </c>
      <c r="D80" s="12" t="str">
        <f>INDEX('ei names mapping'!$B$104:$R$133,MATCH(B48,'ei names mapping'!$A$4:$A$33,0),MATCH(G80,'ei names mapping'!$B$3:$R$3,0))</f>
        <v>kilogram</v>
      </c>
      <c r="E80" s="12"/>
      <c r="F80" s="12" t="s">
        <v>91</v>
      </c>
      <c r="G80" s="21" t="s">
        <v>14</v>
      </c>
      <c r="H80" s="12" t="str">
        <f>INDEX('ei names mapping'!$B$71:$R$100,MATCH(B48,'ei names mapping'!$A$4:$A$33,0),MATCH(G80,'ei names mapping'!$B$3:$R$3,0))</f>
        <v>glider lightweighting</v>
      </c>
    </row>
    <row r="81" spans="1:8" x14ac:dyDescent="0.3">
      <c r="A81" s="12" t="str">
        <f>INDEX('ei names mapping'!$B$4:$R$33,MATCH('lci-kick scooter'!$B$5,'ei names mapping'!$A$4:$A$33,0),MATCH('lci-kick scooter'!$G81,'ei names mapping'!$B$3:$R$3,0))</f>
        <v>Battery cell, NMC</v>
      </c>
      <c r="B81" s="14">
        <f>INDEX('vehicles specifications'!$B$3:$CK$86,MATCH(B51,'vehicles specifications'!$A$3:$A$86,0),MATCH(G81,'vehicles specifications'!$B$2:$CK$2,0))*INDEX('ei names mapping'!$B$137:$BK$220,MATCH(B51,'ei names mapping'!$A$137:$A$220,0),MATCH(G81,'ei names mapping'!$B$136:$BK$136,0))</f>
        <v>1.6666666666666667</v>
      </c>
      <c r="C81" s="12" t="str">
        <f>INDEX('ei names mapping'!$B$38:$R$67,MATCH('lci-kick scooter'!$B$5,'ei names mapping'!$A$4:$A$33,0),MATCH('lci-kick scooter'!$G81,'ei names mapping'!$B$3:$R$3,0))</f>
        <v>GLO</v>
      </c>
      <c r="D81" s="12" t="str">
        <f>INDEX('ei names mapping'!$B$104:$R$133,MATCH('lci-kick scooter'!$B$5,'ei names mapping'!$A$4:$A$33,0),MATCH('lci-kick scooter'!$G81,'ei names mapping'!$B$3:$R$3,0))</f>
        <v>kilogram</v>
      </c>
      <c r="E81" s="12"/>
      <c r="F81" s="12" t="s">
        <v>91</v>
      </c>
      <c r="G81" s="12" t="s">
        <v>19</v>
      </c>
      <c r="H81" s="12" t="str">
        <f>INDEX('ei names mapping'!$B$71:$R$100,MATCH('lci-kick scooter'!$B$5,'ei names mapping'!$A$4:$A$33,0),MATCH('lci-kick scooter'!$G81,'ei names mapping'!$B$3:$R$3,0))</f>
        <v>Battery cell</v>
      </c>
    </row>
    <row r="82" spans="1:8" x14ac:dyDescent="0.3">
      <c r="A82" s="12" t="str">
        <f>INDEX('ei names mapping'!$B$4:$R$33,MATCH('lci-kick scooter'!$B$5,'ei names mapping'!$A$4:$A$33,0),MATCH('lci-kick scooter'!$G82,'ei names mapping'!$B$3:$R$3,0))</f>
        <v>Battery BoP</v>
      </c>
      <c r="B82" s="14">
        <f>INDEX('vehicles specifications'!$B$3:$CK$86,MATCH(B51,'vehicles specifications'!$A$3:$A$86,0),MATCH(G82,'vehicles specifications'!$B$2:$CK$2,0))*INDEX('ei names mapping'!$B$137:$BK$220,MATCH(B51,'ei names mapping'!$A$137:$A$220,0),MATCH(G82,'ei names mapping'!$B$136:$BK$136,0))</f>
        <v>0.5</v>
      </c>
      <c r="C82" s="12" t="str">
        <f>INDEX('ei names mapping'!$B$38:$R$67,MATCH('lci-kick scooter'!$B$5,'ei names mapping'!$A$4:$A$33,0),MATCH('lci-kick scooter'!$G82,'ei names mapping'!$B$3:$R$3,0))</f>
        <v>GLO</v>
      </c>
      <c r="D82" s="12" t="str">
        <f>INDEX('ei names mapping'!$B$104:$R$133,MATCH('lci-kick scooter'!$B$5,'ei names mapping'!$A$4:$A$33,0),MATCH('lci-kick scooter'!$G82,'ei names mapping'!$B$3:$R$3,0))</f>
        <v>kilogram</v>
      </c>
      <c r="E82" s="12"/>
      <c r="F82" s="12" t="s">
        <v>91</v>
      </c>
      <c r="G82" s="12" t="s">
        <v>20</v>
      </c>
      <c r="H82" s="12" t="str">
        <f>INDEX('ei names mapping'!$B$71:$R$100,MATCH('lci-kick scooter'!$B$5,'ei names mapping'!$A$4:$A$33,0),MATCH('lci-kick scooter'!$G82,'ei names mapping'!$B$3:$R$3,0))</f>
        <v>Battery BoP</v>
      </c>
    </row>
    <row r="83" spans="1:8" x14ac:dyDescent="0.3">
      <c r="A83" s="12" t="str">
        <f>INDEX('ei names mapping'!$B$4:$R$33,MATCH('lci-kick scooter'!$B$5,'ei names mapping'!$A$4:$A$33,0),MATCH('lci-kick scooter'!$G83,'ei names mapping'!$B$3:$R$3,0))</f>
        <v>charging station, 100W</v>
      </c>
      <c r="B83" s="14">
        <f>INDEX('vehicles specifications'!$B$3:$CK$86,MATCH(B51,'vehicles specifications'!$A$3:$A$86,0),MATCH(G83,'vehicles specifications'!$B$2:$CK$2,0))*INDEX('ei names mapping'!$B$137:$BK$220,MATCH(B51,'ei names mapping'!$A$137:$A$220,0),MATCH(G83,'ei names mapping'!$B$136:$BK$136,0))</f>
        <v>1</v>
      </c>
      <c r="C83" s="12" t="str">
        <f>INDEX('ei names mapping'!$B$38:$R$67,MATCH('lci-kick scooter'!$B$5,'ei names mapping'!$A$4:$A$33,0),MATCH('lci-kick scooter'!$G83,'ei names mapping'!$B$3:$R$3,0))</f>
        <v>GLO</v>
      </c>
      <c r="D83" s="12" t="str">
        <f>INDEX('ei names mapping'!$B$104:$R$133,MATCH('lci-kick scooter'!$B$5,'ei names mapping'!$A$4:$A$33,0),MATCH('lci-kick scooter'!$G83,'ei names mapping'!$B$3:$R$3,0))</f>
        <v>unit</v>
      </c>
      <c r="F83" s="12" t="s">
        <v>91</v>
      </c>
      <c r="G83" t="s">
        <v>53</v>
      </c>
      <c r="H83" s="12" t="str">
        <f>INDEX('ei names mapping'!$B$71:$R$100,MATCH('lci-kick scooter'!$B$5,'ei names mapping'!$A$4:$A$33,0),MATCH('lci-kick scooter'!$G83,'ei names mapping'!$B$3:$R$3,0))</f>
        <v>charging station, 100W</v>
      </c>
    </row>
    <row r="84" spans="1:8" x14ac:dyDescent="0.3">
      <c r="A84" s="12" t="str">
        <f>INDEX('ei names mapping'!$B$4:$R$33,MATCH('lci-kick scooter'!$B$5,'ei names mapping'!$A$4:$A$33,0),MATCH('lci-kick scooter'!$G84,'ei names mapping'!$B$3:$R$3,0))</f>
        <v>treatment of used electric bicycle</v>
      </c>
      <c r="B84" s="14">
        <f>INDEX('vehicles specifications'!$B$3:$CK$86,MATCH(B51,'vehicles specifications'!$A$3:$A$86,0),MATCH(G84,'vehicles specifications'!$B$2:$CK$2,0))*INDEX('ei names mapping'!$B$137:$BK$220,MATCH(B51,'ei names mapping'!$A$137:$A$220,0),MATCH(G84,'ei names mapping'!$B$136:$BK$136,0))</f>
        <v>-0.12083333333333332</v>
      </c>
      <c r="C84" s="12" t="str">
        <f>INDEX('ei names mapping'!$B$38:$R$67,MATCH('lci-kick scooter'!$B$5,'ei names mapping'!$A$4:$A$33,0),MATCH('lci-kick scooter'!$G84,'ei names mapping'!$B$3:$R$3,0))</f>
        <v>CH</v>
      </c>
      <c r="D84" s="12" t="str">
        <f>INDEX('ei names mapping'!$B$104:$R$133,MATCH('lci-kick scooter'!$B$5,'ei names mapping'!$A$4:$A$33,0),MATCH('lci-kick scooter'!$G84,'ei names mapping'!$B$3:$R$3,0))</f>
        <v>unit</v>
      </c>
      <c r="F84" s="12" t="s">
        <v>91</v>
      </c>
      <c r="G84" t="s">
        <v>151</v>
      </c>
      <c r="H84" s="12" t="str">
        <f>INDEX('ei names mapping'!$B$71:$R$100,MATCH('lci-kick scooter'!$B$5,'ei names mapping'!$A$4:$A$33,0),MATCH('lci-kick scooter'!$G84,'ei names mapping'!$B$3:$R$3,0))</f>
        <v>used electric bicycle</v>
      </c>
    </row>
    <row r="85" spans="1:8" x14ac:dyDescent="0.3">
      <c r="A85" s="12" t="str">
        <f>INDEX('ei names mapping'!$B$4:$R$33,MATCH('lci-kick scooter'!$B$5,'ei names mapping'!$A$4:$A$33,0),MATCH('lci-kick scooter'!$G85,'ei names mapping'!$B$3:$R$3,0))</f>
        <v>market for used Li-ion battery</v>
      </c>
      <c r="B85" s="14">
        <f>INDEX('vehicles specifications'!$B$3:$CK$86,MATCH(B51,'vehicles specifications'!$A$3:$A$86,0),MATCH(G85,'vehicles specifications'!$B$2:$CK$2,0))*INDEX('ei names mapping'!$B$137:$BK$220,MATCH(B51,'ei names mapping'!$A$137:$A$220,0),MATCH(G85,'ei names mapping'!$B$136:$BK$136,0))</f>
        <v>-2.166666666666667</v>
      </c>
      <c r="C85" s="12" t="str">
        <f>INDEX('ei names mapping'!$B$38:$R$67,MATCH('lci-kick scooter'!$B$5,'ei names mapping'!$A$4:$A$33,0),MATCH('lci-kick scooter'!$G85,'ei names mapping'!$B$3:$R$3,0))</f>
        <v>GLO</v>
      </c>
      <c r="D85" s="12" t="str">
        <f>INDEX('ei names mapping'!$B$104:$R$133,MATCH('lci-kick scooter'!$B$5,'ei names mapping'!$A$4:$A$33,0),MATCH('lci-kick scooter'!$G85,'ei names mapping'!$B$3:$R$3,0))</f>
        <v>kilogram</v>
      </c>
      <c r="F85" s="12" t="s">
        <v>91</v>
      </c>
      <c r="G85" t="s">
        <v>152</v>
      </c>
      <c r="H85" s="12" t="str">
        <f>INDEX('ei names mapping'!$B$71:$R$100,MATCH('lci-kick scooter'!$B$5,'ei names mapping'!$A$4:$A$33,0),MATCH('lci-kick scooter'!$G85,'ei names mapping'!$B$3:$R$3,0))</f>
        <v>used Li-ion battery</v>
      </c>
    </row>
    <row r="86" spans="1:8" s="21" customFormat="1" x14ac:dyDescent="0.3">
      <c r="A86" s="22" t="s">
        <v>468</v>
      </c>
      <c r="B86" s="21">
        <f>(B61/1000)*B73</f>
        <v>11.856666666666666</v>
      </c>
      <c r="C86" s="21" t="s">
        <v>94</v>
      </c>
      <c r="D86" s="21" t="s">
        <v>243</v>
      </c>
      <c r="F86" s="21" t="s">
        <v>91</v>
      </c>
      <c r="H86" s="22" t="s">
        <v>469</v>
      </c>
    </row>
    <row r="87" spans="1:8" s="21" customFormat="1" x14ac:dyDescent="0.3">
      <c r="A87" s="22" t="s">
        <v>467</v>
      </c>
      <c r="B87" s="2">
        <f>(B61/1000)*B72</f>
        <v>188.52099999999999</v>
      </c>
      <c r="C87" s="21" t="s">
        <v>98</v>
      </c>
      <c r="D87" s="21" t="s">
        <v>243</v>
      </c>
      <c r="F87" s="21" t="s">
        <v>91</v>
      </c>
      <c r="H87" s="22" t="s">
        <v>467</v>
      </c>
    </row>
    <row r="89" spans="1:8" ht="15.6" x14ac:dyDescent="0.3">
      <c r="A89" s="11" t="s">
        <v>72</v>
      </c>
      <c r="B89" s="9" t="str">
        <f>B91&amp;", "&amp;B93</f>
        <v>Kick Scooter, electric, &lt;1kW, 2040</v>
      </c>
    </row>
    <row r="90" spans="1:8" x14ac:dyDescent="0.3">
      <c r="A90" t="s">
        <v>73</v>
      </c>
      <c r="B90" t="s">
        <v>37</v>
      </c>
    </row>
    <row r="91" spans="1:8" x14ac:dyDescent="0.3">
      <c r="A91" t="s">
        <v>87</v>
      </c>
      <c r="B91" s="12" t="s">
        <v>688</v>
      </c>
    </row>
    <row r="92" spans="1:8" x14ac:dyDescent="0.3">
      <c r="A92" t="s">
        <v>88</v>
      </c>
      <c r="B92" s="12"/>
    </row>
    <row r="93" spans="1:8" x14ac:dyDescent="0.3">
      <c r="A93" t="s">
        <v>89</v>
      </c>
      <c r="B93" s="12">
        <v>2040</v>
      </c>
    </row>
    <row r="94" spans="1:8" x14ac:dyDescent="0.3">
      <c r="A94" t="s">
        <v>131</v>
      </c>
      <c r="B94" s="12" t="str">
        <f>B91&amp;" - "&amp;B93&amp;" - "&amp;B90</f>
        <v>Kick Scooter, electric, &lt;1kW - 2040 - CH</v>
      </c>
    </row>
    <row r="95" spans="1:8" x14ac:dyDescent="0.3">
      <c r="A95" t="s">
        <v>74</v>
      </c>
      <c r="B95" s="12" t="str">
        <f>B91</f>
        <v>Kick Scooter, electric, &lt;1kW</v>
      </c>
    </row>
    <row r="96" spans="1:8" x14ac:dyDescent="0.3">
      <c r="A96" t="s">
        <v>75</v>
      </c>
      <c r="B96" t="s">
        <v>76</v>
      </c>
    </row>
    <row r="97" spans="1:2" x14ac:dyDescent="0.3">
      <c r="A97" t="s">
        <v>77</v>
      </c>
      <c r="B97" t="s">
        <v>77</v>
      </c>
    </row>
    <row r="98" spans="1:2" x14ac:dyDescent="0.3">
      <c r="A98" t="s">
        <v>79</v>
      </c>
      <c r="B98" t="s">
        <v>90</v>
      </c>
    </row>
    <row r="99" spans="1:2" x14ac:dyDescent="0.3">
      <c r="A99" t="s">
        <v>132</v>
      </c>
      <c r="B99">
        <f>INDEX('vehicles specifications'!$B$3:$CK$86,MATCH('lci-kick scooter'!B94,'vehicles specifications'!$A$3:$A$86,0),MATCH("Lifetime [km]",'vehicles specifications'!$B$2:$CK$2,0))</f>
        <v>1785</v>
      </c>
    </row>
    <row r="100" spans="1:2" x14ac:dyDescent="0.3">
      <c r="A100" t="s">
        <v>133</v>
      </c>
      <c r="B100">
        <f>INDEX('vehicles specifications'!$B$3:$CK$86,MATCH('lci-kick scooter'!B94,'vehicles specifications'!$A$3:$A$86,0),MATCH("Passengers [unit]",'vehicles specifications'!$B$2:$CK$2,0))</f>
        <v>1</v>
      </c>
    </row>
    <row r="101" spans="1:2" x14ac:dyDescent="0.3">
      <c r="A101" t="s">
        <v>134</v>
      </c>
      <c r="B101">
        <f>INDEX('vehicles specifications'!$B$3:$CK$86,MATCH('lci-kick scooter'!B94,'vehicles specifications'!$A$3:$A$86,0),MATCH("Servicing [unit]",'vehicles specifications'!$B$2:$CK$2,0))</f>
        <v>0.44624999999999998</v>
      </c>
    </row>
    <row r="102" spans="1:2" x14ac:dyDescent="0.3">
      <c r="A102" t="s">
        <v>135</v>
      </c>
      <c r="B102">
        <f>INDEX('vehicles specifications'!$B$3:$CK$86,MATCH('lci-kick scooter'!B94,'vehicles specifications'!$A$3:$A$86,0),MATCH("Energy battery replacement [unit]",'vehicles specifications'!$B$2:$CK$2,0))</f>
        <v>0</v>
      </c>
    </row>
    <row r="103" spans="1:2" x14ac:dyDescent="0.3">
      <c r="A103" t="s">
        <v>136</v>
      </c>
      <c r="B103">
        <f>INDEX('vehicles specifications'!$B$3:$CK$86,MATCH('lci-kick scooter'!B94,'vehicles specifications'!$A$3:$A$86,0),MATCH("Annual kilometers [km]",'vehicles specifications'!$B$2:$CK$2,0))</f>
        <v>890</v>
      </c>
    </row>
    <row r="104" spans="1:2" x14ac:dyDescent="0.3">
      <c r="A104" t="s">
        <v>137</v>
      </c>
      <c r="B104">
        <f>INDEX('vehicles specifications'!$B$3:$CK$86,MATCH('lci-kick scooter'!B94,'vehicles specifications'!$A$3:$A$86,0),MATCH("Curb mass [kg]",'vehicles specifications'!$B$2:$CK$2,0))</f>
        <v>12.049999999999999</v>
      </c>
    </row>
    <row r="105" spans="1:2" x14ac:dyDescent="0.3">
      <c r="A105" t="s">
        <v>138</v>
      </c>
      <c r="B105">
        <f>INDEX('vehicles specifications'!$B$3:$CK$86,MATCH('lci-kick scooter'!B94,'vehicles specifications'!$A$3:$A$86,0),MATCH("Power [kW]",'vehicles specifications'!$B$2:$CK$2,0))</f>
        <v>0.25</v>
      </c>
    </row>
    <row r="106" spans="1:2" x14ac:dyDescent="0.3">
      <c r="A106" t="s">
        <v>139</v>
      </c>
      <c r="B106">
        <f>INDEX('vehicles specifications'!$B$3:$CK$86,MATCH('lci-kick scooter'!B94,'vehicles specifications'!$A$3:$A$86,0),MATCH("Energy battery mass [kg]",'vehicles specifications'!$B$2:$CK$2,0))</f>
        <v>2.6</v>
      </c>
    </row>
    <row r="107" spans="1:2" x14ac:dyDescent="0.3">
      <c r="A107" t="s">
        <v>140</v>
      </c>
      <c r="B107" s="21">
        <f>INDEX('vehicles specifications'!$B$3:$CK$86,MATCH('lci-kick scooter'!B94,'vehicles specifications'!$A$3:$A$86,0),MATCH("Electric energy stored [kWh]",'vehicles specifications'!$B$2:$CK$2,0))</f>
        <v>0.8</v>
      </c>
    </row>
    <row r="108" spans="1:2" s="21" customFormat="1" x14ac:dyDescent="0.3">
      <c r="A108" s="21" t="s">
        <v>654</v>
      </c>
      <c r="B108" s="21">
        <f>INDEX('vehicles specifications'!$B$3:$CK$86,MATCH('lci-kick scooter'!B94,'vehicles specifications'!$A$3:$A$86,0),MATCH("Electric energy available [kWh]",'vehicles specifications'!$B$2:$CK$2,0))</f>
        <v>0.64000000000000012</v>
      </c>
    </row>
    <row r="109" spans="1:2" x14ac:dyDescent="0.3">
      <c r="A109" t="s">
        <v>143</v>
      </c>
      <c r="B109">
        <f>INDEX('vehicles specifications'!$B$3:$CK$86,MATCH('lci-kick scooter'!B94,'vehicles specifications'!$A$3:$A$86,0),MATCH("Oxydation energy stored [kWh]",'vehicles specifications'!$B$2:$CK$2,0))</f>
        <v>0</v>
      </c>
    </row>
    <row r="110" spans="1:2" x14ac:dyDescent="0.3">
      <c r="A110" t="s">
        <v>145</v>
      </c>
      <c r="B110">
        <f>INDEX('vehicles specifications'!$B$3:$CK$86,MATCH('lci-kick scooter'!B94,'vehicles specifications'!$A$3:$A$86,0),MATCH("Fuel mass [kg]",'vehicles specifications'!$B$2:$CK$2,0))</f>
        <v>0</v>
      </c>
    </row>
    <row r="111" spans="1:2" x14ac:dyDescent="0.3">
      <c r="A111" t="s">
        <v>141</v>
      </c>
      <c r="B111">
        <f>INDEX('vehicles specifications'!$B$3:$CK$86,MATCH('lci-kick scooter'!B94,'vehicles specifications'!$A$3:$A$86,0),MATCH("Range [km]",'vehicles specifications'!$B$2:$CK$2,0))</f>
        <v>26.751401869158883</v>
      </c>
    </row>
    <row r="112" spans="1:2" x14ac:dyDescent="0.3">
      <c r="A112" t="s">
        <v>142</v>
      </c>
      <c r="B112" t="str">
        <f>INDEX('vehicles specifications'!$B$3:$CK$86,MATCH('lci-kick scooter'!B94,'vehicles specifications'!$A$3:$A$86,0),MATCH("Emission standard",'vehicles specifications'!$B$2:$CK$2,0))</f>
        <v>None</v>
      </c>
    </row>
    <row r="113" spans="1:8" x14ac:dyDescent="0.3">
      <c r="A113" t="s">
        <v>144</v>
      </c>
      <c r="B113" s="6">
        <f>INDEX('vehicles specifications'!$B$3:$CK$86,MATCH('lci-kick scooter'!B94,'vehicles specifications'!$A$3:$A$86,0),MATCH("Lightweighting rate [%]",'vehicles specifications'!$B$2:$CK$2,0))</f>
        <v>0.05</v>
      </c>
    </row>
    <row r="114" spans="1:8" s="21" customFormat="1" x14ac:dyDescent="0.3">
      <c r="A114" s="21" t="s">
        <v>513</v>
      </c>
      <c r="B114" s="6" t="s">
        <v>514</v>
      </c>
    </row>
    <row r="115" spans="1:8" s="21" customFormat="1" x14ac:dyDescent="0.3">
      <c r="A115" s="21" t="s">
        <v>515</v>
      </c>
      <c r="B115" s="2">
        <v>15900</v>
      </c>
    </row>
    <row r="116" spans="1:8" s="21" customFormat="1" x14ac:dyDescent="0.3">
      <c r="A116" s="21" t="s">
        <v>516</v>
      </c>
      <c r="B116" s="2">
        <v>1000</v>
      </c>
    </row>
    <row r="117" spans="1:8" s="21" customFormat="1" x14ac:dyDescent="0.3">
      <c r="A117" s="21" t="s">
        <v>84</v>
      </c>
      <c r="B117" s="21" t="str">
        <f>"Power: "&amp;B105&amp;" kW. Lifetime: "&amp;B99&amp;" km. Annual kilometers: "&amp;ROUND(B103,0)&amp;" km. Number of passengers: "&amp;ROUND(B100,1)&amp;". Curb mass: "&amp;ROUND(B104,1)&amp;" kg. Lightweighting of glider: "&amp;ROUND(B113*100,0)&amp;"%. Emission standard: "&amp;B112&amp;". Service visits throughout lifetime: "&amp;ROUND(B101,1)&amp;". Range: "&amp;ROUND(B111,0)&amp;" km. Battery capacity: "&amp;ROUND(B107,1)&amp;" kWh. Available battery capacity: "&amp;B108&amp;" kWh. Battery mass: "&amp;ROUND(B106,1)&amp; " kg. Battery replacement throughout lifetime: "&amp;ROUND(B102,1)&amp;". Fuel tank capacity: "&amp;ROUND(B109,1)&amp;" kWh. Fuel mass: "&amp;ROUND(B110,1)&amp;" kg. Origin of manufacture: "&amp;B114&amp;". Shipping distance: "&amp;B115&amp;" km. Lorry distribution distance: "&amp;B116&amp;" km. Documentation: "&amp;Readmefirst!$B$2&amp;", "&amp;Readmefirst!$B$3&amp;". "&amp;'lci-kick scooter'!B98</f>
        <v>Power: 0.25 kW. Lifetime: 1785 km. Annual kilometers: 890 km. Number of passengers: 1. Curb mass: 12.1 kg. Lightweighting of glider: 5%. Emission standard: None. Service visits throughout lifetime: 0.4. Range: 27 km. Battery capacity: 0.8 kWh. Available battery capacity: 0.64 kWh. Battery mass: 2.6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18" spans="1:8" ht="15.6" x14ac:dyDescent="0.3">
      <c r="A118" s="11" t="s">
        <v>80</v>
      </c>
    </row>
    <row r="119" spans="1:8" x14ac:dyDescent="0.3">
      <c r="A119" t="s">
        <v>81</v>
      </c>
      <c r="B119" t="s">
        <v>82</v>
      </c>
      <c r="C119" t="s">
        <v>73</v>
      </c>
      <c r="D119" t="s">
        <v>77</v>
      </c>
      <c r="E119" t="s">
        <v>83</v>
      </c>
      <c r="F119" t="s">
        <v>75</v>
      </c>
      <c r="G119" t="s">
        <v>84</v>
      </c>
      <c r="H119" t="s">
        <v>74</v>
      </c>
    </row>
    <row r="120" spans="1:8" x14ac:dyDescent="0.3">
      <c r="A120" s="12" t="str">
        <f>B89</f>
        <v>Kick Scooter, electric, &lt;1kW, 2040</v>
      </c>
      <c r="B120" s="12">
        <v>1</v>
      </c>
      <c r="C120" s="12" t="str">
        <f>B90</f>
        <v>CH</v>
      </c>
      <c r="D120" s="12" t="str">
        <f>B97</f>
        <v>unit</v>
      </c>
      <c r="E120" s="12"/>
      <c r="F120" s="12" t="s">
        <v>85</v>
      </c>
      <c r="G120" s="12" t="s">
        <v>86</v>
      </c>
      <c r="H120" s="12" t="str">
        <f>B95</f>
        <v>Kick Scooter, electric, &lt;1kW</v>
      </c>
    </row>
    <row r="121" spans="1:8" x14ac:dyDescent="0.3">
      <c r="A121" s="12" t="str">
        <f>INDEX('ei names mapping'!$B$4:$R$33,MATCH('lci-kick scooter'!$B$5,'ei names mapping'!$A$4:$A$33,0),MATCH('lci-kick scooter'!$G121,'ei names mapping'!$B$3:$R$3,0))</f>
        <v>bicycle production</v>
      </c>
      <c r="B121" s="14">
        <f>INDEX('vehicles specifications'!$B$3:$CK$86,MATCH(B94,'vehicles specifications'!$A$3:$A$86,0),MATCH(G121,'vehicles specifications'!$B$2:$CK$2,0))*INDEX('ei names mapping'!$B$137:$BK$220,MATCH(B94,'ei names mapping'!$A$137:$A$220,0),MATCH(G121,'ei names mapping'!$B$136:$BK$136,0))</f>
        <v>0.41176470588235292</v>
      </c>
      <c r="C121" s="12" t="str">
        <f>INDEX('ei names mapping'!$B$38:$R$67,MATCH('lci-kick scooter'!$B$5,'ei names mapping'!$A$4:$A$33,0),MATCH('lci-kick scooter'!$G121,'ei names mapping'!$B$3:$R$3,0))</f>
        <v>RER</v>
      </c>
      <c r="D121" s="12" t="str">
        <f>INDEX('ei names mapping'!$B$104:$R$133,MATCH('lci-kick scooter'!$B$5,'ei names mapping'!$A$4:$A$33,0),MATCH('lci-kick scooter'!$G121,'ei names mapping'!$B$3:$R$3,0))</f>
        <v>unit</v>
      </c>
      <c r="E121" s="12"/>
      <c r="F121" s="12" t="s">
        <v>91</v>
      </c>
      <c r="G121" s="21" t="s">
        <v>15</v>
      </c>
      <c r="H121" s="12" t="str">
        <f>INDEX('ei names mapping'!$B$71:$R$100,MATCH('lci-kick scooter'!$B$5,'ei names mapping'!$A$4:$A$33,0),MATCH('lci-kick scooter'!$G121,'ei names mapping'!$B$3:$R$3,0))</f>
        <v>bicycle</v>
      </c>
    </row>
    <row r="122" spans="1:8" x14ac:dyDescent="0.3">
      <c r="A122" s="12" t="str">
        <f>INDEX('ei names mapping'!$B$4:$R$33,MATCH('lci-kick scooter'!$B$5,'ei names mapping'!$A$4:$A$33,0),MATCH('lci-kick scooter'!$G122,'ei names mapping'!$B$3:$R$3,0))</f>
        <v>market for electric motor, vehicle</v>
      </c>
      <c r="B122" s="14">
        <f>INDEX('vehicles specifications'!$B$3:$CK$86,MATCH(B94,'vehicles specifications'!$A$3:$A$86,0),MATCH(G122,'vehicles specifications'!$B$2:$CK$2,0))*INDEX('ei names mapping'!$B$137:$BK$220,MATCH(B94,'ei names mapping'!$A$137:$A$220,0),MATCH(G122,'ei names mapping'!$B$136:$BK$136,0))</f>
        <v>2.8</v>
      </c>
      <c r="C122" s="12" t="str">
        <f>INDEX('ei names mapping'!$B$38:$R$67,MATCH('lci-kick scooter'!$B$5,'ei names mapping'!$A$4:$A$33,0),MATCH('lci-kick scooter'!$G122,'ei names mapping'!$B$3:$R$3,0))</f>
        <v>GLO</v>
      </c>
      <c r="D122" s="12" t="str">
        <f>INDEX('ei names mapping'!$B$104:$R$133,MATCH('lci-kick scooter'!$B$5,'ei names mapping'!$A$4:$A$33,0),MATCH('lci-kick scooter'!$G122,'ei names mapping'!$B$3:$R$3,0))</f>
        <v>kilogram</v>
      </c>
      <c r="E122" s="12"/>
      <c r="F122" s="12" t="s">
        <v>91</v>
      </c>
      <c r="G122" s="12" t="s">
        <v>557</v>
      </c>
      <c r="H122" s="12" t="str">
        <f>INDEX('ei names mapping'!$B$71:$R$100,MATCH('lci-kick scooter'!$B$5,'ei names mapping'!$A$4:$A$33,0),MATCH('lci-kick scooter'!$G122,'ei names mapping'!$B$3:$R$3,0))</f>
        <v>electric motor, vehicle</v>
      </c>
    </row>
    <row r="123" spans="1:8" s="21" customFormat="1" x14ac:dyDescent="0.3">
      <c r="A123" s="12" t="str">
        <f>INDEX('ei names mapping'!$B$4:$R$33,MATCH(B91,'ei names mapping'!$A$4:$A$33,0),MATCH(G123,'ei names mapping'!$B$3:$R$3,0))</f>
        <v>glider lightweighting</v>
      </c>
      <c r="B123" s="16">
        <f>INDEX('vehicles specifications'!$B$3:$CK$86,MATCH(B94,'vehicles specifications'!$A$3:$A$86,0),MATCH(G123,'vehicles specifications'!$B$2:$CK$2,0))*INDEX('ei names mapping'!$B$137:$BK$220,MATCH(B94,'ei names mapping'!$A$137:$A$220,0),MATCH(G123,'ei names mapping'!$B$136:$BK$136,0))</f>
        <v>0.35000000000000003</v>
      </c>
      <c r="C123" s="12" t="str">
        <f>INDEX('ei names mapping'!$B$38:$R$67,MATCH(B91,'ei names mapping'!$A$4:$A$33,0),MATCH(G123,'ei names mapping'!$B$3:$R$3,0))</f>
        <v>GLO</v>
      </c>
      <c r="D123" s="12" t="str">
        <f>INDEX('ei names mapping'!$B$104:$R$133,MATCH(B91,'ei names mapping'!$A$4:$A$33,0),MATCH(G123,'ei names mapping'!$B$3:$R$3,0))</f>
        <v>kilogram</v>
      </c>
      <c r="E123" s="12"/>
      <c r="F123" s="12" t="s">
        <v>91</v>
      </c>
      <c r="G123" s="21" t="s">
        <v>14</v>
      </c>
      <c r="H123" s="12" t="str">
        <f>INDEX('ei names mapping'!$B$71:$R$100,MATCH(B91,'ei names mapping'!$A$4:$A$33,0),MATCH(G123,'ei names mapping'!$B$3:$R$3,0))</f>
        <v>glider lightweighting</v>
      </c>
    </row>
    <row r="124" spans="1:8" x14ac:dyDescent="0.3">
      <c r="A124" s="12" t="str">
        <f>INDEX('ei names mapping'!$B$4:$R$33,MATCH('lci-kick scooter'!$B$5,'ei names mapping'!$A$4:$A$33,0),MATCH('lci-kick scooter'!$G124,'ei names mapping'!$B$3:$R$3,0))</f>
        <v>Battery cell, NMC</v>
      </c>
      <c r="B124" s="14">
        <f>INDEX('vehicles specifications'!$B$3:$CK$86,MATCH(B94,'vehicles specifications'!$A$3:$A$86,0),MATCH(G124,'vehicles specifications'!$B$2:$CK$2,0))*INDEX('ei names mapping'!$B$137:$BK$220,MATCH(B94,'ei names mapping'!$A$137:$A$220,0),MATCH(G124,'ei names mapping'!$B$136:$BK$136,0))</f>
        <v>2</v>
      </c>
      <c r="C124" s="12" t="str">
        <f>INDEX('ei names mapping'!$B$38:$R$67,MATCH('lci-kick scooter'!$B$5,'ei names mapping'!$A$4:$A$33,0),MATCH('lci-kick scooter'!$G124,'ei names mapping'!$B$3:$R$3,0))</f>
        <v>GLO</v>
      </c>
      <c r="D124" s="12" t="str">
        <f>INDEX('ei names mapping'!$B$104:$R$133,MATCH('lci-kick scooter'!$B$5,'ei names mapping'!$A$4:$A$33,0),MATCH('lci-kick scooter'!$G124,'ei names mapping'!$B$3:$R$3,0))</f>
        <v>kilogram</v>
      </c>
      <c r="E124" s="12"/>
      <c r="F124" s="12" t="s">
        <v>91</v>
      </c>
      <c r="G124" s="12" t="s">
        <v>19</v>
      </c>
      <c r="H124" s="12" t="str">
        <f>INDEX('ei names mapping'!$B$71:$R$100,MATCH('lci-kick scooter'!$B$5,'ei names mapping'!$A$4:$A$33,0),MATCH('lci-kick scooter'!$G124,'ei names mapping'!$B$3:$R$3,0))</f>
        <v>Battery cell</v>
      </c>
    </row>
    <row r="125" spans="1:8" x14ac:dyDescent="0.3">
      <c r="A125" s="12" t="str">
        <f>INDEX('ei names mapping'!$B$4:$R$33,MATCH('lci-kick scooter'!$B$5,'ei names mapping'!$A$4:$A$33,0),MATCH('lci-kick scooter'!$G125,'ei names mapping'!$B$3:$R$3,0))</f>
        <v>Battery BoP</v>
      </c>
      <c r="B125" s="14">
        <f>INDEX('vehicles specifications'!$B$3:$CK$86,MATCH(B94,'vehicles specifications'!$A$3:$A$86,0),MATCH(G125,'vehicles specifications'!$B$2:$CK$2,0))*INDEX('ei names mapping'!$B$137:$BK$220,MATCH(B94,'ei names mapping'!$A$137:$A$220,0),MATCH(G125,'ei names mapping'!$B$136:$BK$136,0))</f>
        <v>0.6</v>
      </c>
      <c r="C125" s="12" t="str">
        <f>INDEX('ei names mapping'!$B$38:$R$67,MATCH('lci-kick scooter'!$B$5,'ei names mapping'!$A$4:$A$33,0),MATCH('lci-kick scooter'!$G125,'ei names mapping'!$B$3:$R$3,0))</f>
        <v>GLO</v>
      </c>
      <c r="D125" s="12" t="str">
        <f>INDEX('ei names mapping'!$B$104:$R$133,MATCH('lci-kick scooter'!$B$5,'ei names mapping'!$A$4:$A$33,0),MATCH('lci-kick scooter'!$G125,'ei names mapping'!$B$3:$R$3,0))</f>
        <v>kilogram</v>
      </c>
      <c r="E125" s="12"/>
      <c r="F125" s="12" t="s">
        <v>91</v>
      </c>
      <c r="G125" s="12" t="s">
        <v>20</v>
      </c>
      <c r="H125" s="12" t="str">
        <f>INDEX('ei names mapping'!$B$71:$R$100,MATCH('lci-kick scooter'!$B$5,'ei names mapping'!$A$4:$A$33,0),MATCH('lci-kick scooter'!$G125,'ei names mapping'!$B$3:$R$3,0))</f>
        <v>Battery BoP</v>
      </c>
    </row>
    <row r="126" spans="1:8" x14ac:dyDescent="0.3">
      <c r="A126" s="12" t="str">
        <f>INDEX('ei names mapping'!$B$4:$R$33,MATCH('lci-kick scooter'!$B$5,'ei names mapping'!$A$4:$A$33,0),MATCH('lci-kick scooter'!$G126,'ei names mapping'!$B$3:$R$3,0))</f>
        <v>charging station, 100W</v>
      </c>
      <c r="B126" s="14">
        <f>INDEX('vehicles specifications'!$B$3:$CK$86,MATCH(B94,'vehicles specifications'!$A$3:$A$86,0),MATCH(G126,'vehicles specifications'!$B$2:$CK$2,0))*INDEX('ei names mapping'!$B$137:$BK$220,MATCH(B94,'ei names mapping'!$A$137:$A$220,0),MATCH(G126,'ei names mapping'!$B$136:$BK$136,0))</f>
        <v>1</v>
      </c>
      <c r="C126" s="12" t="str">
        <f>INDEX('ei names mapping'!$B$38:$R$67,MATCH('lci-kick scooter'!$B$5,'ei names mapping'!$A$4:$A$33,0),MATCH('lci-kick scooter'!$G126,'ei names mapping'!$B$3:$R$3,0))</f>
        <v>GLO</v>
      </c>
      <c r="D126" s="12" t="str">
        <f>INDEX('ei names mapping'!$B$104:$R$133,MATCH('lci-kick scooter'!$B$5,'ei names mapping'!$A$4:$A$33,0),MATCH('lci-kick scooter'!$G126,'ei names mapping'!$B$3:$R$3,0))</f>
        <v>unit</v>
      </c>
      <c r="F126" s="12" t="s">
        <v>91</v>
      </c>
      <c r="G126" t="s">
        <v>53</v>
      </c>
      <c r="H126" s="12" t="str">
        <f>INDEX('ei names mapping'!$B$71:$R$100,MATCH('lci-kick scooter'!$B$5,'ei names mapping'!$A$4:$A$33,0),MATCH('lci-kick scooter'!$G126,'ei names mapping'!$B$3:$R$3,0))</f>
        <v>charging station, 100W</v>
      </c>
    </row>
    <row r="127" spans="1:8" x14ac:dyDescent="0.3">
      <c r="A127" s="12" t="str">
        <f>INDEX('ei names mapping'!$B$4:$R$33,MATCH('lci-kick scooter'!$B$5,'ei names mapping'!$A$4:$A$33,0),MATCH('lci-kick scooter'!$G127,'ei names mapping'!$B$3:$R$3,0))</f>
        <v>treatment of used electric bicycle</v>
      </c>
      <c r="B127" s="14">
        <f>INDEX('vehicles specifications'!$B$3:$CK$86,MATCH(B94,'vehicles specifications'!$A$3:$A$86,0),MATCH(G127,'vehicles specifications'!$B$2:$CK$2,0))*INDEX('ei names mapping'!$B$137:$BK$220,MATCH(B94,'ei names mapping'!$A$137:$A$220,0),MATCH(G127,'ei names mapping'!$B$136:$BK$136,0))</f>
        <v>-0.11666666666666665</v>
      </c>
      <c r="C127" s="12" t="str">
        <f>INDEX('ei names mapping'!$B$38:$R$67,MATCH('lci-kick scooter'!$B$5,'ei names mapping'!$A$4:$A$33,0),MATCH('lci-kick scooter'!$G127,'ei names mapping'!$B$3:$R$3,0))</f>
        <v>CH</v>
      </c>
      <c r="D127" s="12" t="str">
        <f>INDEX('ei names mapping'!$B$104:$R$133,MATCH('lci-kick scooter'!$B$5,'ei names mapping'!$A$4:$A$33,0),MATCH('lci-kick scooter'!$G127,'ei names mapping'!$B$3:$R$3,0))</f>
        <v>unit</v>
      </c>
      <c r="F127" s="12" t="s">
        <v>91</v>
      </c>
      <c r="G127" t="s">
        <v>151</v>
      </c>
      <c r="H127" s="12" t="str">
        <f>INDEX('ei names mapping'!$B$71:$R$100,MATCH('lci-kick scooter'!$B$5,'ei names mapping'!$A$4:$A$33,0),MATCH('lci-kick scooter'!$G127,'ei names mapping'!$B$3:$R$3,0))</f>
        <v>used electric bicycle</v>
      </c>
    </row>
    <row r="128" spans="1:8" x14ac:dyDescent="0.3">
      <c r="A128" s="12" t="str">
        <f>INDEX('ei names mapping'!$B$4:$R$33,MATCH('lci-kick scooter'!$B$5,'ei names mapping'!$A$4:$A$33,0),MATCH('lci-kick scooter'!$G128,'ei names mapping'!$B$3:$R$3,0))</f>
        <v>market for used Li-ion battery</v>
      </c>
      <c r="B128" s="14">
        <f>INDEX('vehicles specifications'!$B$3:$CK$86,MATCH(B94,'vehicles specifications'!$A$3:$A$86,0),MATCH(G128,'vehicles specifications'!$B$2:$CK$2,0))*INDEX('ei names mapping'!$B$137:$BK$220,MATCH(B94,'ei names mapping'!$A$137:$A$220,0),MATCH(G128,'ei names mapping'!$B$136:$BK$136,0))</f>
        <v>-2.6</v>
      </c>
      <c r="C128" s="12" t="str">
        <f>INDEX('ei names mapping'!$B$38:$R$67,MATCH('lci-kick scooter'!$B$5,'ei names mapping'!$A$4:$A$33,0),MATCH('lci-kick scooter'!$G128,'ei names mapping'!$B$3:$R$3,0))</f>
        <v>GLO</v>
      </c>
      <c r="D128" s="12" t="str">
        <f>INDEX('ei names mapping'!$B$104:$R$133,MATCH('lci-kick scooter'!$B$5,'ei names mapping'!$A$4:$A$33,0),MATCH('lci-kick scooter'!$G128,'ei names mapping'!$B$3:$R$3,0))</f>
        <v>kilogram</v>
      </c>
      <c r="F128" s="12" t="s">
        <v>91</v>
      </c>
      <c r="G128" t="s">
        <v>152</v>
      </c>
      <c r="H128" s="12" t="str">
        <f>INDEX('ei names mapping'!$B$71:$R$100,MATCH('lci-kick scooter'!$B$5,'ei names mapping'!$A$4:$A$33,0),MATCH('lci-kick scooter'!$G128,'ei names mapping'!$B$3:$R$3,0))</f>
        <v>used Li-ion battery</v>
      </c>
    </row>
    <row r="129" spans="1:8" s="21" customFormat="1" x14ac:dyDescent="0.3">
      <c r="A129" s="22" t="s">
        <v>468</v>
      </c>
      <c r="B129" s="21">
        <f>(B104/1000)*B116</f>
        <v>12.049999999999999</v>
      </c>
      <c r="C129" s="21" t="s">
        <v>94</v>
      </c>
      <c r="D129" s="21" t="s">
        <v>243</v>
      </c>
      <c r="F129" s="21" t="s">
        <v>91</v>
      </c>
      <c r="H129" s="22" t="s">
        <v>469</v>
      </c>
    </row>
    <row r="130" spans="1:8" s="21" customFormat="1" x14ac:dyDescent="0.3">
      <c r="A130" s="22" t="s">
        <v>467</v>
      </c>
      <c r="B130" s="2">
        <f>(B104/1000)*B115</f>
        <v>191.59499999999997</v>
      </c>
      <c r="C130" s="21" t="s">
        <v>98</v>
      </c>
      <c r="D130" s="21" t="s">
        <v>243</v>
      </c>
      <c r="F130" s="21" t="s">
        <v>91</v>
      </c>
      <c r="H130" s="22" t="s">
        <v>467</v>
      </c>
    </row>
    <row r="131" spans="1:8" x14ac:dyDescent="0.3">
      <c r="B131" s="6"/>
    </row>
    <row r="132" spans="1:8" ht="15.6" x14ac:dyDescent="0.3">
      <c r="A132" s="11" t="s">
        <v>72</v>
      </c>
      <c r="B132" s="9" t="str">
        <f>B134&amp;", "&amp;B136</f>
        <v>Kick Scooter, electric, &lt;1kW, 2050</v>
      </c>
    </row>
    <row r="133" spans="1:8" x14ac:dyDescent="0.3">
      <c r="A133" t="s">
        <v>73</v>
      </c>
      <c r="B133" t="s">
        <v>37</v>
      </c>
    </row>
    <row r="134" spans="1:8" x14ac:dyDescent="0.3">
      <c r="A134" t="s">
        <v>87</v>
      </c>
      <c r="B134" s="12" t="s">
        <v>688</v>
      </c>
    </row>
    <row r="135" spans="1:8" x14ac:dyDescent="0.3">
      <c r="A135" t="s">
        <v>88</v>
      </c>
      <c r="B135" s="12"/>
    </row>
    <row r="136" spans="1:8" x14ac:dyDescent="0.3">
      <c r="A136" t="s">
        <v>89</v>
      </c>
      <c r="B136" s="12">
        <v>2050</v>
      </c>
    </row>
    <row r="137" spans="1:8" x14ac:dyDescent="0.3">
      <c r="A137" t="s">
        <v>131</v>
      </c>
      <c r="B137" s="12" t="str">
        <f>B134&amp;" - "&amp;B136&amp;" - "&amp;B133</f>
        <v>Kick Scooter, electric, &lt;1kW - 2050 - CH</v>
      </c>
    </row>
    <row r="138" spans="1:8" x14ac:dyDescent="0.3">
      <c r="A138" t="s">
        <v>74</v>
      </c>
      <c r="B138" s="12" t="str">
        <f>B134</f>
        <v>Kick Scooter, electric, &lt;1kW</v>
      </c>
    </row>
    <row r="139" spans="1:8" x14ac:dyDescent="0.3">
      <c r="A139" t="s">
        <v>75</v>
      </c>
      <c r="B139" t="s">
        <v>76</v>
      </c>
    </row>
    <row r="140" spans="1:8" x14ac:dyDescent="0.3">
      <c r="A140" t="s">
        <v>77</v>
      </c>
      <c r="B140" t="s">
        <v>77</v>
      </c>
    </row>
    <row r="141" spans="1:8" x14ac:dyDescent="0.3">
      <c r="A141" t="s">
        <v>79</v>
      </c>
      <c r="B141" t="s">
        <v>90</v>
      </c>
    </row>
    <row r="142" spans="1:8" x14ac:dyDescent="0.3">
      <c r="A142" t="s">
        <v>132</v>
      </c>
      <c r="B142">
        <f>INDEX('vehicles specifications'!$B$3:$CK$86,MATCH('lci-kick scooter'!B137,'vehicles specifications'!$A$3:$A$86,0),MATCH("Lifetime [km]",'vehicles specifications'!$B$2:$CK$2,0))</f>
        <v>1785</v>
      </c>
    </row>
    <row r="143" spans="1:8" x14ac:dyDescent="0.3">
      <c r="A143" t="s">
        <v>133</v>
      </c>
      <c r="B143">
        <f>INDEX('vehicles specifications'!$B$3:$CK$86,MATCH('lci-kick scooter'!B137,'vehicles specifications'!$A$3:$A$86,0),MATCH("Passengers [unit]",'vehicles specifications'!$B$2:$CK$2,0))</f>
        <v>1</v>
      </c>
    </row>
    <row r="144" spans="1:8" x14ac:dyDescent="0.3">
      <c r="A144" t="s">
        <v>134</v>
      </c>
      <c r="B144">
        <f>INDEX('vehicles specifications'!$B$3:$CK$86,MATCH('lci-kick scooter'!B137,'vehicles specifications'!$A$3:$A$86,0),MATCH("Servicing [unit]",'vehicles specifications'!$B$2:$CK$2,0))</f>
        <v>0.44624999999999998</v>
      </c>
    </row>
    <row r="145" spans="1:2" x14ac:dyDescent="0.3">
      <c r="A145" t="s">
        <v>135</v>
      </c>
      <c r="B145">
        <f>INDEX('vehicles specifications'!$B$3:$CK$86,MATCH('lci-kick scooter'!B137,'vehicles specifications'!$A$3:$A$86,0),MATCH("Energy battery replacement [unit]",'vehicles specifications'!$B$2:$CK$2,0))</f>
        <v>0</v>
      </c>
    </row>
    <row r="146" spans="1:2" x14ac:dyDescent="0.3">
      <c r="A146" t="s">
        <v>136</v>
      </c>
      <c r="B146">
        <f>INDEX('vehicles specifications'!$B$3:$CK$86,MATCH('lci-kick scooter'!B137,'vehicles specifications'!$A$3:$A$86,0),MATCH("Annual kilometers [km]",'vehicles specifications'!$B$2:$CK$2,0))</f>
        <v>890</v>
      </c>
    </row>
    <row r="147" spans="1:2" x14ac:dyDescent="0.3">
      <c r="A147" t="s">
        <v>137</v>
      </c>
      <c r="B147">
        <f>INDEX('vehicles specifications'!$B$3:$CK$86,MATCH('lci-kick scooter'!B137,'vehicles specifications'!$A$3:$A$86,0),MATCH("Curb mass [kg]",'vehicles specifications'!$B$2:$CK$2,0))</f>
        <v>11.81</v>
      </c>
    </row>
    <row r="148" spans="1:2" x14ac:dyDescent="0.3">
      <c r="A148" t="s">
        <v>138</v>
      </c>
      <c r="B148">
        <f>INDEX('vehicles specifications'!$B$3:$CK$86,MATCH('lci-kick scooter'!B137,'vehicles specifications'!$A$3:$A$86,0),MATCH("Power [kW]",'vehicles specifications'!$B$2:$CK$2,0))</f>
        <v>0.25</v>
      </c>
    </row>
    <row r="149" spans="1:2" x14ac:dyDescent="0.3">
      <c r="A149" t="s">
        <v>139</v>
      </c>
      <c r="B149">
        <f>INDEX('vehicles specifications'!$B$3:$CK$86,MATCH('lci-kick scooter'!B137,'vehicles specifications'!$A$3:$A$86,0),MATCH("Energy battery mass [kg]",'vehicles specifications'!$B$2:$CK$2,0))</f>
        <v>2.6</v>
      </c>
    </row>
    <row r="150" spans="1:2" x14ac:dyDescent="0.3">
      <c r="A150" t="s">
        <v>140</v>
      </c>
      <c r="B150" s="21">
        <f>INDEX('vehicles specifications'!$B$3:$CK$86,MATCH('lci-kick scooter'!B137,'vehicles specifications'!$A$3:$A$86,0),MATCH("Electric energy stored [kWh]",'vehicles specifications'!$B$2:$CK$2,0))</f>
        <v>1</v>
      </c>
    </row>
    <row r="151" spans="1:2" s="21" customFormat="1" x14ac:dyDescent="0.3">
      <c r="A151" s="21" t="s">
        <v>654</v>
      </c>
      <c r="B151" s="21">
        <f>INDEX('vehicles specifications'!$B$3:$CK$86,MATCH('lci-kick scooter'!B137,'vehicles specifications'!$A$3:$A$86,0),MATCH("Electric energy available [kWh]",'vehicles specifications'!$B$2:$CK$2,0))</f>
        <v>0.8</v>
      </c>
    </row>
    <row r="152" spans="1:2" x14ac:dyDescent="0.3">
      <c r="A152" t="s">
        <v>143</v>
      </c>
      <c r="B152">
        <f>INDEX('vehicles specifications'!$B$3:$CK$86,MATCH('lci-kick scooter'!B137,'vehicles specifications'!$A$3:$A$86,0),MATCH("Oxydation energy stored [kWh]",'vehicles specifications'!$B$2:$CK$2,0))</f>
        <v>0</v>
      </c>
    </row>
    <row r="153" spans="1:2" x14ac:dyDescent="0.3">
      <c r="A153" t="s">
        <v>145</v>
      </c>
      <c r="B153">
        <f>INDEX('vehicles specifications'!$B$3:$CK$86,MATCH('lci-kick scooter'!B137,'vehicles specifications'!$A$3:$A$86,0),MATCH("Fuel mass [kg]",'vehicles specifications'!$B$2:$CK$2,0))</f>
        <v>0</v>
      </c>
    </row>
    <row r="154" spans="1:2" x14ac:dyDescent="0.3">
      <c r="A154" t="s">
        <v>141</v>
      </c>
      <c r="B154">
        <f>INDEX('vehicles specifications'!$B$3:$CK$86,MATCH('lci-kick scooter'!B137,'vehicles specifications'!$A$3:$A$86,0),MATCH("Range [km]",'vehicles specifications'!$B$2:$CK$2,0))</f>
        <v>33.439252336448597</v>
      </c>
    </row>
    <row r="155" spans="1:2" x14ac:dyDescent="0.3">
      <c r="A155" t="s">
        <v>142</v>
      </c>
      <c r="B155" t="str">
        <f>INDEX('vehicles specifications'!$B$3:$CK$86,MATCH('lci-kick scooter'!B137,'vehicles specifications'!$A$3:$A$86,0),MATCH("Emission standard",'vehicles specifications'!$B$2:$CK$2,0))</f>
        <v>None</v>
      </c>
    </row>
    <row r="156" spans="1:2" x14ac:dyDescent="0.3">
      <c r="A156" t="s">
        <v>144</v>
      </c>
      <c r="B156" s="6">
        <f>INDEX('vehicles specifications'!$B$3:$CK$86,MATCH('lci-kick scooter'!B137,'vehicles specifications'!$A$3:$A$86,0),MATCH("Lightweighting rate [%]",'vehicles specifications'!$B$2:$CK$2,0))</f>
        <v>7.0000000000000007E-2</v>
      </c>
    </row>
    <row r="157" spans="1:2" s="21" customFormat="1" x14ac:dyDescent="0.3">
      <c r="A157" s="21" t="s">
        <v>513</v>
      </c>
      <c r="B157" s="6" t="s">
        <v>514</v>
      </c>
    </row>
    <row r="158" spans="1:2" s="21" customFormat="1" x14ac:dyDescent="0.3">
      <c r="A158" s="21" t="s">
        <v>515</v>
      </c>
      <c r="B158" s="2">
        <v>15900</v>
      </c>
    </row>
    <row r="159" spans="1:2" s="21" customFormat="1" x14ac:dyDescent="0.3">
      <c r="A159" s="21" t="s">
        <v>516</v>
      </c>
      <c r="B159" s="2">
        <v>1000</v>
      </c>
    </row>
    <row r="160" spans="1:2" s="21" customFormat="1" x14ac:dyDescent="0.3">
      <c r="A160" s="21" t="s">
        <v>84</v>
      </c>
      <c r="B160" s="21" t="str">
        <f>"Power: "&amp;B148&amp;" kW. Lifetime: "&amp;B142&amp;" km. Annual kilometers: "&amp;ROUND(B146,0)&amp;" km. Number of passengers: "&amp;ROUND(B143,1)&amp;". Curb mass: "&amp;ROUND(B147,1)&amp;" kg. Lightweighting of glider: "&amp;ROUND(B156*100,0)&amp;"%. Emission standard: "&amp;B155&amp;". Service visits throughout lifetime: "&amp;ROUND(B144,1)&amp;". Range: "&amp;ROUND(B154,0)&amp;" km. Battery capacity: "&amp;ROUND(B150,1)&amp;" kWh. Available battery capacity: "&amp;B151&amp;" kWh. Battery mass: "&amp;ROUND(B149,1)&amp; " kg. Battery replacement throughout lifetime: "&amp;ROUND(B145,1)&amp;". Fuel tank capacity: "&amp;ROUND(B152,1)&amp;" kWh. Fuel mass: "&amp;ROUND(B153,1)&amp;" kg. Origin of manufacture: "&amp;B157&amp;". Shipping distance: "&amp;B158&amp;" km. Lorry distribution distance: "&amp;B159&amp;" km. Documentation: "&amp;Readmefirst!$B$2&amp;", "&amp;Readmefirst!$B$3&amp;". "&amp;'lci-kick scooter'!B141</f>
        <v>Power: 0.25 kW. Lifetime: 1785 km. Annual kilometers: 890 km. Number of passengers: 1. Curb mass: 11.8 kg. Lightweighting of glider: 7%. Emission standard: None. Service visits throughout lifetime: 0.4. Range: 33 km. Battery capacity: 1 kWh. Available battery capacity: 0.8 kWh. Battery mass: 2.6 kg. Battery replacement throughout lifetime: 0.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161" spans="1:8" ht="15.6" x14ac:dyDescent="0.3">
      <c r="A161" s="11" t="s">
        <v>80</v>
      </c>
    </row>
    <row r="162" spans="1:8" x14ac:dyDescent="0.3">
      <c r="A162" t="s">
        <v>81</v>
      </c>
      <c r="B162" t="s">
        <v>82</v>
      </c>
      <c r="C162" t="s">
        <v>73</v>
      </c>
      <c r="D162" t="s">
        <v>77</v>
      </c>
      <c r="E162" t="s">
        <v>83</v>
      </c>
      <c r="F162" t="s">
        <v>75</v>
      </c>
      <c r="G162" t="s">
        <v>84</v>
      </c>
      <c r="H162" t="s">
        <v>74</v>
      </c>
    </row>
    <row r="163" spans="1:8" x14ac:dyDescent="0.3">
      <c r="A163" s="12" t="str">
        <f>B132</f>
        <v>Kick Scooter, electric, &lt;1kW, 2050</v>
      </c>
      <c r="B163" s="12">
        <v>1</v>
      </c>
      <c r="C163" s="12" t="str">
        <f>B133</f>
        <v>CH</v>
      </c>
      <c r="D163" s="12" t="str">
        <f>B140</f>
        <v>unit</v>
      </c>
      <c r="E163" s="12"/>
      <c r="F163" s="12" t="s">
        <v>85</v>
      </c>
      <c r="G163" s="12" t="s">
        <v>86</v>
      </c>
      <c r="H163" s="12" t="str">
        <f>B138</f>
        <v>Kick Scooter, electric, &lt;1kW</v>
      </c>
    </row>
    <row r="164" spans="1:8" x14ac:dyDescent="0.3">
      <c r="A164" s="12" t="str">
        <f>INDEX('ei names mapping'!$B$4:$R$33,MATCH('lci-kick scooter'!$B$5,'ei names mapping'!$A$4:$A$33,0),MATCH('lci-kick scooter'!$G164,'ei names mapping'!$B$3:$R$3,0))</f>
        <v>bicycle production</v>
      </c>
      <c r="B164" s="14">
        <f>INDEX('vehicles specifications'!$B$3:$CK$86,MATCH(B137,'vehicles specifications'!$A$3:$A$86,0),MATCH(G164,'vehicles specifications'!$B$2:$CK$2,0))*INDEX('ei names mapping'!$B$137:$BK$220,MATCH(B137,'ei names mapping'!$A$137:$A$220,0),MATCH(G164,'ei names mapping'!$B$136:$BK$136,0))</f>
        <v>0.41176470588235292</v>
      </c>
      <c r="C164" s="12" t="str">
        <f>INDEX('ei names mapping'!$B$38:$R$67,MATCH('lci-kick scooter'!$B$5,'ei names mapping'!$A$4:$A$33,0),MATCH('lci-kick scooter'!$G164,'ei names mapping'!$B$3:$R$3,0))</f>
        <v>RER</v>
      </c>
      <c r="D164" s="12" t="str">
        <f>INDEX('ei names mapping'!$B$104:$R$133,MATCH('lci-kick scooter'!$B$5,'ei names mapping'!$A$4:$A$33,0),MATCH('lci-kick scooter'!$G164,'ei names mapping'!$B$3:$R$3,0))</f>
        <v>unit</v>
      </c>
      <c r="E164" s="12"/>
      <c r="F164" s="12" t="s">
        <v>91</v>
      </c>
      <c r="G164" s="21" t="s">
        <v>15</v>
      </c>
      <c r="H164" s="12" t="str">
        <f>INDEX('ei names mapping'!$B$71:$R$100,MATCH('lci-kick scooter'!$B$5,'ei names mapping'!$A$4:$A$33,0),MATCH('lci-kick scooter'!$G164,'ei names mapping'!$B$3:$R$3,0))</f>
        <v>bicycle</v>
      </c>
    </row>
    <row r="165" spans="1:8" x14ac:dyDescent="0.3">
      <c r="A165" s="12" t="str">
        <f>INDEX('ei names mapping'!$B$4:$R$33,MATCH('lci-kick scooter'!$B$5,'ei names mapping'!$A$4:$A$33,0),MATCH('lci-kick scooter'!$G165,'ei names mapping'!$B$3:$R$3,0))</f>
        <v>market for electric motor, vehicle</v>
      </c>
      <c r="B165" s="14">
        <f>INDEX('vehicles specifications'!$B$3:$CK$86,MATCH(B137,'vehicles specifications'!$A$3:$A$86,0),MATCH(G165,'vehicles specifications'!$B$2:$CK$2,0))*INDEX('ei names mapping'!$B$137:$BK$220,MATCH(B137,'ei names mapping'!$A$137:$A$220,0),MATCH(G165,'ei names mapping'!$B$136:$BK$136,0))</f>
        <v>2.7</v>
      </c>
      <c r="C165" s="12" t="str">
        <f>INDEX('ei names mapping'!$B$38:$R$67,MATCH('lci-kick scooter'!$B$5,'ei names mapping'!$A$4:$A$33,0),MATCH('lci-kick scooter'!$G165,'ei names mapping'!$B$3:$R$3,0))</f>
        <v>GLO</v>
      </c>
      <c r="D165" s="12" t="str">
        <f>INDEX('ei names mapping'!$B$104:$R$133,MATCH('lci-kick scooter'!$B$5,'ei names mapping'!$A$4:$A$33,0),MATCH('lci-kick scooter'!$G165,'ei names mapping'!$B$3:$R$3,0))</f>
        <v>kilogram</v>
      </c>
      <c r="E165" s="12"/>
      <c r="F165" s="12" t="s">
        <v>91</v>
      </c>
      <c r="G165" s="12" t="s">
        <v>557</v>
      </c>
      <c r="H165" s="12" t="str">
        <f>INDEX('ei names mapping'!$B$71:$R$100,MATCH('lci-kick scooter'!$B$5,'ei names mapping'!$A$4:$A$33,0),MATCH('lci-kick scooter'!$G165,'ei names mapping'!$B$3:$R$3,0))</f>
        <v>electric motor, vehicle</v>
      </c>
    </row>
    <row r="166" spans="1:8" s="21" customFormat="1" x14ac:dyDescent="0.3">
      <c r="A166" s="12" t="str">
        <f>INDEX('ei names mapping'!$B$4:$R$33,MATCH(B134,'ei names mapping'!$A$4:$A$33,0),MATCH(G166,'ei names mapping'!$B$3:$R$3,0))</f>
        <v>glider lightweighting</v>
      </c>
      <c r="B166" s="16">
        <f>INDEX('vehicles specifications'!$B$3:$CK$86,MATCH(B137,'vehicles specifications'!$A$3:$A$86,0),MATCH(G166,'vehicles specifications'!$B$2:$CK$2,0))*INDEX('ei names mapping'!$B$137:$BK$220,MATCH(B137,'ei names mapping'!$A$137:$A$220,0),MATCH(G166,'ei names mapping'!$B$136:$BK$136,0))</f>
        <v>0.49000000000000005</v>
      </c>
      <c r="C166" s="12" t="str">
        <f>INDEX('ei names mapping'!$B$38:$R$67,MATCH(B134,'ei names mapping'!$A$4:$A$33,0),MATCH(G166,'ei names mapping'!$B$3:$R$3,0))</f>
        <v>GLO</v>
      </c>
      <c r="D166" s="12" t="str">
        <f>INDEX('ei names mapping'!$B$104:$R$133,MATCH(B134,'ei names mapping'!$A$4:$A$33,0),MATCH(G166,'ei names mapping'!$B$3:$R$3,0))</f>
        <v>kilogram</v>
      </c>
      <c r="E166" s="12"/>
      <c r="F166" s="12" t="s">
        <v>91</v>
      </c>
      <c r="G166" s="21" t="s">
        <v>14</v>
      </c>
      <c r="H166" s="12" t="str">
        <f>INDEX('ei names mapping'!$B$71:$R$100,MATCH(B134,'ei names mapping'!$A$4:$A$33,0),MATCH(G166,'ei names mapping'!$B$3:$R$3,0))</f>
        <v>glider lightweighting</v>
      </c>
    </row>
    <row r="167" spans="1:8" x14ac:dyDescent="0.3">
      <c r="A167" s="12" t="str">
        <f>INDEX('ei names mapping'!$B$4:$R$33,MATCH('lci-kick scooter'!$B$5,'ei names mapping'!$A$4:$A$33,0),MATCH('lci-kick scooter'!$G167,'ei names mapping'!$B$3:$R$3,0))</f>
        <v>Battery cell, NMC</v>
      </c>
      <c r="B167" s="14">
        <f>INDEX('vehicles specifications'!$B$3:$CK$86,MATCH(B137,'vehicles specifications'!$A$3:$A$86,0),MATCH(G167,'vehicles specifications'!$B$2:$CK$2,0))*INDEX('ei names mapping'!$B$137:$BK$220,MATCH(B137,'ei names mapping'!$A$137:$A$220,0),MATCH(G167,'ei names mapping'!$B$136:$BK$136,0))</f>
        <v>2</v>
      </c>
      <c r="C167" s="12" t="str">
        <f>INDEX('ei names mapping'!$B$38:$R$67,MATCH('lci-kick scooter'!$B$5,'ei names mapping'!$A$4:$A$33,0),MATCH('lci-kick scooter'!$G167,'ei names mapping'!$B$3:$R$3,0))</f>
        <v>GLO</v>
      </c>
      <c r="D167" s="12" t="str">
        <f>INDEX('ei names mapping'!$B$104:$R$133,MATCH('lci-kick scooter'!$B$5,'ei names mapping'!$A$4:$A$33,0),MATCH('lci-kick scooter'!$G167,'ei names mapping'!$B$3:$R$3,0))</f>
        <v>kilogram</v>
      </c>
      <c r="E167" s="12"/>
      <c r="F167" s="12" t="s">
        <v>91</v>
      </c>
      <c r="G167" s="12" t="s">
        <v>19</v>
      </c>
      <c r="H167" s="12" t="str">
        <f>INDEX('ei names mapping'!$B$71:$R$100,MATCH('lci-kick scooter'!$B$5,'ei names mapping'!$A$4:$A$33,0),MATCH('lci-kick scooter'!$G167,'ei names mapping'!$B$3:$R$3,0))</f>
        <v>Battery cell</v>
      </c>
    </row>
    <row r="168" spans="1:8" x14ac:dyDescent="0.3">
      <c r="A168" s="12" t="str">
        <f>INDEX('ei names mapping'!$B$4:$R$33,MATCH('lci-kick scooter'!$B$5,'ei names mapping'!$A$4:$A$33,0),MATCH('lci-kick scooter'!$G168,'ei names mapping'!$B$3:$R$3,0))</f>
        <v>Battery BoP</v>
      </c>
      <c r="B168" s="14">
        <f>INDEX('vehicles specifications'!$B$3:$CK$86,MATCH(B137,'vehicles specifications'!$A$3:$A$86,0),MATCH(G168,'vehicles specifications'!$B$2:$CK$2,0))*INDEX('ei names mapping'!$B$137:$BK$220,MATCH(B137,'ei names mapping'!$A$137:$A$220,0),MATCH(G168,'ei names mapping'!$B$136:$BK$136,0))</f>
        <v>0.6</v>
      </c>
      <c r="C168" s="12" t="str">
        <f>INDEX('ei names mapping'!$B$38:$R$67,MATCH('lci-kick scooter'!$B$5,'ei names mapping'!$A$4:$A$33,0),MATCH('lci-kick scooter'!$G168,'ei names mapping'!$B$3:$R$3,0))</f>
        <v>GLO</v>
      </c>
      <c r="D168" s="12" t="str">
        <f>INDEX('ei names mapping'!$B$104:$R$133,MATCH('lci-kick scooter'!$B$5,'ei names mapping'!$A$4:$A$33,0),MATCH('lci-kick scooter'!$G168,'ei names mapping'!$B$3:$R$3,0))</f>
        <v>kilogram</v>
      </c>
      <c r="E168" s="12"/>
      <c r="F168" s="12" t="s">
        <v>91</v>
      </c>
      <c r="G168" s="12" t="s">
        <v>20</v>
      </c>
      <c r="H168" s="12" t="str">
        <f>INDEX('ei names mapping'!$B$71:$R$100,MATCH('lci-kick scooter'!$B$5,'ei names mapping'!$A$4:$A$33,0),MATCH('lci-kick scooter'!$G168,'ei names mapping'!$B$3:$R$3,0))</f>
        <v>Battery BoP</v>
      </c>
    </row>
    <row r="169" spans="1:8" x14ac:dyDescent="0.3">
      <c r="A169" s="12" t="str">
        <f>INDEX('ei names mapping'!$B$4:$R$33,MATCH('lci-kick scooter'!$B$5,'ei names mapping'!$A$4:$A$33,0),MATCH('lci-kick scooter'!$G169,'ei names mapping'!$B$3:$R$3,0))</f>
        <v>charging station, 100W</v>
      </c>
      <c r="B169" s="14">
        <f>INDEX('vehicles specifications'!$B$3:$CK$86,MATCH(B137,'vehicles specifications'!$A$3:$A$86,0),MATCH(G169,'vehicles specifications'!$B$2:$CK$2,0))*INDEX('ei names mapping'!$B$137:$BK$220,MATCH(B137,'ei names mapping'!$A$137:$A$220,0),MATCH(G169,'ei names mapping'!$B$136:$BK$136,0))</f>
        <v>1</v>
      </c>
      <c r="C169" s="12" t="str">
        <f>INDEX('ei names mapping'!$B$38:$R$67,MATCH('lci-kick scooter'!$B$5,'ei names mapping'!$A$4:$A$33,0),MATCH('lci-kick scooter'!$G169,'ei names mapping'!$B$3:$R$3,0))</f>
        <v>GLO</v>
      </c>
      <c r="D169" s="12" t="str">
        <f>INDEX('ei names mapping'!$B$104:$R$133,MATCH('lci-kick scooter'!$B$5,'ei names mapping'!$A$4:$A$33,0),MATCH('lci-kick scooter'!$G169,'ei names mapping'!$B$3:$R$3,0))</f>
        <v>unit</v>
      </c>
      <c r="F169" s="12" t="s">
        <v>91</v>
      </c>
      <c r="G169" t="s">
        <v>53</v>
      </c>
      <c r="H169" s="12" t="str">
        <f>INDEX('ei names mapping'!$B$71:$R$100,MATCH('lci-kick scooter'!$B$5,'ei names mapping'!$A$4:$A$33,0),MATCH('lci-kick scooter'!$G169,'ei names mapping'!$B$3:$R$3,0))</f>
        <v>charging station, 100W</v>
      </c>
    </row>
    <row r="170" spans="1:8" x14ac:dyDescent="0.3">
      <c r="A170" s="12" t="str">
        <f>INDEX('ei names mapping'!$B$4:$R$33,MATCH('lci-kick scooter'!$B$5,'ei names mapping'!$A$4:$A$33,0),MATCH('lci-kick scooter'!$G170,'ei names mapping'!$B$3:$R$3,0))</f>
        <v>treatment of used electric bicycle</v>
      </c>
      <c r="B170" s="14">
        <f>INDEX('vehicles specifications'!$B$3:$CK$86,MATCH(B137,'vehicles specifications'!$A$3:$A$86,0),MATCH(G170,'vehicles specifications'!$B$2:$CK$2,0))*INDEX('ei names mapping'!$B$137:$BK$220,MATCH(B137,'ei names mapping'!$A$137:$A$220,0),MATCH(G170,'ei names mapping'!$B$136:$BK$136,0))</f>
        <v>-0.1125</v>
      </c>
      <c r="C170" s="12" t="str">
        <f>INDEX('ei names mapping'!$B$38:$R$67,MATCH('lci-kick scooter'!$B$5,'ei names mapping'!$A$4:$A$33,0),MATCH('lci-kick scooter'!$G170,'ei names mapping'!$B$3:$R$3,0))</f>
        <v>CH</v>
      </c>
      <c r="D170" s="12" t="str">
        <f>INDEX('ei names mapping'!$B$104:$R$133,MATCH('lci-kick scooter'!$B$5,'ei names mapping'!$A$4:$A$33,0),MATCH('lci-kick scooter'!$G170,'ei names mapping'!$B$3:$R$3,0))</f>
        <v>unit</v>
      </c>
      <c r="F170" s="12" t="s">
        <v>91</v>
      </c>
      <c r="G170" t="s">
        <v>151</v>
      </c>
      <c r="H170" s="12" t="str">
        <f>INDEX('ei names mapping'!$B$71:$R$100,MATCH('lci-kick scooter'!$B$5,'ei names mapping'!$A$4:$A$33,0),MATCH('lci-kick scooter'!$G170,'ei names mapping'!$B$3:$R$3,0))</f>
        <v>used electric bicycle</v>
      </c>
    </row>
    <row r="171" spans="1:8" x14ac:dyDescent="0.3">
      <c r="A171" s="12" t="str">
        <f>INDEX('ei names mapping'!$B$4:$R$33,MATCH('lci-kick scooter'!$B$5,'ei names mapping'!$A$4:$A$33,0),MATCH('lci-kick scooter'!$G171,'ei names mapping'!$B$3:$R$3,0))</f>
        <v>market for used Li-ion battery</v>
      </c>
      <c r="B171" s="14">
        <f>INDEX('vehicles specifications'!$B$3:$CK$86,MATCH(B137,'vehicles specifications'!$A$3:$A$86,0),MATCH(G171,'vehicles specifications'!$B$2:$CK$2,0))*INDEX('ei names mapping'!$B$137:$BK$220,MATCH(B137,'ei names mapping'!$A$137:$A$220,0),MATCH(G171,'ei names mapping'!$B$136:$BK$136,0))</f>
        <v>-2.6</v>
      </c>
      <c r="C171" s="12" t="str">
        <f>INDEX('ei names mapping'!$B$38:$R$67,MATCH('lci-kick scooter'!$B$5,'ei names mapping'!$A$4:$A$33,0),MATCH('lci-kick scooter'!$G171,'ei names mapping'!$B$3:$R$3,0))</f>
        <v>GLO</v>
      </c>
      <c r="D171" s="12" t="str">
        <f>INDEX('ei names mapping'!$B$104:$R$133,MATCH('lci-kick scooter'!$B$5,'ei names mapping'!$A$4:$A$33,0),MATCH('lci-kick scooter'!$G171,'ei names mapping'!$B$3:$R$3,0))</f>
        <v>kilogram</v>
      </c>
      <c r="F171" s="12" t="s">
        <v>91</v>
      </c>
      <c r="G171" t="s">
        <v>152</v>
      </c>
      <c r="H171" s="12" t="str">
        <f>INDEX('ei names mapping'!$B$71:$R$100,MATCH('lci-kick scooter'!$B$5,'ei names mapping'!$A$4:$A$33,0),MATCH('lci-kick scooter'!$G171,'ei names mapping'!$B$3:$R$3,0))</f>
        <v>used Li-ion battery</v>
      </c>
    </row>
    <row r="172" spans="1:8" s="21" customFormat="1" x14ac:dyDescent="0.3">
      <c r="A172" s="22" t="s">
        <v>468</v>
      </c>
      <c r="B172" s="21">
        <f>(B147/1000)*B159</f>
        <v>11.81</v>
      </c>
      <c r="C172" s="21" t="s">
        <v>94</v>
      </c>
      <c r="D172" s="21" t="s">
        <v>243</v>
      </c>
      <c r="F172" s="21" t="s">
        <v>91</v>
      </c>
      <c r="H172" s="22" t="s">
        <v>469</v>
      </c>
    </row>
    <row r="173" spans="1:8" s="21" customFormat="1" x14ac:dyDescent="0.3">
      <c r="A173" s="22" t="s">
        <v>467</v>
      </c>
      <c r="B173" s="2">
        <f>(B147/1000)*B158</f>
        <v>187.77900000000002</v>
      </c>
      <c r="C173" s="21" t="s">
        <v>98</v>
      </c>
      <c r="D173" s="21" t="s">
        <v>243</v>
      </c>
      <c r="F173" s="21" t="s">
        <v>91</v>
      </c>
      <c r="H173" s="22" t="s">
        <v>467</v>
      </c>
    </row>
    <row r="175" spans="1:8" ht="15.6" x14ac:dyDescent="0.3">
      <c r="A175" s="11" t="s">
        <v>72</v>
      </c>
      <c r="B175" s="9" t="str">
        <f>"transport, "&amp;B177&amp;", "&amp;B179</f>
        <v>transport, Kick Scooter, electric, &lt;1kW, 2020</v>
      </c>
    </row>
    <row r="176" spans="1:8" x14ac:dyDescent="0.3">
      <c r="A176" t="s">
        <v>73</v>
      </c>
      <c r="B176" t="s">
        <v>37</v>
      </c>
    </row>
    <row r="177" spans="1:2" x14ac:dyDescent="0.3">
      <c r="A177" t="s">
        <v>87</v>
      </c>
      <c r="B177" s="12" t="s">
        <v>688</v>
      </c>
    </row>
    <row r="178" spans="1:2" x14ac:dyDescent="0.3">
      <c r="A178" t="s">
        <v>88</v>
      </c>
      <c r="B178" s="12"/>
    </row>
    <row r="179" spans="1:2" x14ac:dyDescent="0.3">
      <c r="A179" t="s">
        <v>89</v>
      </c>
      <c r="B179" s="12">
        <v>2020</v>
      </c>
    </row>
    <row r="180" spans="1:2" x14ac:dyDescent="0.3">
      <c r="A180" t="s">
        <v>131</v>
      </c>
      <c r="B180" s="12" t="str">
        <f>B177&amp;" - "&amp;B179&amp;" - "&amp;B176</f>
        <v>Kick Scooter, electric, &lt;1kW - 2020 - CH</v>
      </c>
    </row>
    <row r="181" spans="1:2" x14ac:dyDescent="0.3">
      <c r="A181" t="s">
        <v>74</v>
      </c>
      <c r="B181" s="12" t="str">
        <f>"transport, "&amp;B177</f>
        <v>transport, Kick Scooter, electric, &lt;1kW</v>
      </c>
    </row>
    <row r="182" spans="1:2" x14ac:dyDescent="0.3">
      <c r="A182" t="s">
        <v>75</v>
      </c>
      <c r="B182" t="s">
        <v>76</v>
      </c>
    </row>
    <row r="183" spans="1:2" x14ac:dyDescent="0.3">
      <c r="A183" t="s">
        <v>77</v>
      </c>
      <c r="B183" t="s">
        <v>172</v>
      </c>
    </row>
    <row r="184" spans="1:2" x14ac:dyDescent="0.3">
      <c r="A184" t="s">
        <v>79</v>
      </c>
      <c r="B184" t="s">
        <v>90</v>
      </c>
    </row>
    <row r="185" spans="1:2" x14ac:dyDescent="0.3">
      <c r="A185" t="s">
        <v>132</v>
      </c>
      <c r="B185">
        <f>INDEX('vehicles specifications'!$B$3:$CK$86,MATCH('lci-kick scooter'!B180,'vehicles specifications'!$A$3:$A$86,0),MATCH("Lifetime [km]",'vehicles specifications'!$B$2:$CK$2,0))</f>
        <v>1785</v>
      </c>
    </row>
    <row r="186" spans="1:2" x14ac:dyDescent="0.3">
      <c r="A186" t="s">
        <v>133</v>
      </c>
      <c r="B186">
        <f>INDEX('vehicles specifications'!$B$3:$CK$86,MATCH('lci-kick scooter'!B180,'vehicles specifications'!$A$3:$A$86,0),MATCH("Passengers [unit]",'vehicles specifications'!$B$2:$CK$2,0))</f>
        <v>1</v>
      </c>
    </row>
    <row r="187" spans="1:2" x14ac:dyDescent="0.3">
      <c r="A187" t="s">
        <v>134</v>
      </c>
      <c r="B187">
        <f>INDEX('vehicles specifications'!$B$3:$CK$86,MATCH('lci-kick scooter'!B180,'vehicles specifications'!$A$3:$A$86,0),MATCH("Servicing [unit]",'vehicles specifications'!$B$2:$CK$2,0))</f>
        <v>0.44624999999999998</v>
      </c>
    </row>
    <row r="188" spans="1:2" x14ac:dyDescent="0.3">
      <c r="A188" t="s">
        <v>135</v>
      </c>
      <c r="B188">
        <f>INDEX('vehicles specifications'!$B$3:$CK$86,MATCH('lci-kick scooter'!B180,'vehicles specifications'!$A$3:$A$86,0),MATCH("Energy battery replacement [unit]",'vehicles specifications'!$B$2:$CK$2,0))</f>
        <v>0</v>
      </c>
    </row>
    <row r="189" spans="1:2" x14ac:dyDescent="0.3">
      <c r="A189" t="s">
        <v>136</v>
      </c>
      <c r="B189">
        <f>INDEX('vehicles specifications'!$B$3:$CK$86,MATCH('lci-kick scooter'!B180,'vehicles specifications'!$A$3:$A$86,0),MATCH("Annual kilometers [km]",'vehicles specifications'!$B$2:$CK$2,0))</f>
        <v>890</v>
      </c>
    </row>
    <row r="190" spans="1:2" x14ac:dyDescent="0.3">
      <c r="A190" t="s">
        <v>137</v>
      </c>
      <c r="B190">
        <f>INDEX('vehicles specifications'!$B$3:$CK$86,MATCH('lci-kick scooter'!B180,'vehicles specifications'!$A$3:$A$86,0),MATCH("Curb mass [kg]",'vehicles specifications'!$B$2:$CK$2,0))</f>
        <v>12.274999999999999</v>
      </c>
    </row>
    <row r="191" spans="1:2" x14ac:dyDescent="0.3">
      <c r="A191" t="s">
        <v>138</v>
      </c>
      <c r="B191">
        <f>INDEX('vehicles specifications'!$B$3:$CK$86,MATCH('lci-kick scooter'!B180,'vehicles specifications'!$A$3:$A$86,0),MATCH("Power [kW]",'vehicles specifications'!$B$2:$CK$2,0))</f>
        <v>0.25</v>
      </c>
    </row>
    <row r="192" spans="1:2" x14ac:dyDescent="0.3">
      <c r="A192" t="s">
        <v>139</v>
      </c>
      <c r="B192">
        <f>INDEX('vehicles specifications'!$B$3:$CK$86,MATCH('lci-kick scooter'!B180,'vehicles specifications'!$A$3:$A$86,0),MATCH("Energy battery mass [kg]",'vehicles specifications'!$B$2:$CK$2,0))</f>
        <v>2.2749999999999995</v>
      </c>
    </row>
    <row r="193" spans="1:8" x14ac:dyDescent="0.3">
      <c r="A193" t="s">
        <v>140</v>
      </c>
      <c r="B193" s="21">
        <f>INDEX('vehicles specifications'!$B$3:$CK$86,MATCH('lci-kick scooter'!B180,'vehicles specifications'!$A$3:$A$86,0),MATCH("Electric energy stored [kWh]",'vehicles specifications'!$B$2:$CK$2,0))</f>
        <v>0.35</v>
      </c>
    </row>
    <row r="194" spans="1:8" s="21" customFormat="1" x14ac:dyDescent="0.3">
      <c r="A194" s="21" t="s">
        <v>654</v>
      </c>
      <c r="B194" s="21">
        <f>INDEX('vehicles specifications'!$B$3:$CK$86,MATCH('lci-kick scooter'!B180,'vehicles specifications'!$A$3:$A$86,0),MATCH("Electric energy available [kWh]",'vehicles specifications'!$B$2:$CK$2,0))</f>
        <v>0.27999999999999997</v>
      </c>
    </row>
    <row r="195" spans="1:8" x14ac:dyDescent="0.3">
      <c r="A195" t="s">
        <v>143</v>
      </c>
      <c r="B195">
        <f>INDEX('vehicles specifications'!$B$3:$CK$86,MATCH('lci-kick scooter'!B180,'vehicles specifications'!$A$3:$A$86,0),MATCH("Oxydation energy stored [kWh]",'vehicles specifications'!$B$2:$CK$2,0))</f>
        <v>0</v>
      </c>
    </row>
    <row r="196" spans="1:8" x14ac:dyDescent="0.3">
      <c r="A196" t="s">
        <v>145</v>
      </c>
      <c r="B196">
        <f>INDEX('vehicles specifications'!$B$3:$CK$86,MATCH('lci-kick scooter'!B180,'vehicles specifications'!$A$3:$A$86,0),MATCH("Fuel mass [kg]",'vehicles specifications'!$B$2:$CK$2,0))</f>
        <v>0</v>
      </c>
    </row>
    <row r="197" spans="1:8" x14ac:dyDescent="0.3">
      <c r="A197" t="s">
        <v>141</v>
      </c>
      <c r="B197">
        <f>INDEX('vehicles specifications'!$B$3:$CK$86,MATCH('lci-kick scooter'!B180,'vehicles specifications'!$A$3:$A$86,0),MATCH("Range [km]",'vehicles specifications'!$B$2:$CK$2,0))</f>
        <v>11.703738317757008</v>
      </c>
    </row>
    <row r="198" spans="1:8" x14ac:dyDescent="0.3">
      <c r="A198" t="s">
        <v>142</v>
      </c>
      <c r="B198" t="str">
        <f>INDEX('vehicles specifications'!$B$3:$CK$86,MATCH('lci-kick scooter'!B180,'vehicles specifications'!$A$3:$A$86,0),MATCH("Emission standard",'vehicles specifications'!$B$2:$CK$2,0))</f>
        <v>None</v>
      </c>
    </row>
    <row r="199" spans="1:8" x14ac:dyDescent="0.3">
      <c r="A199" t="s">
        <v>144</v>
      </c>
      <c r="B199" s="6">
        <f>INDEX('vehicles specifications'!$B$3:$CK$86,MATCH('lci-kick scooter'!B180,'vehicles specifications'!$A$3:$A$86,0),MATCH("Lightweighting rate [%]",'vehicles specifications'!$B$2:$CK$2,0))</f>
        <v>0</v>
      </c>
    </row>
    <row r="200" spans="1:8" x14ac:dyDescent="0.3">
      <c r="A200" t="s">
        <v>84</v>
      </c>
      <c r="B200" s="21" t="str">
        <f>"Power: "&amp;B191&amp;" kW. Lifetime: "&amp;B185&amp;" km. Annual kilometers: "&amp;B189&amp;" km. Number of passengers: "&amp;B186&amp;". Curb mass: "&amp;ROUND(B190,1)&amp;" kg. Lightweighting of glider: "&amp;ROUND(B199*100,0)&amp;"%. Emission standard: "&amp;B198&amp;". Service visits throughout lifetime: "&amp;ROUND(B187,1)&amp;". Range: "&amp;ROUND(B197,0)&amp;" km. Battery capacity: "&amp;ROUND(B193,1)&amp;" kWh. Available battery capacity: "&amp;B194&amp;" kWh. Battery mass: "&amp;ROUND(B192,1)&amp; " kg. Battery replacement throughout lifetime: "&amp;ROUND(B188,1)&amp;". Fuel tank capacity: "&amp;ROUND(B195,1)&amp;" kWh. Fuel mass: "&amp;ROUND(B196,1)&amp;" kg. Documentation: "&amp;Readmefirst!$B$2&amp;", "&amp;Readmefirst!$B$3&amp;". "&amp;'lci-kick scooter'!B139</f>
        <v>Power: 0.25 kW. Lifetime: 1785 km. Annual kilometers: 890 km. Number of passengers: 1. Curb mass: 12.3 kg. Lightweighting of glider: 0%. Emission standard: None. Service visits throughout lifetime: 0.4. Range: 12 km. Battery capacity: 0.4 kWh. Available battery capacity: 0.28 kWh. Battery mass: 2.3 kg. Battery replacement throughout lifetime: 0. Fuel tank capacity: 0 kWh. Fuel mass: 0 kg. Documentation: 2021 UVEK life-cycle inventories update of on-road vehicles, Sacchi R. (PSI), Bauer C. (PSI), 2021. process</v>
      </c>
    </row>
    <row r="201" spans="1:8" ht="15.6" x14ac:dyDescent="0.3">
      <c r="A201" s="11" t="s">
        <v>80</v>
      </c>
    </row>
    <row r="202" spans="1:8" x14ac:dyDescent="0.3">
      <c r="A202" t="s">
        <v>81</v>
      </c>
      <c r="B202" t="s">
        <v>82</v>
      </c>
      <c r="C202" t="s">
        <v>73</v>
      </c>
      <c r="D202" t="s">
        <v>77</v>
      </c>
      <c r="E202" t="s">
        <v>83</v>
      </c>
      <c r="F202" t="s">
        <v>75</v>
      </c>
      <c r="G202" t="s">
        <v>84</v>
      </c>
      <c r="H202" t="s">
        <v>74</v>
      </c>
    </row>
    <row r="203" spans="1:8" x14ac:dyDescent="0.3">
      <c r="A203" s="12" t="str">
        <f>B175</f>
        <v>transport, Kick Scooter, electric, &lt;1kW, 2020</v>
      </c>
      <c r="B203" s="12">
        <v>1</v>
      </c>
      <c r="C203" s="12" t="str">
        <f>B176</f>
        <v>CH</v>
      </c>
      <c r="D203" s="12" t="s">
        <v>172</v>
      </c>
      <c r="E203" s="12"/>
      <c r="F203" s="12" t="s">
        <v>85</v>
      </c>
      <c r="G203" s="12" t="s">
        <v>86</v>
      </c>
      <c r="H203" s="12" t="str">
        <f>B181</f>
        <v>transport, Kick Scooter, electric, &lt;1kW</v>
      </c>
    </row>
    <row r="204" spans="1:8" x14ac:dyDescent="0.3">
      <c r="A204" s="12" t="str">
        <f>RIGHT(A203,LEN(A203)-11)</f>
        <v>Kick Scooter, electric, &lt;1kW, 2020</v>
      </c>
      <c r="B204" s="14">
        <f>1/B185</f>
        <v>5.602240896358543E-4</v>
      </c>
      <c r="C204" s="12" t="str">
        <f>B176</f>
        <v>CH</v>
      </c>
      <c r="D204" s="12" t="s">
        <v>77</v>
      </c>
      <c r="E204" s="12"/>
      <c r="F204" s="12" t="s">
        <v>91</v>
      </c>
      <c r="G204" s="12"/>
      <c r="H204" s="12" t="str">
        <f>RIGHT(H203,LEN(H203)-11)</f>
        <v>Kick Scooter, electric, &lt;1kW</v>
      </c>
    </row>
    <row r="205" spans="1:8" x14ac:dyDescent="0.3">
      <c r="A205" s="12" t="str">
        <f>INDEX('ei names mapping'!$B$4:$R$33,MATCH('lci-kick scooter'!$B$5,'ei names mapping'!$A$4:$A$33,0),MATCH('lci-kick scooter'!$G205,'ei names mapping'!$B$3:$R$3,0))</f>
        <v>market for electricity, low voltage</v>
      </c>
      <c r="B205" s="14">
        <f>INDEX('vehicles specifications'!$B$3:$CK$86,MATCH(B180,'vehicles specifications'!$A$3:$A$86,0),MATCH(G205,'vehicles specifications'!$B$2:$CK$2,0))*INDEX('ei names mapping'!$B$137:$BK$220,MATCH(B180,'ei names mapping'!$A$137:$A$220,0),MATCH(G205,'ei names mapping'!$B$136:$BK$136,0))</f>
        <v>2.6316377864728905E-2</v>
      </c>
      <c r="C205" s="12" t="str">
        <f>INDEX('ei names mapping'!$B$38:$R$67,MATCH('lci-kick scooter'!$B$5,'ei names mapping'!$A$4:$A$33,0),MATCH('lci-kick scooter'!$G205,'ei names mapping'!$B$3:$R$3,0))</f>
        <v>CH</v>
      </c>
      <c r="D205" s="12" t="str">
        <f>INDEX('ei names mapping'!$B$104:$R$133,MATCH('lci-kick scooter'!$B$5,'ei names mapping'!$A$4:$A$33,0),MATCH('lci-kick scooter'!$G205,'ei names mapping'!$B$3:$R$3,0))</f>
        <v>kilowatt hour</v>
      </c>
      <c r="F205" s="12" t="s">
        <v>91</v>
      </c>
      <c r="G205" t="s">
        <v>28</v>
      </c>
      <c r="H205" s="12" t="str">
        <f>INDEX('ei names mapping'!$B$71:$R$100,MATCH('lci-kick scooter'!$B$5,'ei names mapping'!$A$4:$A$33,0),MATCH('lci-kick scooter'!$G205,'ei names mapping'!$B$3:$R$3,0))</f>
        <v>electricity, low voltage</v>
      </c>
    </row>
    <row r="206" spans="1:8" x14ac:dyDescent="0.3">
      <c r="A206" s="12" t="str">
        <f>INDEX('ei names mapping'!$B$4:$R$33,MATCH('lci-kick scooter'!$B$5,'ei names mapping'!$A$4:$A$33,0),MATCH('lci-kick scooter'!$G206,'ei names mapping'!$B$3:$R$3,0))</f>
        <v>maintenance, bicycle</v>
      </c>
      <c r="B206" s="14">
        <f>INDEX('vehicles specifications'!$B$3:$CK$86,MATCH(B180,'vehicles specifications'!$A$3:$A$86,0),MATCH(G206,'vehicles specifications'!$B$2:$CK$2,0))*INDEX('ei names mapping'!$B$137:$BK$220,MATCH(B180,'ei names mapping'!$A$137:$A$220,0),MATCH(G206,'ei names mapping'!$B$136:$BK$136,0))</f>
        <v>2.4999999999999995E-4</v>
      </c>
      <c r="C206" s="12" t="str">
        <f>INDEX('ei names mapping'!$B$38:$R$67,MATCH('lci-kick scooter'!$B$5,'ei names mapping'!$A$4:$A$33,0),MATCH('lci-kick scooter'!$G206,'ei names mapping'!$B$3:$R$3,0))</f>
        <v>CH</v>
      </c>
      <c r="D206" s="12" t="str">
        <f>INDEX('ei names mapping'!$B$104:$R$133,MATCH('lci-kick scooter'!$B$5,'ei names mapping'!$A$4:$A$33,0),MATCH('lci-kick scooter'!$G206,'ei names mapping'!$B$3:$R$3,0))</f>
        <v>unit</v>
      </c>
      <c r="F206" s="12" t="s">
        <v>91</v>
      </c>
      <c r="G206" t="s">
        <v>123</v>
      </c>
      <c r="H206" s="12" t="str">
        <f>INDEX('ei names mapping'!$B$71:$R$100,MATCH('lci-kick scooter'!$B$5,'ei names mapping'!$A$4:$A$33,0),MATCH('lci-kick scooter'!$G206,'ei names mapping'!$B$3:$R$3,0))</f>
        <v>maintenance, bicycle</v>
      </c>
    </row>
    <row r="207" spans="1:8" s="21" customFormat="1" x14ac:dyDescent="0.3">
      <c r="A207" s="12" t="str">
        <f>INDEX('ei names mapping'!$B$4:$R$33,MATCH(B177,'ei names mapping'!$A$4:$A$33,0),MATCH(G207,'ei names mapping'!$B$3:$R$3,0))</f>
        <v>road construction</v>
      </c>
      <c r="B207" s="16">
        <f>INDEX('vehicles specifications'!$B$3:$CK$86,MATCH(B180,'vehicles specifications'!$A$3:$A$86,0),MATCH(G207,'vehicles specifications'!$B$2:$CK$2,0))*INDEX('ei names mapping'!$B$137:$BK$220,MATCH(B180,'ei names mapping'!$A$137:$A$220,0),MATCH(G207,'ei names mapping'!$B$136:$BK$136,0))</f>
        <v>4.4181675000000002E-5</v>
      </c>
      <c r="C207" s="12" t="str">
        <f>INDEX('ei names mapping'!$B$38:$R$67,MATCH(B177,'ei names mapping'!$A$4:$A$33,0),MATCH(G207,'ei names mapping'!$B$3:$R$3,0))</f>
        <v>CH</v>
      </c>
      <c r="D207" s="12" t="str">
        <f>INDEX('ei names mapping'!$B$104:$R$133,MATCH(B177,'ei names mapping'!$A$104:$A$133,0),MATCH(G207,'ei names mapping'!$B$3:$R$3,0))</f>
        <v>meter-year</v>
      </c>
      <c r="E207" s="12"/>
      <c r="F207" s="12" t="s">
        <v>91</v>
      </c>
      <c r="G207" s="21" t="s">
        <v>108</v>
      </c>
      <c r="H207" s="12" t="str">
        <f>INDEX('ei names mapping'!$B$71:$R$100,MATCH(B177,'ei names mapping'!$A$4:$A$33,0),MATCH(G207,'ei names mapping'!$B$3:$R$3,0))</f>
        <v>road</v>
      </c>
    </row>
    <row r="208" spans="1:8" x14ac:dyDescent="0.3">
      <c r="A208" s="12" t="str">
        <f>INDEX('ei names mapping'!$B$4:$BK$33,MATCH('lci-kick scooter'!$B$5,'ei names mapping'!$A$4:$A$33,0),MATCH('lci-kick scooter'!$G208,'ei names mapping'!$B$3:$BK$3,0))</f>
        <v>treatment of road wear emissions, passenger car</v>
      </c>
      <c r="B208" s="15">
        <f>INDEX('vehicles specifications'!$B$3:$CK$86,MATCH(B180,'vehicles specifications'!$A$3:$A$86,0),MATCH(G208,'vehicles specifications'!$B$2:$CK$2,0))*INDEX('ei names mapping'!$B$137:$BK$220,MATCH(B180,'ei names mapping'!$A$137:$A$220,0),MATCH(G208,'ei names mapping'!$B$136:$BK$136,0))</f>
        <v>-3.0000000000000001E-6</v>
      </c>
      <c r="C208" s="12" t="str">
        <f>INDEX('ei names mapping'!$B$38:$BK$67,MATCH('lci-kick scooter'!$B$5,'ei names mapping'!$A$4:$A$33,0),MATCH('lci-kick scooter'!$G208,'ei names mapping'!$B$3:$BK$3,0))</f>
        <v>RER</v>
      </c>
      <c r="D208" s="12" t="str">
        <f>INDEX('ei names mapping'!$B$104:$BK$133,MATCH('lci-kick scooter'!$B$5,'ei names mapping'!$A$4:$A$33,0),MATCH('lci-kick scooter'!$G208,'ei names mapping'!$B$3:$BK$3,0))</f>
        <v>kilogram</v>
      </c>
      <c r="E208" s="12"/>
      <c r="F208" s="12" t="s">
        <v>91</v>
      </c>
      <c r="G208" t="s">
        <v>29</v>
      </c>
      <c r="H208" s="12" t="str">
        <f>INDEX('ei names mapping'!$B$71:$BK$100,MATCH('lci-kick scooter'!$B$5,'ei names mapping'!$A$4:$A$33,0),MATCH('lci-kick scooter'!$G208,'ei names mapping'!$B$3:$BK$3,0))</f>
        <v>road wear emissions, passenger car</v>
      </c>
    </row>
    <row r="209" spans="1:8" x14ac:dyDescent="0.3">
      <c r="A209" s="12" t="str">
        <f>INDEX('ei names mapping'!$B$4:$BK$33,MATCH('lci-kick scooter'!$B$5,'ei names mapping'!$A$4:$A$33,0),MATCH('lci-kick scooter'!$G209,'ei names mapping'!$B$3:$BK$3,0))</f>
        <v>treatment of tyre wear emissions, passenger car</v>
      </c>
      <c r="B209" s="15">
        <f>INDEX('vehicles specifications'!$B$3:$CK$86,MATCH(B180,'vehicles specifications'!$A$3:$A$86,0),MATCH(G209,'vehicles specifications'!$B$2:$CK$2,0))*INDEX('ei names mapping'!$B$137:$BK$220,MATCH(B180,'ei names mapping'!$A$137:$A$220,0),MATCH(G209,'ei names mapping'!$B$136:$BK$136,0))</f>
        <v>-2.9189999999999999E-6</v>
      </c>
      <c r="C209" s="12" t="str">
        <f>INDEX('ei names mapping'!$B$38:$BK$67,MATCH('lci-kick scooter'!$B$5,'ei names mapping'!$A$4:$A$33,0),MATCH('lci-kick scooter'!$G209,'ei names mapping'!$B$3:$BK$3,0))</f>
        <v>RER</v>
      </c>
      <c r="D209" s="12" t="str">
        <f>INDEX('ei names mapping'!$B$104:$BK$133,MATCH('lci-kick scooter'!$B$5,'ei names mapping'!$A$4:$A$33,0),MATCH('lci-kick scooter'!$G209,'ei names mapping'!$B$3:$BK$3,0))</f>
        <v>kilogram</v>
      </c>
      <c r="E209" s="12"/>
      <c r="F209" s="12" t="s">
        <v>91</v>
      </c>
      <c r="G209" t="s">
        <v>30</v>
      </c>
      <c r="H209" s="12" t="str">
        <f>INDEX('ei names mapping'!$B$71:$BK$100,MATCH('lci-kick scooter'!$B$5,'ei names mapping'!$A$4:$A$33,0),MATCH('lci-kick scooter'!$G209,'ei names mapping'!$B$3:$BK$3,0))</f>
        <v>tyre wear emissions, passenger car</v>
      </c>
    </row>
    <row r="210" spans="1:8" x14ac:dyDescent="0.3">
      <c r="A210" s="12" t="str">
        <f>INDEX('ei names mapping'!$B$4:$BK$33,MATCH('lci-kick scooter'!$B$5,'ei names mapping'!$A$4:$A$33,0),MATCH('lci-kick scooter'!$G210,'ei names mapping'!$B$3:$BK$3,0))</f>
        <v>treatment of brake wear emissions, passenger car</v>
      </c>
      <c r="B210" s="15">
        <f>INDEX('vehicles specifications'!$B$3:$CK$86,MATCH(B180,'vehicles specifications'!$A$3:$A$86,0),MATCH(G210,'vehicles specifications'!$B$2:$CK$2,0))*INDEX('ei names mapping'!$B$137:$BK$220,MATCH(B180,'ei names mapping'!$A$137:$A$220,0),MATCH(G210,'ei names mapping'!$B$136:$BK$136,0))</f>
        <v>-1.8370000000000002E-6</v>
      </c>
      <c r="C210" s="12" t="str">
        <f>INDEX('ei names mapping'!$B$38:$BK$67,MATCH('lci-kick scooter'!$B$5,'ei names mapping'!$A$4:$A$33,0),MATCH('lci-kick scooter'!$G210,'ei names mapping'!$B$3:$BK$3,0))</f>
        <v>RER</v>
      </c>
      <c r="D210" s="12" t="str">
        <f>INDEX('ei names mapping'!$B$104:$BK$133,MATCH('lci-kick scooter'!$B$5,'ei names mapping'!$A$4:$A$33,0),MATCH('lci-kick scooter'!$G210,'ei names mapping'!$B$3:$BK$3,0))</f>
        <v>kilogram</v>
      </c>
      <c r="E210" s="12"/>
      <c r="F210" s="12" t="s">
        <v>91</v>
      </c>
      <c r="G210" t="s">
        <v>31</v>
      </c>
      <c r="H210" s="12" t="str">
        <f>INDEX('ei names mapping'!$B$71:$BK$100,MATCH('lci-kick scooter'!$B$5,'ei names mapping'!$A$4:$A$33,0),MATCH('lci-kick scooter'!$G210,'ei names mapping'!$B$3:$BK$3,0))</f>
        <v>brake wear emissions, passenger car</v>
      </c>
    </row>
    <row r="212" spans="1:8" ht="15.6" x14ac:dyDescent="0.3">
      <c r="A212" s="11" t="s">
        <v>72</v>
      </c>
      <c r="B212" s="9" t="str">
        <f>"transport, "&amp;B214&amp;", "&amp;B216</f>
        <v>transport, Kick Scooter, electric, &lt;1kW, 2030</v>
      </c>
    </row>
    <row r="213" spans="1:8" x14ac:dyDescent="0.3">
      <c r="A213" t="s">
        <v>73</v>
      </c>
      <c r="B213" t="s">
        <v>37</v>
      </c>
    </row>
    <row r="214" spans="1:8" x14ac:dyDescent="0.3">
      <c r="A214" t="s">
        <v>87</v>
      </c>
      <c r="B214" s="12" t="s">
        <v>688</v>
      </c>
    </row>
    <row r="215" spans="1:8" x14ac:dyDescent="0.3">
      <c r="A215" t="s">
        <v>88</v>
      </c>
      <c r="B215" s="12"/>
    </row>
    <row r="216" spans="1:8" x14ac:dyDescent="0.3">
      <c r="A216" t="s">
        <v>89</v>
      </c>
      <c r="B216" s="12">
        <v>2030</v>
      </c>
    </row>
    <row r="217" spans="1:8" x14ac:dyDescent="0.3">
      <c r="A217" t="s">
        <v>131</v>
      </c>
      <c r="B217" s="12" t="str">
        <f>B214&amp;" - "&amp;B216&amp;" - "&amp;B213</f>
        <v>Kick Scooter, electric, &lt;1kW - 2030 - CH</v>
      </c>
    </row>
    <row r="218" spans="1:8" x14ac:dyDescent="0.3">
      <c r="A218" t="s">
        <v>74</v>
      </c>
      <c r="B218" s="12" t="str">
        <f>"transport, "&amp;B214</f>
        <v>transport, Kick Scooter, electric, &lt;1kW</v>
      </c>
    </row>
    <row r="219" spans="1:8" x14ac:dyDescent="0.3">
      <c r="A219" t="s">
        <v>75</v>
      </c>
      <c r="B219" t="s">
        <v>76</v>
      </c>
    </row>
    <row r="220" spans="1:8" x14ac:dyDescent="0.3">
      <c r="A220" t="s">
        <v>77</v>
      </c>
      <c r="B220" t="s">
        <v>172</v>
      </c>
    </row>
    <row r="221" spans="1:8" x14ac:dyDescent="0.3">
      <c r="A221" t="s">
        <v>79</v>
      </c>
      <c r="B221" t="s">
        <v>90</v>
      </c>
    </row>
    <row r="222" spans="1:8" x14ac:dyDescent="0.3">
      <c r="A222" t="s">
        <v>132</v>
      </c>
      <c r="B222">
        <f>INDEX('vehicles specifications'!$B$3:$CK$86,MATCH('lci-kick scooter'!B217,'vehicles specifications'!$A$3:$A$86,0),MATCH("Lifetime [km]",'vehicles specifications'!$B$2:$CK$2,0))</f>
        <v>1785</v>
      </c>
    </row>
    <row r="223" spans="1:8" x14ac:dyDescent="0.3">
      <c r="A223" t="s">
        <v>133</v>
      </c>
      <c r="B223">
        <f>INDEX('vehicles specifications'!$B$3:$CK$86,MATCH('lci-kick scooter'!B217,'vehicles specifications'!$A$3:$A$86,0),MATCH("Passengers [unit]",'vehicles specifications'!$B$2:$CK$2,0))</f>
        <v>1</v>
      </c>
    </row>
    <row r="224" spans="1:8" x14ac:dyDescent="0.3">
      <c r="A224" t="s">
        <v>134</v>
      </c>
      <c r="B224">
        <f>INDEX('vehicles specifications'!$B$3:$CK$86,MATCH('lci-kick scooter'!B217,'vehicles specifications'!$A$3:$A$86,0),MATCH("Servicing [unit]",'vehicles specifications'!$B$2:$CK$2,0))</f>
        <v>0.44624999999999998</v>
      </c>
    </row>
    <row r="225" spans="1:8" x14ac:dyDescent="0.3">
      <c r="A225" t="s">
        <v>135</v>
      </c>
      <c r="B225">
        <f>INDEX('vehicles specifications'!$B$3:$CK$86,MATCH('lci-kick scooter'!B217,'vehicles specifications'!$A$3:$A$86,0),MATCH("Energy battery replacement [unit]",'vehicles specifications'!$B$2:$CK$2,0))</f>
        <v>0</v>
      </c>
    </row>
    <row r="226" spans="1:8" x14ac:dyDescent="0.3">
      <c r="A226" t="s">
        <v>136</v>
      </c>
      <c r="B226">
        <f>INDEX('vehicles specifications'!$B$3:$CK$86,MATCH('lci-kick scooter'!B217,'vehicles specifications'!$A$3:$A$86,0),MATCH("Annual kilometers [km]",'vehicles specifications'!$B$2:$CK$2,0))</f>
        <v>890</v>
      </c>
    </row>
    <row r="227" spans="1:8" x14ac:dyDescent="0.3">
      <c r="A227" t="s">
        <v>137</v>
      </c>
      <c r="B227">
        <f>INDEX('vehicles specifications'!$B$3:$CK$86,MATCH('lci-kick scooter'!B217,'vehicles specifications'!$A$3:$A$86,0),MATCH("Curb mass [kg]",'vehicles specifications'!$B$2:$CK$2,0))</f>
        <v>11.856666666666666</v>
      </c>
    </row>
    <row r="228" spans="1:8" x14ac:dyDescent="0.3">
      <c r="A228" t="s">
        <v>138</v>
      </c>
      <c r="B228">
        <f>INDEX('vehicles specifications'!$B$3:$CK$86,MATCH('lci-kick scooter'!B217,'vehicles specifications'!$A$3:$A$86,0),MATCH("Power [kW]",'vehicles specifications'!$B$2:$CK$2,0))</f>
        <v>0.25</v>
      </c>
    </row>
    <row r="229" spans="1:8" x14ac:dyDescent="0.3">
      <c r="A229" t="s">
        <v>139</v>
      </c>
      <c r="B229">
        <f>INDEX('vehicles specifications'!$B$3:$CK$86,MATCH('lci-kick scooter'!B217,'vehicles specifications'!$A$3:$A$86,0),MATCH("Energy battery mass [kg]",'vehicles specifications'!$B$2:$CK$2,0))</f>
        <v>2.166666666666667</v>
      </c>
    </row>
    <row r="230" spans="1:8" x14ac:dyDescent="0.3">
      <c r="A230" t="s">
        <v>140</v>
      </c>
      <c r="B230" s="21">
        <f>INDEX('vehicles specifications'!$B$3:$CK$86,MATCH('lci-kick scooter'!B217,'vehicles specifications'!$A$3:$A$86,0),MATCH("Electric energy stored [kWh]",'vehicles specifications'!$B$2:$CK$2,0))</f>
        <v>0.5</v>
      </c>
    </row>
    <row r="231" spans="1:8" s="21" customFormat="1" x14ac:dyDescent="0.3">
      <c r="A231" s="21" t="s">
        <v>654</v>
      </c>
      <c r="B231" s="21">
        <f>INDEX('vehicles specifications'!$B$3:$CK$86,MATCH('lci-kick scooter'!B217,'vehicles specifications'!$A$3:$A$86,0),MATCH("Electric energy available [kWh]",'vehicles specifications'!$B$2:$CK$2,0))</f>
        <v>0.4</v>
      </c>
    </row>
    <row r="232" spans="1:8" x14ac:dyDescent="0.3">
      <c r="A232" t="s">
        <v>143</v>
      </c>
      <c r="B232">
        <f>INDEX('vehicles specifications'!$B$3:$CK$86,MATCH('lci-kick scooter'!B217,'vehicles specifications'!$A$3:$A$86,0),MATCH("Oxydation energy stored [kWh]",'vehicles specifications'!$B$2:$CK$2,0))</f>
        <v>0</v>
      </c>
    </row>
    <row r="233" spans="1:8" x14ac:dyDescent="0.3">
      <c r="A233" t="s">
        <v>145</v>
      </c>
      <c r="B233">
        <f>INDEX('vehicles specifications'!$B$3:$CK$86,MATCH('lci-kick scooter'!B217,'vehicles specifications'!$A$3:$A$86,0),MATCH("Fuel mass [kg]",'vehicles specifications'!$B$2:$CK$2,0))</f>
        <v>0</v>
      </c>
    </row>
    <row r="234" spans="1:8" x14ac:dyDescent="0.3">
      <c r="A234" t="s">
        <v>141</v>
      </c>
      <c r="B234">
        <f>INDEX('vehicles specifications'!$B$3:$CK$86,MATCH('lci-kick scooter'!B217,'vehicles specifications'!$A$3:$A$86,0),MATCH("Range [km]",'vehicles specifications'!$B$2:$CK$2,0))</f>
        <v>16.719626168224298</v>
      </c>
    </row>
    <row r="235" spans="1:8" x14ac:dyDescent="0.3">
      <c r="A235" t="s">
        <v>142</v>
      </c>
      <c r="B235" t="str">
        <f>INDEX('vehicles specifications'!$B$3:$CK$86,MATCH('lci-kick scooter'!B217,'vehicles specifications'!$A$3:$A$86,0),MATCH("Emission standard",'vehicles specifications'!$B$2:$CK$2,0))</f>
        <v>None</v>
      </c>
    </row>
    <row r="236" spans="1:8" x14ac:dyDescent="0.3">
      <c r="A236" t="s">
        <v>144</v>
      </c>
      <c r="B236" s="6">
        <f>INDEX('vehicles specifications'!$B$3:$CK$86,MATCH('lci-kick scooter'!B217,'vehicles specifications'!$A$3:$A$86,0),MATCH("Lightweighting rate [%]",'vehicles specifications'!$B$2:$CK$2,0))</f>
        <v>0.03</v>
      </c>
    </row>
    <row r="237" spans="1:8" x14ac:dyDescent="0.3">
      <c r="A237" t="s">
        <v>84</v>
      </c>
      <c r="B237" s="21" t="str">
        <f>"Power: "&amp;B228&amp;" kW. Lifetime: "&amp;B222&amp;" km. Annual kilometers: "&amp;B226&amp;" km. Number of passengers: "&amp;B223&amp;". Curb mass: "&amp;ROUND(B227,1)&amp;" kg. Lightweighting of glider: "&amp;ROUND(B236*100,0)&amp;"%. Emission standard: "&amp;B235&amp;". Service visits throughout lifetime: "&amp;ROUND(B224,1)&amp;". Range: "&amp;ROUND(B234,0)&amp;" km. Battery capacity: "&amp;ROUND(B230,1)&amp;" kWh. Available battery capacity: "&amp;B231&amp;" kWh. Battery mass: "&amp;ROUND(B229,1)&amp; " kg. Battery replacement throughout lifetime: "&amp;ROUND(B225,1)&amp;". Fuel tank capacity: "&amp;ROUND(B232,1)&amp;" kWh. Fuel mass: "&amp;ROUND(B233,1)&amp;" kg. Documentation: "&amp;Readmefirst!$B$2&amp;", "&amp;Readmefirst!$B$3&amp;". "&amp;'lci-kick scooter'!B176</f>
        <v>Power: 0.25 kW. Lifetime: 1785 km. Annual kilometers: 890 km. Number of passengers: 1. Curb mass: 11.9 kg. Lightweighting of glider: 3%. Emission standard: None. Service visits throughout lifetime: 0.4. Range: 17 km. Battery capacity: 0.5 kWh. Available battery capacity: 0.4 kWh. Battery mass: 2.2 kg. Battery replacement throughout lifetime: 0. Fuel tank capacity: 0 kWh. Fuel mass: 0 kg. Documentation: 2021 UVEK life-cycle inventories update of on-road vehicles, Sacchi R. (PSI), Bauer C. (PSI), 2021. CH</v>
      </c>
    </row>
    <row r="238" spans="1:8" ht="15.6" x14ac:dyDescent="0.3">
      <c r="A238" s="11" t="s">
        <v>80</v>
      </c>
    </row>
    <row r="239" spans="1:8" x14ac:dyDescent="0.3">
      <c r="A239" t="s">
        <v>81</v>
      </c>
      <c r="B239" t="s">
        <v>82</v>
      </c>
      <c r="C239" t="s">
        <v>73</v>
      </c>
      <c r="D239" t="s">
        <v>77</v>
      </c>
      <c r="E239" t="s">
        <v>83</v>
      </c>
      <c r="F239" t="s">
        <v>75</v>
      </c>
      <c r="G239" t="s">
        <v>84</v>
      </c>
      <c r="H239" t="s">
        <v>74</v>
      </c>
    </row>
    <row r="240" spans="1:8" x14ac:dyDescent="0.3">
      <c r="A240" s="12" t="str">
        <f>B212</f>
        <v>transport, Kick Scooter, electric, &lt;1kW, 2030</v>
      </c>
      <c r="B240" s="12">
        <v>1</v>
      </c>
      <c r="C240" s="12" t="str">
        <f>B213</f>
        <v>CH</v>
      </c>
      <c r="D240" s="12" t="s">
        <v>172</v>
      </c>
      <c r="E240" s="12"/>
      <c r="F240" s="12" t="s">
        <v>85</v>
      </c>
      <c r="G240" s="12" t="s">
        <v>86</v>
      </c>
      <c r="H240" s="12" t="str">
        <f>B218</f>
        <v>transport, Kick Scooter, electric, &lt;1kW</v>
      </c>
    </row>
    <row r="241" spans="1:8" x14ac:dyDescent="0.3">
      <c r="A241" s="12" t="str">
        <f>RIGHT(A240,LEN(A240)-11)</f>
        <v>Kick Scooter, electric, &lt;1kW, 2030</v>
      </c>
      <c r="B241" s="12">
        <f>1/B222</f>
        <v>5.602240896358543E-4</v>
      </c>
      <c r="C241" s="12" t="str">
        <f>B213</f>
        <v>CH</v>
      </c>
      <c r="D241" s="12" t="s">
        <v>77</v>
      </c>
      <c r="E241" s="12"/>
      <c r="F241" s="12" t="s">
        <v>91</v>
      </c>
      <c r="G241" s="12"/>
      <c r="H241" s="12" t="str">
        <f>RIGHT(H240,LEN(H240)-11)</f>
        <v>Kick Scooter, electric, &lt;1kW</v>
      </c>
    </row>
    <row r="242" spans="1:8" x14ac:dyDescent="0.3">
      <c r="A242" s="12" t="str">
        <f>INDEX('ei names mapping'!$B$4:$R$33,MATCH('lci-kick scooter'!$B$5,'ei names mapping'!$A$4:$A$33,0),MATCH('lci-kick scooter'!$G242,'ei names mapping'!$B$3:$R$3,0))</f>
        <v>market for electricity, low voltage</v>
      </c>
      <c r="B242" s="14">
        <f>INDEX('vehicles specifications'!$B$3:$CK$86,MATCH(B217,'vehicles specifications'!$A$3:$A$86,0),MATCH(G242,'vehicles specifications'!$B$2:$CK$2,0))*INDEX('ei names mapping'!$B$137:$BK$220,MATCH(B217,'ei names mapping'!$A$137:$A$220,0),MATCH(G242,'ei names mapping'!$B$136:$BK$136,0))</f>
        <v>2.6316377864728905E-2</v>
      </c>
      <c r="C242" s="12" t="str">
        <f>INDEX('ei names mapping'!$B$38:$R$67,MATCH('lci-kick scooter'!$B$5,'ei names mapping'!$A$4:$A$33,0),MATCH('lci-kick scooter'!$G242,'ei names mapping'!$B$3:$R$3,0))</f>
        <v>CH</v>
      </c>
      <c r="D242" s="12" t="str">
        <f>INDEX('ei names mapping'!$B$104:$R$133,MATCH('lci-kick scooter'!$B$5,'ei names mapping'!$A$4:$A$33,0),MATCH('lci-kick scooter'!$G242,'ei names mapping'!$B$3:$R$3,0))</f>
        <v>kilowatt hour</v>
      </c>
      <c r="F242" s="12" t="s">
        <v>91</v>
      </c>
      <c r="G242" t="s">
        <v>28</v>
      </c>
      <c r="H242" s="12" t="str">
        <f>INDEX('ei names mapping'!$B$71:$R$100,MATCH('lci-kick scooter'!$B$5,'ei names mapping'!$A$4:$A$33,0),MATCH('lci-kick scooter'!$G242,'ei names mapping'!$B$3:$R$3,0))</f>
        <v>electricity, low voltage</v>
      </c>
    </row>
    <row r="243" spans="1:8" x14ac:dyDescent="0.3">
      <c r="A243" s="12" t="str">
        <f>INDEX('ei names mapping'!$B$4:$R$33,MATCH('lci-kick scooter'!$B$5,'ei names mapping'!$A$4:$A$33,0),MATCH('lci-kick scooter'!$G243,'ei names mapping'!$B$3:$R$3,0))</f>
        <v>maintenance, bicycle</v>
      </c>
      <c r="B243" s="14">
        <f>INDEX('vehicles specifications'!$B$3:$CK$86,MATCH(B217,'vehicles specifications'!$A$3:$A$86,0),MATCH(G243,'vehicles specifications'!$B$2:$CK$2,0))*INDEX('ei names mapping'!$B$137:$BK$220,MATCH(B217,'ei names mapping'!$A$137:$A$220,0),MATCH(G243,'ei names mapping'!$B$136:$BK$136,0))</f>
        <v>2.4999999999999995E-4</v>
      </c>
      <c r="C243" s="12" t="str">
        <f>INDEX('ei names mapping'!$B$38:$R$67,MATCH('lci-kick scooter'!$B$5,'ei names mapping'!$A$4:$A$33,0),MATCH('lci-kick scooter'!$G243,'ei names mapping'!$B$3:$R$3,0))</f>
        <v>CH</v>
      </c>
      <c r="D243" s="12" t="str">
        <f>INDEX('ei names mapping'!$B$104:$R$133,MATCH('lci-kick scooter'!$B$5,'ei names mapping'!$A$4:$A$33,0),MATCH('lci-kick scooter'!$G243,'ei names mapping'!$B$3:$R$3,0))</f>
        <v>unit</v>
      </c>
      <c r="F243" s="12" t="s">
        <v>91</v>
      </c>
      <c r="G243" t="s">
        <v>123</v>
      </c>
      <c r="H243" s="12" t="str">
        <f>INDEX('ei names mapping'!$B$71:$R$100,MATCH('lci-kick scooter'!$B$5,'ei names mapping'!$A$4:$A$33,0),MATCH('lci-kick scooter'!$G243,'ei names mapping'!$B$3:$R$3,0))</f>
        <v>maintenance, bicycle</v>
      </c>
    </row>
    <row r="244" spans="1:8" s="21" customFormat="1" x14ac:dyDescent="0.3">
      <c r="A244" s="12" t="str">
        <f>INDEX('ei names mapping'!$B$4:$R$33,MATCH(B214,'ei names mapping'!$A$4:$A$33,0),MATCH(G244,'ei names mapping'!$B$3:$R$3,0))</f>
        <v>road construction</v>
      </c>
      <c r="B244" s="16">
        <f>INDEX('vehicles specifications'!$B$3:$CK$86,MATCH(B217,'vehicles specifications'!$A$3:$A$86,0),MATCH(G244,'vehicles specifications'!$B$2:$CK$2,0))*INDEX('ei names mapping'!$B$137:$BK$220,MATCH(B217,'ei names mapping'!$A$137:$A$220,0),MATCH(G244,'ei names mapping'!$B$136:$BK$136,0))</f>
        <v>4.3957030000000002E-5</v>
      </c>
      <c r="C244" s="12" t="str">
        <f>INDEX('ei names mapping'!$B$38:$R$67,MATCH(B214,'ei names mapping'!$A$4:$A$33,0),MATCH(G244,'ei names mapping'!$B$3:$R$3,0))</f>
        <v>CH</v>
      </c>
      <c r="D244" s="12" t="str">
        <f>INDEX('ei names mapping'!$B$104:$R$133,MATCH(B214,'ei names mapping'!$A$104:$A$133,0),MATCH(G244,'ei names mapping'!$B$3:$R$3,0))</f>
        <v>meter-year</v>
      </c>
      <c r="E244" s="12"/>
      <c r="F244" s="12" t="s">
        <v>91</v>
      </c>
      <c r="G244" s="21" t="s">
        <v>108</v>
      </c>
      <c r="H244" s="12" t="str">
        <f>INDEX('ei names mapping'!$B$71:$R$100,MATCH(B214,'ei names mapping'!$A$4:$A$33,0),MATCH(G244,'ei names mapping'!$B$3:$R$3,0))</f>
        <v>road</v>
      </c>
    </row>
    <row r="245" spans="1:8" x14ac:dyDescent="0.3">
      <c r="A245" s="12" t="str">
        <f>INDEX('ei names mapping'!$B$4:$BK$33,MATCH('lci-kick scooter'!$B$5,'ei names mapping'!$A$4:$A$33,0),MATCH('lci-kick scooter'!$G245,'ei names mapping'!$B$3:$BK$3,0))</f>
        <v>treatment of road wear emissions, passenger car</v>
      </c>
      <c r="B245" s="14">
        <f>INDEX('vehicles specifications'!$B$3:$CK$86,MATCH(B217,'vehicles specifications'!$A$3:$A$86,0),MATCH(G245,'vehicles specifications'!$B$2:$CK$2,0))*INDEX('ei names mapping'!$B$137:$BK$220,MATCH(B217,'ei names mapping'!$A$137:$A$220,0),MATCH(G245,'ei names mapping'!$B$136:$BK$136,0))</f>
        <v>-3.0000000000000001E-6</v>
      </c>
      <c r="C245" s="12" t="str">
        <f>INDEX('ei names mapping'!$B$38:$BK$67,MATCH('lci-kick scooter'!$B$5,'ei names mapping'!$A$4:$A$33,0),MATCH('lci-kick scooter'!$G245,'ei names mapping'!$B$3:$BK$3,0))</f>
        <v>RER</v>
      </c>
      <c r="D245" s="12" t="str">
        <f>INDEX('ei names mapping'!$B$104:$BK$133,MATCH('lci-kick scooter'!$B$5,'ei names mapping'!$A$4:$A$33,0),MATCH('lci-kick scooter'!$G245,'ei names mapping'!$B$3:$BK$3,0))</f>
        <v>kilogram</v>
      </c>
      <c r="E245" s="12"/>
      <c r="F245" s="12" t="s">
        <v>91</v>
      </c>
      <c r="G245" t="s">
        <v>29</v>
      </c>
      <c r="H245" s="12" t="str">
        <f>INDEX('ei names mapping'!$B$71:$BK$100,MATCH('lci-kick scooter'!$B$5,'ei names mapping'!$A$4:$A$33,0),MATCH('lci-kick scooter'!$G245,'ei names mapping'!$B$3:$BK$3,0))</f>
        <v>road wear emissions, passenger car</v>
      </c>
    </row>
    <row r="246" spans="1:8" x14ac:dyDescent="0.3">
      <c r="A246" s="12" t="str">
        <f>INDEX('ei names mapping'!$B$4:$BK$33,MATCH('lci-kick scooter'!$B$5,'ei names mapping'!$A$4:$A$33,0),MATCH('lci-kick scooter'!$G246,'ei names mapping'!$B$3:$BK$3,0))</f>
        <v>treatment of tyre wear emissions, passenger car</v>
      </c>
      <c r="B246" s="14">
        <f>INDEX('vehicles specifications'!$B$3:$CK$86,MATCH(B217,'vehicles specifications'!$A$3:$A$86,0),MATCH(G246,'vehicles specifications'!$B$2:$CK$2,0))*INDEX('ei names mapping'!$B$137:$BK$220,MATCH(B217,'ei names mapping'!$A$137:$A$220,0),MATCH(G246,'ei names mapping'!$B$136:$BK$136,0))</f>
        <v>-2.9189999999999999E-6</v>
      </c>
      <c r="C246" s="12" t="str">
        <f>INDEX('ei names mapping'!$B$38:$BK$67,MATCH('lci-kick scooter'!$B$5,'ei names mapping'!$A$4:$A$33,0),MATCH('lci-kick scooter'!$G246,'ei names mapping'!$B$3:$BK$3,0))</f>
        <v>RER</v>
      </c>
      <c r="D246" s="12" t="str">
        <f>INDEX('ei names mapping'!$B$104:$BK$133,MATCH('lci-kick scooter'!$B$5,'ei names mapping'!$A$4:$A$33,0),MATCH('lci-kick scooter'!$G246,'ei names mapping'!$B$3:$BK$3,0))</f>
        <v>kilogram</v>
      </c>
      <c r="E246" s="12"/>
      <c r="F246" s="12" t="s">
        <v>91</v>
      </c>
      <c r="G246" t="s">
        <v>30</v>
      </c>
      <c r="H246" s="12" t="str">
        <f>INDEX('ei names mapping'!$B$71:$BK$100,MATCH('lci-kick scooter'!$B$5,'ei names mapping'!$A$4:$A$33,0),MATCH('lci-kick scooter'!$G246,'ei names mapping'!$B$3:$BK$3,0))</f>
        <v>tyre wear emissions, passenger car</v>
      </c>
    </row>
    <row r="247" spans="1:8" x14ac:dyDescent="0.3">
      <c r="A247" s="12" t="str">
        <f>INDEX('ei names mapping'!$B$4:$BK$33,MATCH('lci-kick scooter'!$B$5,'ei names mapping'!$A$4:$A$33,0),MATCH('lci-kick scooter'!$G247,'ei names mapping'!$B$3:$BK$3,0))</f>
        <v>treatment of brake wear emissions, passenger car</v>
      </c>
      <c r="B247" s="14">
        <f>INDEX('vehicles specifications'!$B$3:$CK$86,MATCH(B217,'vehicles specifications'!$A$3:$A$86,0),MATCH(G247,'vehicles specifications'!$B$2:$CK$2,0))*INDEX('ei names mapping'!$B$137:$BK$220,MATCH(B217,'ei names mapping'!$A$137:$A$220,0),MATCH(G247,'ei names mapping'!$B$136:$BK$136,0))</f>
        <v>-1.8370000000000002E-6</v>
      </c>
      <c r="C247" s="12" t="str">
        <f>INDEX('ei names mapping'!$B$38:$BK$67,MATCH('lci-kick scooter'!$B$5,'ei names mapping'!$A$4:$A$33,0),MATCH('lci-kick scooter'!$G247,'ei names mapping'!$B$3:$BK$3,0))</f>
        <v>RER</v>
      </c>
      <c r="D247" s="12" t="str">
        <f>INDEX('ei names mapping'!$B$104:$BK$133,MATCH('lci-kick scooter'!$B$5,'ei names mapping'!$A$4:$A$33,0),MATCH('lci-kick scooter'!$G247,'ei names mapping'!$B$3:$BK$3,0))</f>
        <v>kilogram</v>
      </c>
      <c r="E247" s="12"/>
      <c r="F247" s="12" t="s">
        <v>91</v>
      </c>
      <c r="G247" t="s">
        <v>31</v>
      </c>
      <c r="H247" s="12" t="str">
        <f>INDEX('ei names mapping'!$B$71:$BK$100,MATCH('lci-kick scooter'!$B$5,'ei names mapping'!$A$4:$A$33,0),MATCH('lci-kick scooter'!$G247,'ei names mapping'!$B$3:$BK$3,0))</f>
        <v>brake wear emissions, passenger car</v>
      </c>
    </row>
    <row r="249" spans="1:8" ht="15.6" x14ac:dyDescent="0.3">
      <c r="A249" s="11" t="s">
        <v>72</v>
      </c>
      <c r="B249" s="9" t="str">
        <f>"transport, "&amp;B251&amp;", "&amp;B253</f>
        <v>transport, Kick Scooter, electric, &lt;1kW, 2040</v>
      </c>
    </row>
    <row r="250" spans="1:8" x14ac:dyDescent="0.3">
      <c r="A250" t="s">
        <v>73</v>
      </c>
      <c r="B250" t="s">
        <v>37</v>
      </c>
    </row>
    <row r="251" spans="1:8" x14ac:dyDescent="0.3">
      <c r="A251" t="s">
        <v>87</v>
      </c>
      <c r="B251" s="12" t="s">
        <v>688</v>
      </c>
    </row>
    <row r="252" spans="1:8" x14ac:dyDescent="0.3">
      <c r="A252" t="s">
        <v>88</v>
      </c>
      <c r="B252" s="12"/>
    </row>
    <row r="253" spans="1:8" x14ac:dyDescent="0.3">
      <c r="A253" t="s">
        <v>89</v>
      </c>
      <c r="B253" s="12">
        <v>2040</v>
      </c>
    </row>
    <row r="254" spans="1:8" x14ac:dyDescent="0.3">
      <c r="A254" t="s">
        <v>131</v>
      </c>
      <c r="B254" s="12" t="str">
        <f>B251&amp;" - "&amp;B253&amp;" - "&amp;B250</f>
        <v>Kick Scooter, electric, &lt;1kW - 2040 - CH</v>
      </c>
    </row>
    <row r="255" spans="1:8" x14ac:dyDescent="0.3">
      <c r="A255" t="s">
        <v>74</v>
      </c>
      <c r="B255" s="12" t="str">
        <f>"transport, "&amp;B251</f>
        <v>transport, Kick Scooter, electric, &lt;1kW</v>
      </c>
    </row>
    <row r="256" spans="1:8" x14ac:dyDescent="0.3">
      <c r="A256" t="s">
        <v>75</v>
      </c>
      <c r="B256" t="s">
        <v>76</v>
      </c>
    </row>
    <row r="257" spans="1:2" x14ac:dyDescent="0.3">
      <c r="A257" t="s">
        <v>77</v>
      </c>
      <c r="B257" t="s">
        <v>172</v>
      </c>
    </row>
    <row r="258" spans="1:2" x14ac:dyDescent="0.3">
      <c r="A258" t="s">
        <v>79</v>
      </c>
      <c r="B258" t="s">
        <v>90</v>
      </c>
    </row>
    <row r="259" spans="1:2" x14ac:dyDescent="0.3">
      <c r="A259" t="s">
        <v>132</v>
      </c>
      <c r="B259">
        <f>INDEX('vehicles specifications'!$B$3:$CK$86,MATCH('lci-kick scooter'!B254,'vehicles specifications'!$A$3:$A$86,0),MATCH("Lifetime [km]",'vehicles specifications'!$B$2:$CK$2,0))</f>
        <v>1785</v>
      </c>
    </row>
    <row r="260" spans="1:2" x14ac:dyDescent="0.3">
      <c r="A260" t="s">
        <v>133</v>
      </c>
      <c r="B260">
        <f>INDEX('vehicles specifications'!$B$3:$CK$86,MATCH('lci-kick scooter'!B254,'vehicles specifications'!$A$3:$A$86,0),MATCH("Passengers [unit]",'vehicles specifications'!$B$2:$CK$2,0))</f>
        <v>1</v>
      </c>
    </row>
    <row r="261" spans="1:2" x14ac:dyDescent="0.3">
      <c r="A261" t="s">
        <v>134</v>
      </c>
      <c r="B261">
        <f>INDEX('vehicles specifications'!$B$3:$CK$86,MATCH('lci-kick scooter'!B254,'vehicles specifications'!$A$3:$A$86,0),MATCH("Servicing [unit]",'vehicles specifications'!$B$2:$CK$2,0))</f>
        <v>0.44624999999999998</v>
      </c>
    </row>
    <row r="262" spans="1:2" x14ac:dyDescent="0.3">
      <c r="A262" t="s">
        <v>135</v>
      </c>
      <c r="B262">
        <f>INDEX('vehicles specifications'!$B$3:$CK$86,MATCH('lci-kick scooter'!B254,'vehicles specifications'!$A$3:$A$86,0),MATCH("Energy battery replacement [unit]",'vehicles specifications'!$B$2:$CK$2,0))</f>
        <v>0</v>
      </c>
    </row>
    <row r="263" spans="1:2" x14ac:dyDescent="0.3">
      <c r="A263" t="s">
        <v>136</v>
      </c>
      <c r="B263">
        <f>INDEX('vehicles specifications'!$B$3:$CK$86,MATCH('lci-kick scooter'!B254,'vehicles specifications'!$A$3:$A$86,0),MATCH("Annual kilometers [km]",'vehicles specifications'!$B$2:$CK$2,0))</f>
        <v>890</v>
      </c>
    </row>
    <row r="264" spans="1:2" x14ac:dyDescent="0.3">
      <c r="A264" t="s">
        <v>137</v>
      </c>
      <c r="B264">
        <f>INDEX('vehicles specifications'!$B$3:$CK$86,MATCH('lci-kick scooter'!B254,'vehicles specifications'!$A$3:$A$86,0),MATCH("Curb mass [kg]",'vehicles specifications'!$B$2:$CK$2,0))</f>
        <v>12.049999999999999</v>
      </c>
    </row>
    <row r="265" spans="1:2" x14ac:dyDescent="0.3">
      <c r="A265" t="s">
        <v>138</v>
      </c>
      <c r="B265">
        <f>INDEX('vehicles specifications'!$B$3:$CK$86,MATCH('lci-kick scooter'!B254,'vehicles specifications'!$A$3:$A$86,0),MATCH("Power [kW]",'vehicles specifications'!$B$2:$CK$2,0))</f>
        <v>0.25</v>
      </c>
    </row>
    <row r="266" spans="1:2" x14ac:dyDescent="0.3">
      <c r="A266" t="s">
        <v>139</v>
      </c>
      <c r="B266">
        <f>INDEX('vehicles specifications'!$B$3:$CK$86,MATCH('lci-kick scooter'!B254,'vehicles specifications'!$A$3:$A$86,0),MATCH("Energy battery mass [kg]",'vehicles specifications'!$B$2:$CK$2,0))</f>
        <v>2.6</v>
      </c>
    </row>
    <row r="267" spans="1:2" x14ac:dyDescent="0.3">
      <c r="A267" t="s">
        <v>140</v>
      </c>
      <c r="B267" s="21">
        <f>INDEX('vehicles specifications'!$B$3:$CK$86,MATCH('lci-kick scooter'!B254,'vehicles specifications'!$A$3:$A$86,0),MATCH("Electric energy stored [kWh]",'vehicles specifications'!$B$2:$CK$2,0))</f>
        <v>0.8</v>
      </c>
    </row>
    <row r="268" spans="1:2" s="21" customFormat="1" x14ac:dyDescent="0.3">
      <c r="A268" s="21" t="s">
        <v>654</v>
      </c>
      <c r="B268" s="21">
        <f>INDEX('vehicles specifications'!$B$3:$CK$86,MATCH('lci-kick scooter'!B254,'vehicles specifications'!$A$3:$A$86,0),MATCH("Electric energy available [kWh]",'vehicles specifications'!$B$2:$CK$2,0))</f>
        <v>0.64000000000000012</v>
      </c>
    </row>
    <row r="269" spans="1:2" x14ac:dyDescent="0.3">
      <c r="A269" t="s">
        <v>143</v>
      </c>
      <c r="B269">
        <f>INDEX('vehicles specifications'!$B$3:$CK$86,MATCH('lci-kick scooter'!B254,'vehicles specifications'!$A$3:$A$86,0),MATCH("Oxydation energy stored [kWh]",'vehicles specifications'!$B$2:$CK$2,0))</f>
        <v>0</v>
      </c>
    </row>
    <row r="270" spans="1:2" x14ac:dyDescent="0.3">
      <c r="A270" t="s">
        <v>145</v>
      </c>
      <c r="B270">
        <f>INDEX('vehicles specifications'!$B$3:$CK$86,MATCH('lci-kick scooter'!B254,'vehicles specifications'!$A$3:$A$86,0),MATCH("Fuel mass [kg]",'vehicles specifications'!$B$2:$CK$2,0))</f>
        <v>0</v>
      </c>
    </row>
    <row r="271" spans="1:2" x14ac:dyDescent="0.3">
      <c r="A271" t="s">
        <v>141</v>
      </c>
      <c r="B271">
        <f>INDEX('vehicles specifications'!$B$3:$CK$86,MATCH('lci-kick scooter'!B254,'vehicles specifications'!$A$3:$A$86,0),MATCH("Range [km]",'vehicles specifications'!$B$2:$CK$2,0))</f>
        <v>26.751401869158883</v>
      </c>
    </row>
    <row r="272" spans="1:2" x14ac:dyDescent="0.3">
      <c r="A272" t="s">
        <v>142</v>
      </c>
      <c r="B272" t="str">
        <f>INDEX('vehicles specifications'!$B$3:$CK$86,MATCH('lci-kick scooter'!B254,'vehicles specifications'!$A$3:$A$86,0),MATCH("Emission standard",'vehicles specifications'!$B$2:$CK$2,0))</f>
        <v>None</v>
      </c>
    </row>
    <row r="273" spans="1:8" x14ac:dyDescent="0.3">
      <c r="A273" t="s">
        <v>144</v>
      </c>
      <c r="B273" s="6">
        <f>INDEX('vehicles specifications'!$B$3:$CK$86,MATCH('lci-kick scooter'!B254,'vehicles specifications'!$A$3:$A$86,0),MATCH("Lightweighting rate [%]",'vehicles specifications'!$B$2:$CK$2,0))</f>
        <v>0.05</v>
      </c>
    </row>
    <row r="274" spans="1:8" x14ac:dyDescent="0.3">
      <c r="A274" t="s">
        <v>84</v>
      </c>
      <c r="B274" s="21" t="str">
        <f>"Power: "&amp;B265&amp;" kW. Lifetime: "&amp;B259&amp;" km. Annual kilometers: "&amp;B263&amp;" km. Number of passengers: "&amp;B260&amp;". Curb mass: "&amp;ROUND(B264,1)&amp;" kg. Lightweighting of glider: "&amp;ROUND(B273*100,0)&amp;"%. Emission standard: "&amp;B272&amp;". Service visits throughout lifetime: "&amp;ROUND(B261,1)&amp;". Range: "&amp;ROUND(B271,0)&amp;" km. Battery capacity: "&amp;ROUND(B267,1)&amp;" kWh. Available battery capacity: "&amp;B268&amp;" kWh. Battery mass: "&amp;ROUND(B266,1)&amp; " kg. Battery replacement throughout lifetime: "&amp;ROUND(B262,1)&amp;". Fuel tank capacity: "&amp;ROUND(B269,1)&amp;" kWh. Fuel mass: "&amp;ROUND(B270,1)&amp;" kg. Documentation: "&amp;Readmefirst!$B$2&amp;", "&amp;Readmefirst!$B$3&amp;". "&amp;'lci-kick scooter'!B213</f>
        <v>Power: 0.25 kW. Lifetime: 1785 km. Annual kilometers: 890 km. Number of passengers: 1. Curb mass: 12.1 kg. Lightweighting of glider: 5%. Emission standard: None. Service visits throughout lifetime: 0.4. Range: 27 km. Battery capacity: 0.8 kWh. Available battery capacity: 0.64 kWh. Battery mass: 2.6 kg. Battery replacement throughout lifetime: 0. Fuel tank capacity: 0 kWh. Fuel mass: 0 kg. Documentation: 2021 UVEK life-cycle inventories update of on-road vehicles, Sacchi R. (PSI), Bauer C. (PSI), 2021. CH</v>
      </c>
    </row>
    <row r="275" spans="1:8" ht="15.6" x14ac:dyDescent="0.3">
      <c r="A275" s="11" t="s">
        <v>80</v>
      </c>
    </row>
    <row r="276" spans="1:8" x14ac:dyDescent="0.3">
      <c r="A276" t="s">
        <v>81</v>
      </c>
      <c r="B276" t="s">
        <v>82</v>
      </c>
      <c r="C276" t="s">
        <v>73</v>
      </c>
      <c r="D276" t="s">
        <v>77</v>
      </c>
      <c r="E276" t="s">
        <v>83</v>
      </c>
      <c r="F276" t="s">
        <v>75</v>
      </c>
      <c r="G276" t="s">
        <v>84</v>
      </c>
      <c r="H276" t="s">
        <v>74</v>
      </c>
    </row>
    <row r="277" spans="1:8" x14ac:dyDescent="0.3">
      <c r="A277" s="12" t="str">
        <f>B249</f>
        <v>transport, Kick Scooter, electric, &lt;1kW, 2040</v>
      </c>
      <c r="B277" s="12">
        <v>1</v>
      </c>
      <c r="C277" s="12" t="str">
        <f>B250</f>
        <v>CH</v>
      </c>
      <c r="D277" s="12" t="s">
        <v>172</v>
      </c>
      <c r="E277" s="12"/>
      <c r="F277" s="12" t="s">
        <v>85</v>
      </c>
      <c r="G277" s="12" t="s">
        <v>86</v>
      </c>
      <c r="H277" s="12" t="str">
        <f>B255</f>
        <v>transport, Kick Scooter, electric, &lt;1kW</v>
      </c>
    </row>
    <row r="278" spans="1:8" x14ac:dyDescent="0.3">
      <c r="A278" s="12" t="str">
        <f>RIGHT(A277,LEN(A277)-11)</f>
        <v>Kick Scooter, electric, &lt;1kW, 2040</v>
      </c>
      <c r="B278" s="12">
        <f>1/B259</f>
        <v>5.602240896358543E-4</v>
      </c>
      <c r="C278" s="12" t="str">
        <f>B250</f>
        <v>CH</v>
      </c>
      <c r="D278" s="12" t="s">
        <v>77</v>
      </c>
      <c r="E278" s="12"/>
      <c r="F278" s="12" t="s">
        <v>91</v>
      </c>
      <c r="G278" s="12"/>
      <c r="H278" s="12" t="str">
        <f>RIGHT(H277,LEN(H277)-11)</f>
        <v>Kick Scooter, electric, &lt;1kW</v>
      </c>
    </row>
    <row r="279" spans="1:8" x14ac:dyDescent="0.3">
      <c r="A279" s="12" t="str">
        <f>INDEX('ei names mapping'!$B$4:$R$33,MATCH('lci-kick scooter'!$B$5,'ei names mapping'!$A$4:$A$33,0),MATCH('lci-kick scooter'!$G279,'ei names mapping'!$B$3:$R$3,0))</f>
        <v>market for electricity, low voltage</v>
      </c>
      <c r="B279" s="14">
        <f>INDEX('vehicles specifications'!$B$3:$CK$86,MATCH(B254,'vehicles specifications'!$A$3:$A$86,0),MATCH(G279,'vehicles specifications'!$B$2:$CK$2,0))*INDEX('ei names mapping'!$B$137:$BK$220,MATCH(B254,'ei names mapping'!$A$137:$A$220,0),MATCH(G279,'ei names mapping'!$B$136:$BK$136,0))</f>
        <v>2.6316377864728905E-2</v>
      </c>
      <c r="C279" s="12" t="str">
        <f>INDEX('ei names mapping'!$B$38:$R$67,MATCH('lci-kick scooter'!$B$5,'ei names mapping'!$A$4:$A$33,0),MATCH('lci-kick scooter'!$G279,'ei names mapping'!$B$3:$R$3,0))</f>
        <v>CH</v>
      </c>
      <c r="D279" s="12" t="str">
        <f>INDEX('ei names mapping'!$B$104:$R$133,MATCH('lci-kick scooter'!$B$5,'ei names mapping'!$A$4:$A$33,0),MATCH('lci-kick scooter'!$G279,'ei names mapping'!$B$3:$R$3,0))</f>
        <v>kilowatt hour</v>
      </c>
      <c r="F279" s="12" t="s">
        <v>91</v>
      </c>
      <c r="G279" t="s">
        <v>28</v>
      </c>
      <c r="H279" s="12" t="str">
        <f>INDEX('ei names mapping'!$B$71:$R$100,MATCH('lci-kick scooter'!$B$5,'ei names mapping'!$A$4:$A$33,0),MATCH('lci-kick scooter'!$G279,'ei names mapping'!$B$3:$R$3,0))</f>
        <v>electricity, low voltage</v>
      </c>
    </row>
    <row r="280" spans="1:8" x14ac:dyDescent="0.3">
      <c r="A280" s="12" t="str">
        <f>INDEX('ei names mapping'!$B$4:$R$33,MATCH('lci-kick scooter'!$B$5,'ei names mapping'!$A$4:$A$33,0),MATCH('lci-kick scooter'!$G280,'ei names mapping'!$B$3:$R$3,0))</f>
        <v>maintenance, bicycle</v>
      </c>
      <c r="B280" s="14">
        <f>INDEX('vehicles specifications'!$B$3:$CK$86,MATCH(B254,'vehicles specifications'!$A$3:$A$86,0),MATCH(G280,'vehicles specifications'!$B$2:$CK$2,0))*INDEX('ei names mapping'!$B$137:$BK$220,MATCH(B254,'ei names mapping'!$A$137:$A$220,0),MATCH(G280,'ei names mapping'!$B$136:$BK$136,0))</f>
        <v>2.4999999999999995E-4</v>
      </c>
      <c r="C280" s="12" t="str">
        <f>INDEX('ei names mapping'!$B$38:$R$67,MATCH('lci-kick scooter'!$B$5,'ei names mapping'!$A$4:$A$33,0),MATCH('lci-kick scooter'!$G280,'ei names mapping'!$B$3:$R$3,0))</f>
        <v>CH</v>
      </c>
      <c r="D280" s="12" t="str">
        <f>INDEX('ei names mapping'!$B$104:$R$133,MATCH('lci-kick scooter'!$B$5,'ei names mapping'!$A$4:$A$33,0),MATCH('lci-kick scooter'!$G280,'ei names mapping'!$B$3:$R$3,0))</f>
        <v>unit</v>
      </c>
      <c r="F280" s="12" t="s">
        <v>91</v>
      </c>
      <c r="G280" t="s">
        <v>123</v>
      </c>
      <c r="H280" s="12" t="str">
        <f>INDEX('ei names mapping'!$B$71:$R$100,MATCH('lci-kick scooter'!$B$5,'ei names mapping'!$A$4:$A$33,0),MATCH('lci-kick scooter'!$G280,'ei names mapping'!$B$3:$R$3,0))</f>
        <v>maintenance, bicycle</v>
      </c>
    </row>
    <row r="281" spans="1:8" s="21" customFormat="1" x14ac:dyDescent="0.3">
      <c r="A281" s="12" t="str">
        <f>INDEX('ei names mapping'!$B$4:$R$33,MATCH(B251,'ei names mapping'!$A$4:$A$33,0),MATCH(G281,'ei names mapping'!$B$3:$R$3,0))</f>
        <v>road construction</v>
      </c>
      <c r="B281" s="16">
        <f>INDEX('vehicles specifications'!$B$3:$CK$86,MATCH(B254,'vehicles specifications'!$A$3:$A$86,0),MATCH(G281,'vehicles specifications'!$B$2:$CK$2,0))*INDEX('ei names mapping'!$B$137:$BK$220,MATCH(B254,'ei names mapping'!$A$137:$A$220,0),MATCH(G281,'ei names mapping'!$B$136:$BK$136,0))</f>
        <v>4.406085E-5</v>
      </c>
      <c r="C281" s="12" t="str">
        <f>INDEX('ei names mapping'!$B$38:$R$67,MATCH(B251,'ei names mapping'!$A$4:$A$33,0),MATCH(G281,'ei names mapping'!$B$3:$R$3,0))</f>
        <v>CH</v>
      </c>
      <c r="D281" s="12" t="str">
        <f>INDEX('ei names mapping'!$B$104:$R$133,MATCH(B251,'ei names mapping'!$A$104:$A$133,0),MATCH(G281,'ei names mapping'!$B$3:$R$3,0))</f>
        <v>meter-year</v>
      </c>
      <c r="E281" s="12"/>
      <c r="F281" s="12" t="s">
        <v>91</v>
      </c>
      <c r="G281" s="21" t="s">
        <v>108</v>
      </c>
      <c r="H281" s="12" t="str">
        <f>INDEX('ei names mapping'!$B$71:$R$100,MATCH(B251,'ei names mapping'!$A$4:$A$33,0),MATCH(G281,'ei names mapping'!$B$3:$R$3,0))</f>
        <v>road</v>
      </c>
    </row>
    <row r="282" spans="1:8" x14ac:dyDescent="0.3">
      <c r="A282" s="12" t="str">
        <f>INDEX('ei names mapping'!$B$4:$BK$33,MATCH('lci-kick scooter'!$B$5,'ei names mapping'!$A$4:$A$33,0),MATCH('lci-kick scooter'!$G282,'ei names mapping'!$B$3:$BK$3,0))</f>
        <v>treatment of road wear emissions, passenger car</v>
      </c>
      <c r="B282" s="14">
        <f>INDEX('vehicles specifications'!$B$3:$CK$86,MATCH(B254,'vehicles specifications'!$A$3:$A$86,0),MATCH(G282,'vehicles specifications'!$B$2:$CK$2,0))*INDEX('ei names mapping'!$B$137:$BK$220,MATCH(B254,'ei names mapping'!$A$137:$A$220,0),MATCH(G282,'ei names mapping'!$B$136:$BK$136,0))</f>
        <v>-3.0000000000000001E-6</v>
      </c>
      <c r="C282" s="12" t="str">
        <f>INDEX('ei names mapping'!$B$38:$BK$67,MATCH('lci-kick scooter'!$B$5,'ei names mapping'!$A$4:$A$33,0),MATCH('lci-kick scooter'!$G282,'ei names mapping'!$B$3:$BK$3,0))</f>
        <v>RER</v>
      </c>
      <c r="D282" s="12" t="str">
        <f>INDEX('ei names mapping'!$B$104:$BK$133,MATCH('lci-kick scooter'!$B$5,'ei names mapping'!$A$4:$A$33,0),MATCH('lci-kick scooter'!$G282,'ei names mapping'!$B$3:$BK$3,0))</f>
        <v>kilogram</v>
      </c>
      <c r="E282" s="12"/>
      <c r="F282" s="12" t="s">
        <v>91</v>
      </c>
      <c r="G282" t="s">
        <v>29</v>
      </c>
      <c r="H282" s="12" t="str">
        <f>INDEX('ei names mapping'!$B$71:$BK$100,MATCH('lci-kick scooter'!$B$5,'ei names mapping'!$A$4:$A$33,0),MATCH('lci-kick scooter'!$G282,'ei names mapping'!$B$3:$BK$3,0))</f>
        <v>road wear emissions, passenger car</v>
      </c>
    </row>
    <row r="283" spans="1:8" x14ac:dyDescent="0.3">
      <c r="A283" s="12" t="str">
        <f>INDEX('ei names mapping'!$B$4:$BK$33,MATCH('lci-kick scooter'!$B$5,'ei names mapping'!$A$4:$A$33,0),MATCH('lci-kick scooter'!$G283,'ei names mapping'!$B$3:$BK$3,0))</f>
        <v>treatment of tyre wear emissions, passenger car</v>
      </c>
      <c r="B283" s="14">
        <f>INDEX('vehicles specifications'!$B$3:$CK$86,MATCH(B254,'vehicles specifications'!$A$3:$A$86,0),MATCH(G283,'vehicles specifications'!$B$2:$CK$2,0))*INDEX('ei names mapping'!$B$137:$BK$220,MATCH(B254,'ei names mapping'!$A$137:$A$220,0),MATCH(G283,'ei names mapping'!$B$136:$BK$136,0))</f>
        <v>-2.9189999999999999E-6</v>
      </c>
      <c r="C283" s="12" t="str">
        <f>INDEX('ei names mapping'!$B$38:$BK$67,MATCH('lci-kick scooter'!$B$5,'ei names mapping'!$A$4:$A$33,0),MATCH('lci-kick scooter'!$G283,'ei names mapping'!$B$3:$BK$3,0))</f>
        <v>RER</v>
      </c>
      <c r="D283" s="12" t="str">
        <f>INDEX('ei names mapping'!$B$104:$BK$133,MATCH('lci-kick scooter'!$B$5,'ei names mapping'!$A$4:$A$33,0),MATCH('lci-kick scooter'!$G283,'ei names mapping'!$B$3:$BK$3,0))</f>
        <v>kilogram</v>
      </c>
      <c r="E283" s="12"/>
      <c r="F283" s="12" t="s">
        <v>91</v>
      </c>
      <c r="G283" t="s">
        <v>30</v>
      </c>
      <c r="H283" s="12" t="str">
        <f>INDEX('ei names mapping'!$B$71:$BK$100,MATCH('lci-kick scooter'!$B$5,'ei names mapping'!$A$4:$A$33,0),MATCH('lci-kick scooter'!$G283,'ei names mapping'!$B$3:$BK$3,0))</f>
        <v>tyre wear emissions, passenger car</v>
      </c>
    </row>
    <row r="284" spans="1:8" x14ac:dyDescent="0.3">
      <c r="A284" s="12" t="str">
        <f>INDEX('ei names mapping'!$B$4:$BK$33,MATCH('lci-kick scooter'!$B$5,'ei names mapping'!$A$4:$A$33,0),MATCH('lci-kick scooter'!$G284,'ei names mapping'!$B$3:$BK$3,0))</f>
        <v>treatment of brake wear emissions, passenger car</v>
      </c>
      <c r="B284" s="14">
        <f>INDEX('vehicles specifications'!$B$3:$CK$86,MATCH(B254,'vehicles specifications'!$A$3:$A$86,0),MATCH(G284,'vehicles specifications'!$B$2:$CK$2,0))*INDEX('ei names mapping'!$B$137:$BK$220,MATCH(B254,'ei names mapping'!$A$137:$A$220,0),MATCH(G284,'ei names mapping'!$B$136:$BK$136,0))</f>
        <v>-1.8370000000000002E-6</v>
      </c>
      <c r="C284" s="12" t="str">
        <f>INDEX('ei names mapping'!$B$38:$BK$67,MATCH('lci-kick scooter'!$B$5,'ei names mapping'!$A$4:$A$33,0),MATCH('lci-kick scooter'!$G284,'ei names mapping'!$B$3:$BK$3,0))</f>
        <v>RER</v>
      </c>
      <c r="D284" s="12" t="str">
        <f>INDEX('ei names mapping'!$B$104:$BK$133,MATCH('lci-kick scooter'!$B$5,'ei names mapping'!$A$4:$A$33,0),MATCH('lci-kick scooter'!$G284,'ei names mapping'!$B$3:$BK$3,0))</f>
        <v>kilogram</v>
      </c>
      <c r="E284" s="12"/>
      <c r="F284" s="12" t="s">
        <v>91</v>
      </c>
      <c r="G284" t="s">
        <v>31</v>
      </c>
      <c r="H284" s="12" t="str">
        <f>INDEX('ei names mapping'!$B$71:$BK$100,MATCH('lci-kick scooter'!$B$5,'ei names mapping'!$A$4:$A$33,0),MATCH('lci-kick scooter'!$G284,'ei names mapping'!$B$3:$BK$3,0))</f>
        <v>brake wear emissions, passenger car</v>
      </c>
    </row>
    <row r="286" spans="1:8" ht="15.6" x14ac:dyDescent="0.3">
      <c r="A286" s="11" t="s">
        <v>72</v>
      </c>
      <c r="B286" s="9" t="str">
        <f>"transport, "&amp;B288&amp;", "&amp;B290</f>
        <v>transport, Kick Scooter, electric, &lt;1kW, 2050</v>
      </c>
    </row>
    <row r="287" spans="1:8" x14ac:dyDescent="0.3">
      <c r="A287" t="s">
        <v>73</v>
      </c>
      <c r="B287" t="s">
        <v>37</v>
      </c>
    </row>
    <row r="288" spans="1:8" x14ac:dyDescent="0.3">
      <c r="A288" t="s">
        <v>87</v>
      </c>
      <c r="B288" s="12" t="s">
        <v>688</v>
      </c>
    </row>
    <row r="289" spans="1:2" x14ac:dyDescent="0.3">
      <c r="A289" t="s">
        <v>88</v>
      </c>
      <c r="B289" s="12"/>
    </row>
    <row r="290" spans="1:2" x14ac:dyDescent="0.3">
      <c r="A290" t="s">
        <v>89</v>
      </c>
      <c r="B290" s="12">
        <v>2050</v>
      </c>
    </row>
    <row r="291" spans="1:2" x14ac:dyDescent="0.3">
      <c r="A291" t="s">
        <v>131</v>
      </c>
      <c r="B291" s="12" t="str">
        <f>B288&amp;" - "&amp;B290&amp;" - "&amp;B287</f>
        <v>Kick Scooter, electric, &lt;1kW - 2050 - CH</v>
      </c>
    </row>
    <row r="292" spans="1:2" x14ac:dyDescent="0.3">
      <c r="A292" t="s">
        <v>74</v>
      </c>
      <c r="B292" s="12" t="str">
        <f>"transport, "&amp;B288</f>
        <v>transport, Kick Scooter, electric, &lt;1kW</v>
      </c>
    </row>
    <row r="293" spans="1:2" x14ac:dyDescent="0.3">
      <c r="A293" t="s">
        <v>75</v>
      </c>
      <c r="B293" t="s">
        <v>76</v>
      </c>
    </row>
    <row r="294" spans="1:2" x14ac:dyDescent="0.3">
      <c r="A294" t="s">
        <v>77</v>
      </c>
      <c r="B294" t="s">
        <v>172</v>
      </c>
    </row>
    <row r="295" spans="1:2" x14ac:dyDescent="0.3">
      <c r="A295" t="s">
        <v>79</v>
      </c>
      <c r="B295" t="s">
        <v>90</v>
      </c>
    </row>
    <row r="296" spans="1:2" x14ac:dyDescent="0.3">
      <c r="A296" t="s">
        <v>132</v>
      </c>
      <c r="B296">
        <f>INDEX('vehicles specifications'!$B$3:$CK$86,MATCH('lci-kick scooter'!B291,'vehicles specifications'!$A$3:$A$86,0),MATCH("Lifetime [km]",'vehicles specifications'!$B$2:$CK$2,0))</f>
        <v>1785</v>
      </c>
    </row>
    <row r="297" spans="1:2" x14ac:dyDescent="0.3">
      <c r="A297" t="s">
        <v>133</v>
      </c>
      <c r="B297">
        <f>INDEX('vehicles specifications'!$B$3:$CK$86,MATCH('lci-kick scooter'!B291,'vehicles specifications'!$A$3:$A$86,0),MATCH("Passengers [unit]",'vehicles specifications'!$B$2:$CK$2,0))</f>
        <v>1</v>
      </c>
    </row>
    <row r="298" spans="1:2" x14ac:dyDescent="0.3">
      <c r="A298" t="s">
        <v>134</v>
      </c>
      <c r="B298">
        <f>INDEX('vehicles specifications'!$B$3:$CK$86,MATCH('lci-kick scooter'!B291,'vehicles specifications'!$A$3:$A$86,0),MATCH("Servicing [unit]",'vehicles specifications'!$B$2:$CK$2,0))</f>
        <v>0.44624999999999998</v>
      </c>
    </row>
    <row r="299" spans="1:2" x14ac:dyDescent="0.3">
      <c r="A299" t="s">
        <v>135</v>
      </c>
      <c r="B299">
        <f>INDEX('vehicles specifications'!$B$3:$CK$86,MATCH('lci-kick scooter'!B291,'vehicles specifications'!$A$3:$A$86,0),MATCH("Energy battery replacement [unit]",'vehicles specifications'!$B$2:$CK$2,0))</f>
        <v>0</v>
      </c>
    </row>
    <row r="300" spans="1:2" x14ac:dyDescent="0.3">
      <c r="A300" t="s">
        <v>136</v>
      </c>
      <c r="B300">
        <f>INDEX('vehicles specifications'!$B$3:$CK$86,MATCH('lci-kick scooter'!B291,'vehicles specifications'!$A$3:$A$86,0),MATCH("Annual kilometers [km]",'vehicles specifications'!$B$2:$CK$2,0))</f>
        <v>890</v>
      </c>
    </row>
    <row r="301" spans="1:2" x14ac:dyDescent="0.3">
      <c r="A301" t="s">
        <v>137</v>
      </c>
      <c r="B301">
        <f>INDEX('vehicles specifications'!$B$3:$CK$86,MATCH('lci-kick scooter'!B291,'vehicles specifications'!$A$3:$A$86,0),MATCH("Curb mass [kg]",'vehicles specifications'!$B$2:$CK$2,0))</f>
        <v>11.81</v>
      </c>
    </row>
    <row r="302" spans="1:2" x14ac:dyDescent="0.3">
      <c r="A302" t="s">
        <v>138</v>
      </c>
      <c r="B302">
        <f>INDEX('vehicles specifications'!$B$3:$CK$86,MATCH('lci-kick scooter'!B291,'vehicles specifications'!$A$3:$A$86,0),MATCH("Power [kW]",'vehicles specifications'!$B$2:$CK$2,0))</f>
        <v>0.25</v>
      </c>
    </row>
    <row r="303" spans="1:2" x14ac:dyDescent="0.3">
      <c r="A303" t="s">
        <v>139</v>
      </c>
      <c r="B303">
        <f>INDEX('vehicles specifications'!$B$3:$CK$86,MATCH('lci-kick scooter'!B291,'vehicles specifications'!$A$3:$A$86,0),MATCH("Energy battery mass [kg]",'vehicles specifications'!$B$2:$CK$2,0))</f>
        <v>2.6</v>
      </c>
    </row>
    <row r="304" spans="1:2" x14ac:dyDescent="0.3">
      <c r="A304" t="s">
        <v>140</v>
      </c>
      <c r="B304" s="21">
        <f>INDEX('vehicles specifications'!$B$3:$CK$86,MATCH('lci-kick scooter'!B291,'vehicles specifications'!$A$3:$A$86,0),MATCH("Electric energy stored [kWh]",'vehicles specifications'!$B$2:$CK$2,0))</f>
        <v>1</v>
      </c>
    </row>
    <row r="305" spans="1:8" s="21" customFormat="1" x14ac:dyDescent="0.3">
      <c r="A305" s="21" t="s">
        <v>654</v>
      </c>
      <c r="B305" s="21">
        <f>INDEX('vehicles specifications'!$B$3:$CK$86,MATCH('lci-kick scooter'!B291,'vehicles specifications'!$A$3:$A$86,0),MATCH("Electric energy available [kWh]",'vehicles specifications'!$B$2:$CK$2,0))</f>
        <v>0.8</v>
      </c>
    </row>
    <row r="306" spans="1:8" x14ac:dyDescent="0.3">
      <c r="A306" t="s">
        <v>143</v>
      </c>
      <c r="B306">
        <f>INDEX('vehicles specifications'!$B$3:$CK$86,MATCH('lci-kick scooter'!B291,'vehicles specifications'!$A$3:$A$86,0),MATCH("Oxydation energy stored [kWh]",'vehicles specifications'!$B$2:$CK$2,0))</f>
        <v>0</v>
      </c>
    </row>
    <row r="307" spans="1:8" x14ac:dyDescent="0.3">
      <c r="A307" t="s">
        <v>145</v>
      </c>
      <c r="B307">
        <f>INDEX('vehicles specifications'!$B$3:$CK$86,MATCH('lci-kick scooter'!B291,'vehicles specifications'!$A$3:$A$86,0),MATCH("Fuel mass [kg]",'vehicles specifications'!$B$2:$CK$2,0))</f>
        <v>0</v>
      </c>
    </row>
    <row r="308" spans="1:8" x14ac:dyDescent="0.3">
      <c r="A308" t="s">
        <v>141</v>
      </c>
      <c r="B308">
        <f>INDEX('vehicles specifications'!$B$3:$CK$86,MATCH('lci-kick scooter'!B291,'vehicles specifications'!$A$3:$A$86,0),MATCH("Range [km]",'vehicles specifications'!$B$2:$CK$2,0))</f>
        <v>33.439252336448597</v>
      </c>
    </row>
    <row r="309" spans="1:8" x14ac:dyDescent="0.3">
      <c r="A309" t="s">
        <v>142</v>
      </c>
      <c r="B309" t="str">
        <f>INDEX('vehicles specifications'!$B$3:$CK$86,MATCH('lci-kick scooter'!B291,'vehicles specifications'!$A$3:$A$86,0),MATCH("Emission standard",'vehicles specifications'!$B$2:$CK$2,0))</f>
        <v>None</v>
      </c>
    </row>
    <row r="310" spans="1:8" x14ac:dyDescent="0.3">
      <c r="A310" t="s">
        <v>144</v>
      </c>
      <c r="B310" s="6">
        <f>INDEX('vehicles specifications'!$B$3:$CK$86,MATCH('lci-kick scooter'!B291,'vehicles specifications'!$A$3:$A$86,0),MATCH("Lightweighting rate [%]",'vehicles specifications'!$B$2:$CK$2,0))</f>
        <v>7.0000000000000007E-2</v>
      </c>
    </row>
    <row r="311" spans="1:8" x14ac:dyDescent="0.3">
      <c r="A311" t="s">
        <v>84</v>
      </c>
      <c r="B311" s="21" t="str">
        <f>"Power: "&amp;B302&amp;" kW. Lifetime: "&amp;B296&amp;" km. Annual kilometers: "&amp;B300&amp;" km. Number of passengers: "&amp;B297&amp;". Curb mass: "&amp;ROUND(B301,1)&amp;" kg. Lightweighting of glider: "&amp;ROUND(B310*100,0)&amp;"%. Emission standard: "&amp;B309&amp;". Service visits throughout lifetime: "&amp;ROUND(B298,1)&amp;". Range: "&amp;ROUND(B308,0)&amp;" km. Battery capacity: "&amp;ROUND(B304,1)&amp;" kWh. Available battery capacity: "&amp;B305&amp;" kWh. Battery mass: "&amp;ROUND(B303,1)&amp; " kg. Battery replacement throughout lifetime: "&amp;ROUND(B299,1)&amp;". Fuel tank capacity: "&amp;ROUND(B306,1)&amp;" kWh. Fuel mass: "&amp;ROUND(B307,1)&amp;" kg. Documentation: "&amp;Readmefirst!$B$2&amp;", "&amp;Readmefirst!$B$3&amp;". "&amp;'lci-kick scooter'!B250</f>
        <v>Power: 0.25 kW. Lifetime: 1785 km. Annual kilometers: 890 km. Number of passengers: 1. Curb mass: 11.8 kg. Lightweighting of glider: 7%. Emission standard: None. Service visits throughout lifetime: 0.4. Range: 33 km. Battery capacity: 1 kWh. Available battery capacity: 0.8 kWh. Battery mass: 2.6 kg. Battery replacement throughout lifetime: 0. Fuel tank capacity: 0 kWh. Fuel mass: 0 kg. Documentation: 2021 UVEK life-cycle inventories update of on-road vehicles, Sacchi R. (PSI), Bauer C. (PSI), 2021. CH</v>
      </c>
    </row>
    <row r="312" spans="1:8" ht="15.6" x14ac:dyDescent="0.3">
      <c r="A312" s="11" t="s">
        <v>80</v>
      </c>
    </row>
    <row r="313" spans="1:8" x14ac:dyDescent="0.3">
      <c r="A313" t="s">
        <v>81</v>
      </c>
      <c r="B313" t="s">
        <v>82</v>
      </c>
      <c r="C313" t="s">
        <v>73</v>
      </c>
      <c r="D313" t="s">
        <v>77</v>
      </c>
      <c r="E313" t="s">
        <v>83</v>
      </c>
      <c r="F313" t="s">
        <v>75</v>
      </c>
      <c r="G313" t="s">
        <v>84</v>
      </c>
      <c r="H313" t="s">
        <v>74</v>
      </c>
    </row>
    <row r="314" spans="1:8" x14ac:dyDescent="0.3">
      <c r="A314" s="12" t="str">
        <f>B286</f>
        <v>transport, Kick Scooter, electric, &lt;1kW, 2050</v>
      </c>
      <c r="B314" s="12">
        <v>1</v>
      </c>
      <c r="C314" s="12" t="str">
        <f>B287</f>
        <v>CH</v>
      </c>
      <c r="D314" s="12" t="s">
        <v>172</v>
      </c>
      <c r="E314" s="12"/>
      <c r="F314" s="12" t="s">
        <v>85</v>
      </c>
      <c r="G314" s="12" t="s">
        <v>86</v>
      </c>
      <c r="H314" s="12" t="str">
        <f>B292</f>
        <v>transport, Kick Scooter, electric, &lt;1kW</v>
      </c>
    </row>
    <row r="315" spans="1:8" x14ac:dyDescent="0.3">
      <c r="A315" s="12" t="str">
        <f>RIGHT(A314,LEN(A314)-11)</f>
        <v>Kick Scooter, electric, &lt;1kW, 2050</v>
      </c>
      <c r="B315" s="12">
        <f>1/B296</f>
        <v>5.602240896358543E-4</v>
      </c>
      <c r="C315" s="12" t="str">
        <f>B287</f>
        <v>CH</v>
      </c>
      <c r="D315" s="12" t="s">
        <v>77</v>
      </c>
      <c r="E315" s="12"/>
      <c r="F315" s="12" t="s">
        <v>91</v>
      </c>
      <c r="G315" s="12"/>
      <c r="H315" s="12" t="str">
        <f>RIGHT(H314,LEN(H314)-11)</f>
        <v>Kick Scooter, electric, &lt;1kW</v>
      </c>
    </row>
    <row r="316" spans="1:8" x14ac:dyDescent="0.3">
      <c r="A316" s="12" t="str">
        <f>INDEX('ei names mapping'!$B$4:$R$33,MATCH('lci-kick scooter'!$B$5,'ei names mapping'!$A$4:$A$33,0),MATCH('lci-kick scooter'!$G316,'ei names mapping'!$B$3:$R$3,0))</f>
        <v>market for electricity, low voltage</v>
      </c>
      <c r="B316" s="14">
        <f>INDEX('vehicles specifications'!$B$3:$CK$86,MATCH(B291,'vehicles specifications'!$A$3:$A$86,0),MATCH(G316,'vehicles specifications'!$B$2:$CK$2,0))*INDEX('ei names mapping'!$B$137:$BK$220,MATCH(B291,'ei names mapping'!$A$137:$A$220,0),MATCH(G316,'ei names mapping'!$B$136:$BK$136,0))</f>
        <v>2.6316377864728905E-2</v>
      </c>
      <c r="C316" s="12" t="str">
        <f>INDEX('ei names mapping'!$B$38:$R$67,MATCH('lci-kick scooter'!$B$5,'ei names mapping'!$A$4:$A$33,0),MATCH('lci-kick scooter'!$G316,'ei names mapping'!$B$3:$R$3,0))</f>
        <v>CH</v>
      </c>
      <c r="D316" s="12" t="str">
        <f>INDEX('ei names mapping'!$B$104:$R$133,MATCH('lci-kick scooter'!$B$5,'ei names mapping'!$A$4:$A$33,0),MATCH('lci-kick scooter'!$G316,'ei names mapping'!$B$3:$R$3,0))</f>
        <v>kilowatt hour</v>
      </c>
      <c r="F316" s="12" t="s">
        <v>91</v>
      </c>
      <c r="G316" t="s">
        <v>28</v>
      </c>
      <c r="H316" s="12" t="str">
        <f>INDEX('ei names mapping'!$B$71:$R$100,MATCH('lci-kick scooter'!$B$5,'ei names mapping'!$A$4:$A$33,0),MATCH('lci-kick scooter'!$G316,'ei names mapping'!$B$3:$R$3,0))</f>
        <v>electricity, low voltage</v>
      </c>
    </row>
    <row r="317" spans="1:8" x14ac:dyDescent="0.3">
      <c r="A317" s="12" t="str">
        <f>INDEX('ei names mapping'!$B$4:$R$33,MATCH('lci-kick scooter'!$B$5,'ei names mapping'!$A$4:$A$33,0),MATCH('lci-kick scooter'!$G317,'ei names mapping'!$B$3:$R$3,0))</f>
        <v>maintenance, bicycle</v>
      </c>
      <c r="B317" s="14">
        <f>INDEX('vehicles specifications'!$B$3:$CK$86,MATCH(B291,'vehicles specifications'!$A$3:$A$86,0),MATCH(G317,'vehicles specifications'!$B$2:$CK$2,0))*INDEX('ei names mapping'!$B$137:$BK$220,MATCH(B291,'ei names mapping'!$A$137:$A$220,0),MATCH(G317,'ei names mapping'!$B$136:$BK$136,0))</f>
        <v>2.4999999999999995E-4</v>
      </c>
      <c r="C317" s="12" t="str">
        <f>INDEX('ei names mapping'!$B$38:$R$67,MATCH('lci-kick scooter'!$B$5,'ei names mapping'!$A$4:$A$33,0),MATCH('lci-kick scooter'!$G317,'ei names mapping'!$B$3:$R$3,0))</f>
        <v>CH</v>
      </c>
      <c r="D317" s="12" t="str">
        <f>INDEX('ei names mapping'!$B$104:$R$133,MATCH('lci-kick scooter'!$B$5,'ei names mapping'!$A$4:$A$33,0),MATCH('lci-kick scooter'!$G317,'ei names mapping'!$B$3:$R$3,0))</f>
        <v>unit</v>
      </c>
      <c r="F317" s="12" t="s">
        <v>91</v>
      </c>
      <c r="G317" t="s">
        <v>123</v>
      </c>
      <c r="H317" s="12" t="str">
        <f>INDEX('ei names mapping'!$B$71:$R$100,MATCH('lci-kick scooter'!$B$5,'ei names mapping'!$A$4:$A$33,0),MATCH('lci-kick scooter'!$G317,'ei names mapping'!$B$3:$R$3,0))</f>
        <v>maintenance, bicycle</v>
      </c>
    </row>
    <row r="318" spans="1:8" s="21" customFormat="1" x14ac:dyDescent="0.3">
      <c r="A318" s="12" t="str">
        <f>INDEX('ei names mapping'!$B$4:$R$33,MATCH(B288,'ei names mapping'!$A$4:$A$33,0),MATCH(G318,'ei names mapping'!$B$3:$R$3,0))</f>
        <v>road construction</v>
      </c>
      <c r="B318" s="16">
        <f>INDEX('vehicles specifications'!$B$3:$CK$86,MATCH(B291,'vehicles specifications'!$A$3:$A$86,0),MATCH(G318,'vehicles specifications'!$B$2:$CK$2,0))*INDEX('ei names mapping'!$B$137:$BK$220,MATCH(B291,'ei names mapping'!$A$137:$A$220,0),MATCH(G318,'ei names mapping'!$B$136:$BK$136,0))</f>
        <v>4.3931970000000004E-5</v>
      </c>
      <c r="C318" s="12" t="str">
        <f>INDEX('ei names mapping'!$B$38:$R$67,MATCH(B288,'ei names mapping'!$A$4:$A$33,0),MATCH(G318,'ei names mapping'!$B$3:$R$3,0))</f>
        <v>CH</v>
      </c>
      <c r="D318" s="12" t="str">
        <f>INDEX('ei names mapping'!$B$104:$R$133,MATCH(B288,'ei names mapping'!$A$104:$A$133,0),MATCH(G318,'ei names mapping'!$B$3:$R$3,0))</f>
        <v>meter-year</v>
      </c>
      <c r="E318" s="12"/>
      <c r="F318" s="12" t="s">
        <v>91</v>
      </c>
      <c r="G318" s="21" t="s">
        <v>108</v>
      </c>
      <c r="H318" s="12" t="str">
        <f>INDEX('ei names mapping'!$B$71:$R$100,MATCH(B288,'ei names mapping'!$A$4:$A$33,0),MATCH(G318,'ei names mapping'!$B$3:$R$3,0))</f>
        <v>road</v>
      </c>
    </row>
    <row r="319" spans="1:8" x14ac:dyDescent="0.3">
      <c r="A319" s="12" t="str">
        <f>INDEX('ei names mapping'!$B$4:$BK$33,MATCH('lci-kick scooter'!$B$5,'ei names mapping'!$A$4:$A$33,0),MATCH('lci-kick scooter'!$G319,'ei names mapping'!$B$3:$BK$3,0))</f>
        <v>treatment of road wear emissions, passenger car</v>
      </c>
      <c r="B319" s="14">
        <f>INDEX('vehicles specifications'!$B$3:$CK$86,MATCH(B291,'vehicles specifications'!$A$3:$A$86,0),MATCH(G319,'vehicles specifications'!$B$2:$CK$2,0))*INDEX('ei names mapping'!$B$137:$BK$220,MATCH(B291,'ei names mapping'!$A$137:$A$220,0),MATCH(G319,'ei names mapping'!$B$136:$BK$136,0))</f>
        <v>-3.0000000000000001E-6</v>
      </c>
      <c r="C319" s="12" t="str">
        <f>INDEX('ei names mapping'!$B$38:$BK$67,MATCH('lci-kick scooter'!$B$5,'ei names mapping'!$A$4:$A$33,0),MATCH('lci-kick scooter'!$G319,'ei names mapping'!$B$3:$BK$3,0))</f>
        <v>RER</v>
      </c>
      <c r="D319" s="12" t="str">
        <f>INDEX('ei names mapping'!$B$104:$BK$133,MATCH('lci-kick scooter'!$B$5,'ei names mapping'!$A$4:$A$33,0),MATCH('lci-kick scooter'!$G319,'ei names mapping'!$B$3:$BK$3,0))</f>
        <v>kilogram</v>
      </c>
      <c r="E319" s="12"/>
      <c r="F319" s="12" t="s">
        <v>91</v>
      </c>
      <c r="G319" t="s">
        <v>29</v>
      </c>
      <c r="H319" s="12" t="str">
        <f>INDEX('ei names mapping'!$B$71:$BK$100,MATCH('lci-kick scooter'!$B$5,'ei names mapping'!$A$4:$A$33,0),MATCH('lci-kick scooter'!$G319,'ei names mapping'!$B$3:$BK$3,0))</f>
        <v>road wear emissions, passenger car</v>
      </c>
    </row>
    <row r="320" spans="1:8" x14ac:dyDescent="0.3">
      <c r="A320" s="12" t="str">
        <f>INDEX('ei names mapping'!$B$4:$BK$33,MATCH('lci-kick scooter'!$B$5,'ei names mapping'!$A$4:$A$33,0),MATCH('lci-kick scooter'!$G320,'ei names mapping'!$B$3:$BK$3,0))</f>
        <v>treatment of tyre wear emissions, passenger car</v>
      </c>
      <c r="B320" s="14">
        <f>INDEX('vehicles specifications'!$B$3:$CK$86,MATCH(B291,'vehicles specifications'!$A$3:$A$86,0),MATCH(G320,'vehicles specifications'!$B$2:$CK$2,0))*INDEX('ei names mapping'!$B$137:$BK$220,MATCH(B291,'ei names mapping'!$A$137:$A$220,0),MATCH(G320,'ei names mapping'!$B$136:$BK$136,0))</f>
        <v>-2.9189999999999999E-6</v>
      </c>
      <c r="C320" s="12" t="str">
        <f>INDEX('ei names mapping'!$B$38:$BK$67,MATCH('lci-kick scooter'!$B$5,'ei names mapping'!$A$4:$A$33,0),MATCH('lci-kick scooter'!$G320,'ei names mapping'!$B$3:$BK$3,0))</f>
        <v>RER</v>
      </c>
      <c r="D320" s="12" t="str">
        <f>INDEX('ei names mapping'!$B$104:$BK$133,MATCH('lci-kick scooter'!$B$5,'ei names mapping'!$A$4:$A$33,0),MATCH('lci-kick scooter'!$G320,'ei names mapping'!$B$3:$BK$3,0))</f>
        <v>kilogram</v>
      </c>
      <c r="E320" s="12"/>
      <c r="F320" s="12" t="s">
        <v>91</v>
      </c>
      <c r="G320" t="s">
        <v>30</v>
      </c>
      <c r="H320" s="12" t="str">
        <f>INDEX('ei names mapping'!$B$71:$BK$100,MATCH('lci-kick scooter'!$B$5,'ei names mapping'!$A$4:$A$33,0),MATCH('lci-kick scooter'!$G320,'ei names mapping'!$B$3:$BK$3,0))</f>
        <v>tyre wear emissions, passenger car</v>
      </c>
    </row>
    <row r="321" spans="1:8" x14ac:dyDescent="0.3">
      <c r="A321" s="12" t="str">
        <f>INDEX('ei names mapping'!$B$4:$BK$33,MATCH('lci-kick scooter'!$B$5,'ei names mapping'!$A$4:$A$33,0),MATCH('lci-kick scooter'!$G321,'ei names mapping'!$B$3:$BK$3,0))</f>
        <v>treatment of brake wear emissions, passenger car</v>
      </c>
      <c r="B321" s="14">
        <f>INDEX('vehicles specifications'!$B$3:$CK$86,MATCH(B291,'vehicles specifications'!$A$3:$A$86,0),MATCH(G321,'vehicles specifications'!$B$2:$CK$2,0))*INDEX('ei names mapping'!$B$137:$BK$220,MATCH(B291,'ei names mapping'!$A$137:$A$220,0),MATCH(G321,'ei names mapping'!$B$136:$BK$136,0))</f>
        <v>-1.8370000000000002E-6</v>
      </c>
      <c r="C321" s="12" t="str">
        <f>INDEX('ei names mapping'!$B$38:$BK$67,MATCH('lci-kick scooter'!$B$5,'ei names mapping'!$A$4:$A$33,0),MATCH('lci-kick scooter'!$G321,'ei names mapping'!$B$3:$BK$3,0))</f>
        <v>RER</v>
      </c>
      <c r="D321" s="12" t="str">
        <f>INDEX('ei names mapping'!$B$104:$BK$133,MATCH('lci-kick scooter'!$B$5,'ei names mapping'!$A$4:$A$33,0),MATCH('lci-kick scooter'!$G321,'ei names mapping'!$B$3:$BK$3,0))</f>
        <v>kilogram</v>
      </c>
      <c r="E321" s="12"/>
      <c r="F321" s="12" t="s">
        <v>91</v>
      </c>
      <c r="G321" t="s">
        <v>31</v>
      </c>
      <c r="H321" s="12" t="str">
        <f>INDEX('ei names mapping'!$B$71:$BK$100,MATCH('lci-kick scooter'!$B$5,'ei names mapping'!$A$4:$A$33,0),MATCH('lci-kick scooter'!$G321,'ei names mapping'!$B$3:$BK$3,0))</f>
        <v>brake wear emissions, passenger car</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3"/>
  <sheetViews>
    <sheetView topLeftCell="A88" workbookViewId="0">
      <selection activeCell="B215" sqref="B215"/>
    </sheetView>
  </sheetViews>
  <sheetFormatPr defaultRowHeight="14.4" x14ac:dyDescent="0.3"/>
  <cols>
    <col min="1" max="1" width="67.6640625" customWidth="1"/>
    <col min="2" max="2" width="15.6640625" bestFit="1" customWidth="1"/>
    <col min="7" max="7" width="32" bestFit="1" customWidth="1"/>
  </cols>
  <sheetData>
    <row r="1" spans="1:2" ht="15.6" x14ac:dyDescent="0.3">
      <c r="A1" s="11" t="s">
        <v>72</v>
      </c>
      <c r="B1" s="9" t="str">
        <f>B3&amp;", "&amp;B5</f>
        <v>Motorbike, electric, &lt;4kW, 2020</v>
      </c>
    </row>
    <row r="2" spans="1:2" x14ac:dyDescent="0.3">
      <c r="A2" t="s">
        <v>73</v>
      </c>
      <c r="B2" t="s">
        <v>37</v>
      </c>
    </row>
    <row r="3" spans="1:2" x14ac:dyDescent="0.3">
      <c r="A3" t="s">
        <v>87</v>
      </c>
      <c r="B3" t="s">
        <v>520</v>
      </c>
    </row>
    <row r="4" spans="1:2" x14ac:dyDescent="0.3">
      <c r="A4" t="s">
        <v>88</v>
      </c>
      <c r="B4" s="12"/>
    </row>
    <row r="5" spans="1:2" x14ac:dyDescent="0.3">
      <c r="A5" t="s">
        <v>89</v>
      </c>
      <c r="B5" s="12">
        <v>2020</v>
      </c>
    </row>
    <row r="6" spans="1:2" x14ac:dyDescent="0.3">
      <c r="A6" t="s">
        <v>131</v>
      </c>
      <c r="B6" s="12" t="str">
        <f>B3&amp;" - "&amp;B5&amp;" - "&amp;B2</f>
        <v>Motorbike, electric, &lt;4kW - 2020 - CH</v>
      </c>
    </row>
    <row r="7" spans="1:2" x14ac:dyDescent="0.3">
      <c r="A7" t="s">
        <v>74</v>
      </c>
      <c r="B7" t="str">
        <f>B3</f>
        <v>Motorbike, electric, &lt;4kW</v>
      </c>
    </row>
    <row r="8" spans="1:2" x14ac:dyDescent="0.3">
      <c r="A8" t="s">
        <v>75</v>
      </c>
      <c r="B8" t="s">
        <v>76</v>
      </c>
    </row>
    <row r="9" spans="1:2" x14ac:dyDescent="0.3">
      <c r="A9" t="s">
        <v>77</v>
      </c>
      <c r="B9" t="s">
        <v>77</v>
      </c>
    </row>
    <row r="10" spans="1:2" x14ac:dyDescent="0.3">
      <c r="A10" t="s">
        <v>79</v>
      </c>
      <c r="B10" t="s">
        <v>90</v>
      </c>
    </row>
    <row r="11" spans="1:2" x14ac:dyDescent="0.3">
      <c r="A11" t="s">
        <v>132</v>
      </c>
      <c r="B11">
        <f>INDEX('vehicles specifications'!$B$3:$CK$86,MATCH(B6,'vehicles specifications'!$A$3:$A$86,0),MATCH("Lifetime [km]",'vehicles specifications'!$B$2:$CK$2,0))</f>
        <v>33400</v>
      </c>
    </row>
    <row r="12" spans="1:2" x14ac:dyDescent="0.3">
      <c r="A12" t="s">
        <v>133</v>
      </c>
      <c r="B12">
        <f>INDEX('vehicles specifications'!$B$3:$CK$86,MATCH(B6,'vehicles specifications'!$A$3:$A$86,0),MATCH("Passengers [unit]",'vehicles specifications'!$B$2:$CK$2,0))</f>
        <v>1.1000000000000001</v>
      </c>
    </row>
    <row r="13" spans="1:2" x14ac:dyDescent="0.3">
      <c r="A13" t="s">
        <v>134</v>
      </c>
      <c r="B13">
        <f>INDEX('vehicles specifications'!$B$3:$CK$86,MATCH(B6,'vehicles specifications'!$A$3:$A$86,0),MATCH("Servicing [unit]",'vehicles specifications'!$B$2:$CK$2,0))</f>
        <v>0.66800000000000004</v>
      </c>
    </row>
    <row r="14" spans="1:2" x14ac:dyDescent="0.3">
      <c r="A14" t="s">
        <v>135</v>
      </c>
      <c r="B14">
        <f>INDEX('vehicles specifications'!$B$3:$CK$86,MATCH(B6,'vehicles specifications'!$A$3:$A$86,0),MATCH("Energy battery replacement [unit]",'vehicles specifications'!$B$2:$CK$2,0))</f>
        <v>1</v>
      </c>
    </row>
    <row r="15" spans="1:2" x14ac:dyDescent="0.3">
      <c r="A15" t="s">
        <v>136</v>
      </c>
      <c r="B15">
        <f>INDEX('vehicles specifications'!$B$3:$CK$86,MATCH(B6,'vehicles specifications'!$A$3:$A$86,0),MATCH("Annual kilometers [km]",'vehicles specifications'!$B$2:$CK$2,0))</f>
        <v>2553</v>
      </c>
    </row>
    <row r="16" spans="1:2" x14ac:dyDescent="0.3">
      <c r="A16" t="s">
        <v>137</v>
      </c>
      <c r="B16" s="2">
        <f>INDEX('vehicles specifications'!$B$3:$CK$86,MATCH(B6,'vehicles specifications'!$A$3:$A$86,0),MATCH("Curb mass [kg]",'vehicles specifications'!$B$2:$CK$2,0))</f>
        <v>75.8</v>
      </c>
    </row>
    <row r="17" spans="1:8" x14ac:dyDescent="0.3">
      <c r="A17" t="s">
        <v>138</v>
      </c>
      <c r="B17">
        <f>INDEX('vehicles specifications'!$B$3:$CK$86,MATCH(B6,'vehicles specifications'!$A$3:$A$86,0),MATCH("Power [kW]",'vehicles specifications'!$B$2:$CK$2,0))</f>
        <v>2.5</v>
      </c>
    </row>
    <row r="18" spans="1:8" x14ac:dyDescent="0.3">
      <c r="A18" t="s">
        <v>139</v>
      </c>
      <c r="B18">
        <f>INDEX('vehicles specifications'!$B$3:$CK$86,MATCH(B6,'vehicles specifications'!$A$3:$A$86,0),MATCH("Energy battery mass [kg]",'vehicles specifications'!$B$2:$CK$2,0))</f>
        <v>10.8</v>
      </c>
    </row>
    <row r="19" spans="1:8" x14ac:dyDescent="0.3">
      <c r="A19" t="s">
        <v>140</v>
      </c>
      <c r="B19">
        <f>INDEX('vehicles specifications'!$B$3:$CK$86,MATCH(B6,'vehicles specifications'!$A$3:$A$86,0),MATCH("Electric energy stored [kWh]",'vehicles specifications'!$B$2:$CK$2,0))</f>
        <v>1.8</v>
      </c>
    </row>
    <row r="20" spans="1:8" s="21" customFormat="1" x14ac:dyDescent="0.3">
      <c r="A20" s="21" t="s">
        <v>654</v>
      </c>
      <c r="B20" s="21">
        <f>INDEX('vehicles specifications'!$B$3:$CK$86,MATCH(B6,'vehicles specifications'!$A$3:$A$86,0),MATCH("Electric energy available [kWh]",'vehicles specifications'!$B$2:$CK$2,0))</f>
        <v>1.4400000000000002</v>
      </c>
    </row>
    <row r="21" spans="1:8" x14ac:dyDescent="0.3">
      <c r="A21" t="s">
        <v>143</v>
      </c>
      <c r="B21" s="2">
        <f>INDEX('vehicles specifications'!$B$3:$CK$86,MATCH(B6,'vehicles specifications'!$A$3:$A$86,0),MATCH("Oxydation energy stored [kWh]",'vehicles specifications'!$B$2:$CK$2,0))</f>
        <v>0</v>
      </c>
    </row>
    <row r="22" spans="1:8" x14ac:dyDescent="0.3">
      <c r="A22" t="s">
        <v>145</v>
      </c>
      <c r="B22">
        <f>INDEX('vehicles specifications'!$B$3:$CK$86,MATCH(B6,'vehicles specifications'!$A$3:$A$86,0),MATCH("Fuel mass [kg]",'vehicles specifications'!$B$2:$CK$2,0))</f>
        <v>0</v>
      </c>
    </row>
    <row r="23" spans="1:8" x14ac:dyDescent="0.3">
      <c r="A23" t="s">
        <v>141</v>
      </c>
      <c r="B23" s="2">
        <f>INDEX('vehicles specifications'!$B$3:$CK$86,MATCH(B6,'vehicles specifications'!$A$3:$A$86,0),MATCH("Range [km]",'vehicles specifications'!$B$2:$CK$2,0))</f>
        <v>42.842975206611577</v>
      </c>
    </row>
    <row r="24" spans="1:8" x14ac:dyDescent="0.3">
      <c r="A24" t="s">
        <v>142</v>
      </c>
      <c r="B24" t="str">
        <f>INDEX('vehicles specifications'!$B$3:$CK$86,MATCH(B6,'vehicles specifications'!$A$3:$A$86,0),MATCH("Emission standard",'vehicles specifications'!$B$2:$CK$2,0))</f>
        <v>None</v>
      </c>
    </row>
    <row r="25" spans="1:8" x14ac:dyDescent="0.3">
      <c r="A25" t="s">
        <v>144</v>
      </c>
      <c r="B25" s="6">
        <f>INDEX('vehicles specifications'!$B$3:$CK$86,MATCH(B6,'vehicles specifications'!$A$3:$A$86,0),MATCH("Lightweighting rate [%]",'vehicles specifications'!$B$2:$CK$2,0))</f>
        <v>0</v>
      </c>
    </row>
    <row r="26" spans="1:8" s="21" customFormat="1" x14ac:dyDescent="0.3">
      <c r="A26" s="21" t="s">
        <v>513</v>
      </c>
      <c r="B26" s="6" t="s">
        <v>514</v>
      </c>
    </row>
    <row r="27" spans="1:8" s="21" customFormat="1" x14ac:dyDescent="0.3">
      <c r="A27" s="21" t="s">
        <v>515</v>
      </c>
      <c r="B27" s="2">
        <v>15900</v>
      </c>
    </row>
    <row r="28" spans="1:8" s="21" customFormat="1" x14ac:dyDescent="0.3">
      <c r="A28" s="21" t="s">
        <v>516</v>
      </c>
      <c r="B28" s="2">
        <v>1000</v>
      </c>
    </row>
    <row r="29" spans="1:8" x14ac:dyDescent="0.3">
      <c r="A29" t="s">
        <v>84</v>
      </c>
      <c r="B29" s="21" t="str">
        <f>"Power: "&amp;B17&amp;" kW. Lifetime: "&amp;B11&amp;" km. Annual kilometers: "&amp;ROUND(B15,0)&amp;" km. Number of passengers: "&amp;ROUND(B12,1)&amp;". Curb mass: "&amp;ROUND(B16,1)&amp;" kg. Lightweighting of glider: "&amp;ROUND(B25*100,0)&amp;"%. Emission standard: "&amp;B24&amp;". Service visits throughout lifetime: "&amp;ROUND(B13,1)&amp;". Range: "&amp;ROUND(B23,0)&amp;" km. Battery capacity: "&amp;ROUND(B19,1)&amp;" kWh. Available battery capacity: "&amp;B20&amp;" kWh. Battery mass: "&amp;ROUND(B18,1)&amp; " kg. Battery replacement throughout lifetime: "&amp;ROUND(B14,1)&amp;". Fuel tank capacity: "&amp;ROUND(B21,1)&amp;" kWh. Fuel mass: "&amp;ROUND(B22,1)&amp;" kg. Origin of manufacture: "&amp;B26&amp;". Shipping distance: "&amp;B27&amp;" km. Lorry distribution distance: "&amp;B28&amp;" km. Documentation: "&amp;Readmefirst!$B$2&amp;", "&amp;Readmefirst!$B$3&amp;". "&amp;'lci-kick scooter'!B10</f>
        <v>Power: 2.5 kW. Lifetime: 33400 km. Annual kilometers: 2553 km. Number of passengers: 1.1. Curb mass: 75.8 kg. Lightweighting of glider: 0%. Emission standard: None. Service visits throughout lifetime: 0.7. Range: 43 km. Battery capacity: 1.8 kWh. Available battery capacity: 1.44 kWh. Battery mass: 10.8 kg. Battery replacement throughout lifetime: 1. Fuel tank capacity: 0 kWh. Fuel mass: 0 kg. Origin of manufacture: China. Shipping distance: 15900 km. Lorry distribution distance: 1000 km. Documentation: 2021 UVEK life-cycle inventories update of on-road vehicles, Sacchi R. (PSI), Bauer C. (PSI), 2021. process</v>
      </c>
    </row>
    <row r="30" spans="1:8" ht="15.6" x14ac:dyDescent="0.3">
      <c r="A30" s="11" t="s">
        <v>80</v>
      </c>
    </row>
    <row r="31" spans="1:8" x14ac:dyDescent="0.3">
      <c r="A31" t="s">
        <v>81</v>
      </c>
      <c r="B31" t="s">
        <v>82</v>
      </c>
      <c r="C31" t="s">
        <v>73</v>
      </c>
      <c r="D31" t="s">
        <v>77</v>
      </c>
      <c r="E31" t="s">
        <v>83</v>
      </c>
      <c r="F31" t="s">
        <v>75</v>
      </c>
      <c r="G31" t="s">
        <v>84</v>
      </c>
      <c r="H31" t="s">
        <v>74</v>
      </c>
    </row>
    <row r="32" spans="1:8" x14ac:dyDescent="0.3">
      <c r="A32" s="12" t="str">
        <f>B1</f>
        <v>Motorbike, electric, &lt;4kW, 2020</v>
      </c>
      <c r="B32" s="12">
        <v>1</v>
      </c>
      <c r="C32" s="12" t="str">
        <f>B2</f>
        <v>CH</v>
      </c>
      <c r="D32" s="12" t="str">
        <f>B9</f>
        <v>unit</v>
      </c>
      <c r="E32" s="12"/>
      <c r="F32" s="12" t="s">
        <v>85</v>
      </c>
      <c r="G32" s="12" t="s">
        <v>86</v>
      </c>
      <c r="H32" s="12" t="str">
        <f>B3</f>
        <v>Motorbike, electric, &lt;4kW</v>
      </c>
    </row>
    <row r="33" spans="1:8" x14ac:dyDescent="0.3">
      <c r="A33" s="12" t="str">
        <f>INDEX('ei names mapping'!$B$4:$R$33,MATCH(B3,'ei names mapping'!$A$4:$A$33,0),MATCH(G33,'ei names mapping'!$B$3:$R$3,0))</f>
        <v>market for glider, for electric scooter</v>
      </c>
      <c r="B33" s="16">
        <f>INDEX('vehicles specifications'!$B$3:$CK$86,MATCH(B6,'vehicles specifications'!$A$3:$A$86,0),MATCH(G33,'vehicles specifications'!$B$2:$CK$2,0))*INDEX('ei names mapping'!$B$137:$BK$220,MATCH(B6,'ei names mapping'!$A$137:$A$220,0),MATCH(G33,'ei names mapping'!$B$136:$BK$136,0))</f>
        <v>53</v>
      </c>
      <c r="C33" s="12" t="str">
        <f>INDEX('ei names mapping'!$B$38:$R$67,MATCH(B3,'ei names mapping'!$A$4:$A$33,0),MATCH(G33,'ei names mapping'!$B$3:$R$3,0))</f>
        <v>GLO</v>
      </c>
      <c r="D33" s="12" t="str">
        <f>INDEX('ei names mapping'!$B$104:$R$133,MATCH(B3,'ei names mapping'!$A$104:$A$133,0),MATCH(G33,'ei names mapping'!$B$3:$R$3,0))</f>
        <v>kilogram</v>
      </c>
      <c r="E33" s="12"/>
      <c r="F33" s="12" t="s">
        <v>91</v>
      </c>
      <c r="G33" s="21" t="s">
        <v>15</v>
      </c>
      <c r="H33" s="12" t="str">
        <f>INDEX('ei names mapping'!$B$71:$R$100,MATCH(B3,'ei names mapping'!$A$4:$A$33,0),MATCH(G33,'ei names mapping'!$B$3:$R$3,0))</f>
        <v>glider, for electric scooter</v>
      </c>
    </row>
    <row r="34" spans="1:8" s="21" customFormat="1" x14ac:dyDescent="0.3">
      <c r="A34" s="12" t="str">
        <f>INDEX('ei names mapping'!$B$4:$R$33,MATCH(B3,'ei names mapping'!$A$4:$A$33,0),MATCH(G34,'ei names mapping'!$B$3:$R$3,0))</f>
        <v>glider lightweighting</v>
      </c>
      <c r="B34" s="16">
        <f>INDEX('vehicles specifications'!$B$3:$CK$86,MATCH(B6,'vehicles specifications'!$A$3:$A$86,0),MATCH(G34,'vehicles specifications'!$B$2:$CK$2,0))*INDEX('ei names mapping'!$B$137:$BK$220,MATCH(B6,'ei names mapping'!$A$137:$A$220,0),MATCH(G34,'ei names mapping'!$B$136:$BK$136,0))</f>
        <v>0</v>
      </c>
      <c r="C34" s="12" t="str">
        <f>INDEX('ei names mapping'!$B$38:$R$67,MATCH(B3,'ei names mapping'!$A$4:$A$33,0),MATCH(G34,'ei names mapping'!$B$3:$R$3,0))</f>
        <v>GLO</v>
      </c>
      <c r="D34" s="12" t="str">
        <f>INDEX('ei names mapping'!$B$104:$R$133,MATCH(B3,'ei names mapping'!$A$104:$A$133,0),MATCH(G34,'ei names mapping'!$B$3:$R$3,0))</f>
        <v>kilogram</v>
      </c>
      <c r="E34" s="12"/>
      <c r="F34" s="12" t="s">
        <v>91</v>
      </c>
      <c r="G34" s="21" t="s">
        <v>14</v>
      </c>
      <c r="H34" s="12" t="str">
        <f>INDEX('ei names mapping'!$B$71:$R$100,MATCH(B3,'ei names mapping'!$A$4:$A$33,0),MATCH(G34,'ei names mapping'!$B$3:$R$3,0))</f>
        <v>glider lightweighting</v>
      </c>
    </row>
    <row r="35" spans="1:8" x14ac:dyDescent="0.3">
      <c r="A35" s="12" t="str">
        <f>INDEX('ei names mapping'!$B$4:$R$33,MATCH(B3,'ei names mapping'!$A$4:$A$33,0),MATCH(G35,'ei names mapping'!$B$3:$R$3,0))</f>
        <v>market for glider, for electric scooter</v>
      </c>
      <c r="B35" s="16">
        <f>INDEX('vehicles specifications'!$B$3:$CK$86,MATCH(B6,'vehicles specifications'!$A$3:$A$86,0),MATCH(G35,'vehicles specifications'!$B$2:$CK$2,0))*INDEX('ei names mapping'!$B$137:$BK$220,MATCH(B6,'ei names mapping'!$A$137:$A$220,0),MATCH(G35,'ei names mapping'!$B$136:$BK$136,0))</f>
        <v>4.5</v>
      </c>
      <c r="C35" s="12" t="str">
        <f>INDEX('ei names mapping'!$B$38:$R$67,MATCH(B3,'ei names mapping'!$A$4:$A$33,0),MATCH(G35,'ei names mapping'!$B$3:$R$3,0))</f>
        <v>GLO</v>
      </c>
      <c r="D35" s="12" t="str">
        <f>INDEX('ei names mapping'!$B$104:$R$133,MATCH(B3,'ei names mapping'!$A$104:$A$133,0),MATCH(G35,'ei names mapping'!$B$3:$R$3,0))</f>
        <v>kilogram</v>
      </c>
      <c r="E35" s="12"/>
      <c r="F35" s="12" t="s">
        <v>91</v>
      </c>
      <c r="G35" t="s">
        <v>16</v>
      </c>
      <c r="H35" s="12" t="str">
        <f>INDEX('ei names mapping'!$B$71:$R$100,MATCH(B3,'ei names mapping'!$A$4:$A$33,0),MATCH(G35,'ei names mapping'!$B$3:$R$3,0))</f>
        <v>glider, for electric scooter</v>
      </c>
    </row>
    <row r="36" spans="1:8" x14ac:dyDescent="0.3">
      <c r="A36" s="12" t="str">
        <f>INDEX('ei names mapping'!$B$4:$R$33,MATCH(B3,'ei names mapping'!$A$4:$A$33,0),MATCH(G36,'ei names mapping'!$B$3:$R$3,0))</f>
        <v>market for electric powertrain, for electric scooter</v>
      </c>
      <c r="B36" s="16">
        <f>INDEX('vehicles specifications'!$B$3:$CK$86,MATCH(B6,'vehicles specifications'!$A$3:$A$86,0),MATCH(G36,'vehicles specifications'!$B$2:$CK$2,0))*INDEX('ei names mapping'!$B$137:$BK$220,MATCH(B6,'ei names mapping'!$A$137:$A$220,0),MATCH(G36,'ei names mapping'!$B$136:$BK$136,0))</f>
        <v>7.5</v>
      </c>
      <c r="C36" s="12" t="str">
        <f>INDEX('ei names mapping'!$B$38:$R$67,MATCH(B3,'ei names mapping'!$A$4:$A$33,0),MATCH(G36,'ei names mapping'!$B$3:$R$3,0))</f>
        <v>GLO</v>
      </c>
      <c r="D36" s="12" t="str">
        <f>INDEX('ei names mapping'!$B$104:$R$133,MATCH(B3,'ei names mapping'!$A$104:$A$133,0),MATCH(G36,'ei names mapping'!$B$3:$R$3,0))</f>
        <v>kilogram</v>
      </c>
      <c r="E36" s="12"/>
      <c r="F36" s="12" t="s">
        <v>91</v>
      </c>
      <c r="G36" t="s">
        <v>557</v>
      </c>
      <c r="H36" s="12" t="str">
        <f>INDEX('ei names mapping'!$B$71:$R$100,MATCH(B3,'ei names mapping'!$A$4:$A$33,0),MATCH(G36,'ei names mapping'!$B$3:$R$3,0))</f>
        <v>powertrain, for electric scooter</v>
      </c>
    </row>
    <row r="37" spans="1:8" x14ac:dyDescent="0.3">
      <c r="A37" s="12" t="str">
        <f>INDEX('ei names mapping'!$B$4:$R$33,MATCH(B3,'ei names mapping'!$A$4:$A$33,0),MATCH(G37,'ei names mapping'!$B$3:$R$3,0))</f>
        <v>Battery cell, NMC</v>
      </c>
      <c r="B37" s="16">
        <f>INDEX('vehicles specifications'!$B$3:$CK$86,MATCH(B6,'vehicles specifications'!$A$3:$A$86,0),MATCH(G37,'vehicles specifications'!$B$2:$CK$2,0))*INDEX('ei names mapping'!$B$137:$BK$220,MATCH(B6,'ei names mapping'!$A$137:$A$220,0),MATCH(G37,'ei names mapping'!$B$136:$BK$136,0))</f>
        <v>18</v>
      </c>
      <c r="C37" s="12" t="str">
        <f>INDEX('ei names mapping'!$B$38:$R$67,MATCH(B3,'ei names mapping'!$A$4:$A$33,0),MATCH(G37,'ei names mapping'!$B$3:$R$3,0))</f>
        <v>GLO</v>
      </c>
      <c r="D37" s="12" t="str">
        <f>INDEX('ei names mapping'!$B$104:$R$133,MATCH(B3,'ei names mapping'!$A$104:$A$133,0),MATCH(G37,'ei names mapping'!$B$3:$R$3,0))</f>
        <v>kilogram</v>
      </c>
      <c r="E37" s="12"/>
      <c r="F37" s="12" t="s">
        <v>91</v>
      </c>
      <c r="G37" t="s">
        <v>19</v>
      </c>
      <c r="H37" s="12" t="str">
        <f>INDEX('ei names mapping'!$B$71:$R$100,MATCH(B3,'ei names mapping'!$A$4:$A$33,0),MATCH(G37,'ei names mapping'!$B$3:$R$3,0))</f>
        <v>Battery cell</v>
      </c>
    </row>
    <row r="38" spans="1:8" x14ac:dyDescent="0.3">
      <c r="A38" s="12" t="str">
        <f>INDEX('ei names mapping'!$B$4:$R$33,MATCH(B3,'ei names mapping'!$A$4:$A$33,0),MATCH(G38,'ei names mapping'!$B$3:$R$3,0))</f>
        <v>Battery BoP</v>
      </c>
      <c r="B38" s="16">
        <f>INDEX('vehicles specifications'!$B$3:$CK$86,MATCH(B6,'vehicles specifications'!$A$3:$A$86,0),MATCH(G38,'vehicles specifications'!$B$2:$CK$2,0))*INDEX('ei names mapping'!$B$137:$BK$220,MATCH(B6,'ei names mapping'!$A$137:$A$220,0),MATCH(G38,'ei names mapping'!$B$136:$BK$136,0))</f>
        <v>3.6</v>
      </c>
      <c r="C38" s="12" t="str">
        <f>INDEX('ei names mapping'!$B$38:$R$67,MATCH(B3,'ei names mapping'!$A$4:$A$33,0),MATCH(G38,'ei names mapping'!$B$3:$R$3,0))</f>
        <v>GLO</v>
      </c>
      <c r="D38" s="12" t="str">
        <f>INDEX('ei names mapping'!$B$104:$R$133,MATCH(B3,'ei names mapping'!$A$104:$A$133,0),MATCH(G38,'ei names mapping'!$B$3:$R$3,0))</f>
        <v>kilogram</v>
      </c>
      <c r="E38" s="12"/>
      <c r="F38" s="12" t="s">
        <v>91</v>
      </c>
      <c r="G38" t="s">
        <v>20</v>
      </c>
      <c r="H38" s="12" t="str">
        <f>INDEX('ei names mapping'!$B$71:$R$100,MATCH(B3,'ei names mapping'!$A$4:$A$33,0),MATCH(G38,'ei names mapping'!$B$3:$R$3,0))</f>
        <v>Battery BoP</v>
      </c>
    </row>
    <row r="39" spans="1:8" x14ac:dyDescent="0.3">
      <c r="A39" s="12" t="str">
        <f>INDEX('ei names mapping'!$B$4:$R$33,MATCH(B3,'ei names mapping'!$A$4:$A$33,0),MATCH(G39,'ei names mapping'!$B$3:$R$3,0))</f>
        <v>charging station, 3kW</v>
      </c>
      <c r="B39" s="16">
        <f>INDEX('vehicles specifications'!$B$3:$CK$86,MATCH(B6,'vehicles specifications'!$A$3:$A$86,0),MATCH(G39,'vehicles specifications'!$B$2:$CK$2,0))*INDEX('ei names mapping'!$B$137:$BK$220,MATCH(B6,'ei names mapping'!$A$137:$A$220,0),MATCH(G39,'ei names mapping'!$B$136:$BK$136,0))</f>
        <v>1</v>
      </c>
      <c r="C39" s="12" t="str">
        <f>INDEX('ei names mapping'!$B$38:$R$67,MATCH(B3,'ei names mapping'!$A$4:$A$33,0),MATCH(G39,'ei names mapping'!$B$3:$R$3,0))</f>
        <v>GLO</v>
      </c>
      <c r="D39" s="12" t="str">
        <f>INDEX('ei names mapping'!$B$104:$R$133,MATCH(B3,'ei names mapping'!$A$104:$A$133,0),MATCH(G39,'ei names mapping'!$B$3:$R$3,0))</f>
        <v>unit</v>
      </c>
      <c r="E39" s="12"/>
      <c r="F39" s="12" t="s">
        <v>91</v>
      </c>
      <c r="G39" t="s">
        <v>53</v>
      </c>
      <c r="H39" s="12" t="str">
        <f>INDEX('ei names mapping'!$B$71:$R$100,MATCH(B3,'ei names mapping'!$A$4:$A$33,0),MATCH(G39,'ei names mapping'!$B$3:$R$3,0))</f>
        <v>charging station, 3kW</v>
      </c>
    </row>
    <row r="40" spans="1:8" x14ac:dyDescent="0.3">
      <c r="A40" s="12" t="str">
        <f>INDEX('ei names mapping'!$B$4:$R$33,MATCH(B3,'ei names mapping'!$A$4:$A$33,0),MATCH(G40,'ei names mapping'!$B$3:$R$3,0))</f>
        <v>manual dismantling of used electric scooter</v>
      </c>
      <c r="B40" s="16">
        <f>INDEX('vehicles specifications'!$B$3:$CK$86,MATCH(B6,'vehicles specifications'!$A$3:$A$86,0),MATCH(G40,'vehicles specifications'!$B$2:$CK$2,0))*INDEX('ei names mapping'!$B$137:$BK$220,MATCH(B6,'ei names mapping'!$A$137:$A$220,0),MATCH(G40,'ei names mapping'!$B$136:$BK$136,0))</f>
        <v>53</v>
      </c>
      <c r="C40" s="12" t="str">
        <f>INDEX('ei names mapping'!$B$38:$R$67,MATCH(B3,'ei names mapping'!$A$4:$A$33,0),MATCH(G40,'ei names mapping'!$B$3:$R$3,0))</f>
        <v>GLO</v>
      </c>
      <c r="D40" s="12" t="str">
        <f>INDEX('ei names mapping'!$B$104:$R$133,MATCH(B3,'ei names mapping'!$A$104:$A$133,0),MATCH(G40,'ei names mapping'!$B$3:$R$3,0))</f>
        <v>unit</v>
      </c>
      <c r="E40" s="12"/>
      <c r="F40" s="12" t="s">
        <v>91</v>
      </c>
      <c r="G40" t="s">
        <v>150</v>
      </c>
      <c r="H40" s="12" t="str">
        <f>INDEX('ei names mapping'!$B$71:$R$100,MATCH(B3,'ei names mapping'!$A$4:$A$33,0),MATCH(G40,'ei names mapping'!$B$3:$R$3,0))</f>
        <v>manual dismantling of electric scooter</v>
      </c>
    </row>
    <row r="41" spans="1:8" x14ac:dyDescent="0.3">
      <c r="A41" s="12" t="str">
        <f>INDEX('ei names mapping'!$B$4:$R$33,MATCH(B3,'ei names mapping'!$A$4:$A$33,0),MATCH(G41,'ei names mapping'!$B$3:$R$3,0))</f>
        <v>manual dismantling of used electric scooter</v>
      </c>
      <c r="B41" s="16">
        <f>INDEX('vehicles specifications'!$B$3:$CK$86,MATCH(B6,'vehicles specifications'!$A$3:$A$86,0),MATCH(G41,'vehicles specifications'!$B$2:$CK$2,0))*INDEX('ei names mapping'!$B$137:$BK$220,MATCH(B6,'ei names mapping'!$A$137:$A$220,0),MATCH(G41,'ei names mapping'!$B$136:$BK$136,0))</f>
        <v>12</v>
      </c>
      <c r="C41" s="12" t="str">
        <f>INDEX('ei names mapping'!$B$38:$R$67,MATCH(B3,'ei names mapping'!$A$4:$A$33,0),MATCH(G41,'ei names mapping'!$B$3:$R$3,0))</f>
        <v>GLO</v>
      </c>
      <c r="D41" s="12" t="str">
        <f>INDEX('ei names mapping'!$B$104:$R$133,MATCH(B3,'ei names mapping'!$A$104:$A$133,0),MATCH(G41,'ei names mapping'!$B$3:$R$3,0))</f>
        <v>unit</v>
      </c>
      <c r="E41" s="12"/>
      <c r="F41" s="12" t="s">
        <v>91</v>
      </c>
      <c r="G41" t="s">
        <v>151</v>
      </c>
      <c r="H41" s="12" t="str">
        <f>INDEX('ei names mapping'!$B$71:$R$100,MATCH(B3,'ei names mapping'!$A$4:$A$33,0),MATCH(G41,'ei names mapping'!$B$3:$R$3,0))</f>
        <v>manual dismantling of electric scooter</v>
      </c>
    </row>
    <row r="42" spans="1:8" x14ac:dyDescent="0.3">
      <c r="A42" s="12" t="str">
        <f>INDEX('ei names mapping'!$B$4:$R$33,MATCH(B3,'ei names mapping'!$A$4:$A$33,0),MATCH(G42,'ei names mapping'!$B$3:$R$3,0))</f>
        <v>market for used Li-ion battery</v>
      </c>
      <c r="B42" s="16">
        <f>INDEX('vehicles specifications'!$B$3:$CK$86,MATCH(B6,'vehicles specifications'!$A$3:$A$86,0),MATCH(G42,'vehicles specifications'!$B$2:$CK$2,0))*INDEX('ei names mapping'!$B$137:$BK$220,MATCH(B6,'ei names mapping'!$A$137:$A$220,0),MATCH(G42,'ei names mapping'!$B$136:$BK$136,0))</f>
        <v>-21.6</v>
      </c>
      <c r="C42" s="12" t="str">
        <f>INDEX('ei names mapping'!$B$38:$R$67,MATCH(B3,'ei names mapping'!$A$4:$A$33,0),MATCH(G42,'ei names mapping'!$B$3:$R$3,0))</f>
        <v>GLO</v>
      </c>
      <c r="D42" s="12" t="str">
        <f>INDEX('ei names mapping'!$B$104:$R$133,MATCH(B7,'ei names mapping'!$A$104:$A$133,0),MATCH(G42,'ei names mapping'!$B$3:$R$3,0))</f>
        <v>kilogram</v>
      </c>
      <c r="E42" s="12"/>
      <c r="F42" s="12" t="s">
        <v>91</v>
      </c>
      <c r="G42" t="s">
        <v>152</v>
      </c>
      <c r="H42" s="12" t="str">
        <f>INDEX('ei names mapping'!$B$71:$R$100,MATCH(B3,'ei names mapping'!$A$4:$A$33,0),MATCH(G42,'ei names mapping'!$B$3:$R$3,0))</f>
        <v>used Li-ion battery</v>
      </c>
    </row>
    <row r="43" spans="1:8" s="21" customFormat="1" x14ac:dyDescent="0.3">
      <c r="A43" s="22" t="s">
        <v>468</v>
      </c>
      <c r="B43" s="21">
        <f>(B16/1000)*B28</f>
        <v>75.8</v>
      </c>
      <c r="C43" s="21" t="s">
        <v>94</v>
      </c>
      <c r="D43" s="21" t="s">
        <v>243</v>
      </c>
      <c r="F43" s="21" t="s">
        <v>91</v>
      </c>
      <c r="H43" s="22" t="s">
        <v>469</v>
      </c>
    </row>
    <row r="44" spans="1:8" s="21" customFormat="1" x14ac:dyDescent="0.3">
      <c r="A44" s="22" t="s">
        <v>467</v>
      </c>
      <c r="B44" s="2">
        <f>(B16/1000)*B27</f>
        <v>1205.2199999999998</v>
      </c>
      <c r="C44" s="21" t="s">
        <v>98</v>
      </c>
      <c r="D44" s="21" t="s">
        <v>243</v>
      </c>
      <c r="F44" s="21" t="s">
        <v>91</v>
      </c>
      <c r="H44" s="22" t="s">
        <v>467</v>
      </c>
    </row>
    <row r="45" spans="1:8" x14ac:dyDescent="0.3">
      <c r="A45" s="12"/>
      <c r="B45" s="16"/>
      <c r="C45" s="12"/>
      <c r="D45" s="12"/>
      <c r="E45" s="12"/>
      <c r="F45" s="12"/>
      <c r="H45" s="12"/>
    </row>
    <row r="46" spans="1:8" ht="15.6" x14ac:dyDescent="0.3">
      <c r="A46" s="11" t="s">
        <v>72</v>
      </c>
      <c r="B46" s="9" t="str">
        <f>B48&amp;", "&amp;B50</f>
        <v>Motorbike, electric, &lt;4kW, 2030</v>
      </c>
    </row>
    <row r="47" spans="1:8" x14ac:dyDescent="0.3">
      <c r="A47" t="s">
        <v>73</v>
      </c>
      <c r="B47" t="s">
        <v>37</v>
      </c>
    </row>
    <row r="48" spans="1:8" x14ac:dyDescent="0.3">
      <c r="A48" t="s">
        <v>87</v>
      </c>
      <c r="B48" t="s">
        <v>520</v>
      </c>
    </row>
    <row r="49" spans="1:2" x14ac:dyDescent="0.3">
      <c r="A49" t="s">
        <v>88</v>
      </c>
      <c r="B49" s="12"/>
    </row>
    <row r="50" spans="1:2" x14ac:dyDescent="0.3">
      <c r="A50" t="s">
        <v>89</v>
      </c>
      <c r="B50" s="12">
        <v>2030</v>
      </c>
    </row>
    <row r="51" spans="1:2" x14ac:dyDescent="0.3">
      <c r="A51" t="s">
        <v>131</v>
      </c>
      <c r="B51" s="12" t="str">
        <f>B48&amp;" - "&amp;B50&amp;" - "&amp;B47</f>
        <v>Motorbike, electric, &lt;4kW - 2030 - CH</v>
      </c>
    </row>
    <row r="52" spans="1:2" x14ac:dyDescent="0.3">
      <c r="A52" t="s">
        <v>74</v>
      </c>
      <c r="B52" t="str">
        <f>B48</f>
        <v>Motorbike, electric, &lt;4kW</v>
      </c>
    </row>
    <row r="53" spans="1:2" x14ac:dyDescent="0.3">
      <c r="A53" t="s">
        <v>75</v>
      </c>
      <c r="B53" t="s">
        <v>76</v>
      </c>
    </row>
    <row r="54" spans="1:2" x14ac:dyDescent="0.3">
      <c r="A54" t="s">
        <v>77</v>
      </c>
      <c r="B54" t="s">
        <v>77</v>
      </c>
    </row>
    <row r="55" spans="1:2" x14ac:dyDescent="0.3">
      <c r="A55" t="s">
        <v>79</v>
      </c>
      <c r="B55" t="s">
        <v>90</v>
      </c>
    </row>
    <row r="56" spans="1:2" x14ac:dyDescent="0.3">
      <c r="A56" t="s">
        <v>132</v>
      </c>
      <c r="B56">
        <f>INDEX('vehicles specifications'!$B$3:$CK$86,MATCH(B51,'vehicles specifications'!$A$3:$A$86,0),MATCH("Lifetime [km]",'vehicles specifications'!$B$2:$CK$2,0))</f>
        <v>33400</v>
      </c>
    </row>
    <row r="57" spans="1:2" x14ac:dyDescent="0.3">
      <c r="A57" t="s">
        <v>133</v>
      </c>
      <c r="B57">
        <f>INDEX('vehicles specifications'!$B$3:$CK$86,MATCH(B51,'vehicles specifications'!$A$3:$A$86,0),MATCH("Passengers [unit]",'vehicles specifications'!$B$2:$CK$2,0))</f>
        <v>1.1000000000000001</v>
      </c>
    </row>
    <row r="58" spans="1:2" x14ac:dyDescent="0.3">
      <c r="A58" t="s">
        <v>134</v>
      </c>
      <c r="B58">
        <f>INDEX('vehicles specifications'!$B$3:$CK$86,MATCH(B51,'vehicles specifications'!$A$3:$A$86,0),MATCH("Servicing [unit]",'vehicles specifications'!$B$2:$CK$2,0))</f>
        <v>0.66800000000000004</v>
      </c>
    </row>
    <row r="59" spans="1:2" x14ac:dyDescent="0.3">
      <c r="A59" t="s">
        <v>135</v>
      </c>
      <c r="B59">
        <f>INDEX('vehicles specifications'!$B$3:$CK$86,MATCH(B51,'vehicles specifications'!$A$3:$A$86,0),MATCH("Energy battery replacement [unit]",'vehicles specifications'!$B$2:$CK$2,0))</f>
        <v>0.5</v>
      </c>
    </row>
    <row r="60" spans="1:2" x14ac:dyDescent="0.3">
      <c r="A60" t="s">
        <v>136</v>
      </c>
      <c r="B60">
        <f>INDEX('vehicles specifications'!$B$3:$CK$86,MATCH(B51,'vehicles specifications'!$A$3:$A$86,0),MATCH("Annual kilometers [km]",'vehicles specifications'!$B$2:$CK$2,0))</f>
        <v>2553</v>
      </c>
    </row>
    <row r="61" spans="1:2" x14ac:dyDescent="0.3">
      <c r="A61" t="s">
        <v>137</v>
      </c>
      <c r="B61" s="2">
        <f>INDEX('vehicles specifications'!$B$3:$CK$86,MATCH(B51,'vehicles specifications'!$A$3:$A$86,0),MATCH("Curb mass [kg]",'vehicles specifications'!$B$2:$CK$2,0))</f>
        <v>76.209999999999994</v>
      </c>
    </row>
    <row r="62" spans="1:2" x14ac:dyDescent="0.3">
      <c r="A62" t="s">
        <v>138</v>
      </c>
      <c r="B62">
        <f>INDEX('vehicles specifications'!$B$3:$CK$86,MATCH(B51,'vehicles specifications'!$A$3:$A$86,0),MATCH("Power [kW]",'vehicles specifications'!$B$2:$CK$2,0))</f>
        <v>2.5</v>
      </c>
    </row>
    <row r="63" spans="1:2" x14ac:dyDescent="0.3">
      <c r="A63" t="s">
        <v>139</v>
      </c>
      <c r="B63">
        <f>INDEX('vehicles specifications'!$B$3:$CK$86,MATCH(B51,'vehicles specifications'!$A$3:$A$86,0),MATCH("Energy battery mass [kg]",'vehicles specifications'!$B$2:$CK$2,0))</f>
        <v>12.8</v>
      </c>
    </row>
    <row r="64" spans="1:2" x14ac:dyDescent="0.3">
      <c r="A64" t="s">
        <v>140</v>
      </c>
      <c r="B64" s="21">
        <f>INDEX('vehicles specifications'!$B$3:$CK$86,MATCH(B51,'vehicles specifications'!$A$3:$A$86,0),MATCH("Electric energy stored [kWh]",'vehicles specifications'!$B$2:$CK$2,0))</f>
        <v>3.2</v>
      </c>
    </row>
    <row r="65" spans="1:8" s="21" customFormat="1" x14ac:dyDescent="0.3">
      <c r="A65" s="21" t="s">
        <v>654</v>
      </c>
      <c r="B65" s="21">
        <f>INDEX('vehicles specifications'!$B$3:$CK$86,MATCH(B51,'vehicles specifications'!$A$3:$A$86,0),MATCH("Electric energy available [kWh]",'vehicles specifications'!$B$2:$CK$2,0))</f>
        <v>2.5600000000000005</v>
      </c>
    </row>
    <row r="66" spans="1:8" x14ac:dyDescent="0.3">
      <c r="A66" t="s">
        <v>143</v>
      </c>
      <c r="B66" s="2">
        <f>INDEX('vehicles specifications'!$B$3:$CK$86,MATCH(B51,'vehicles specifications'!$A$3:$A$86,0),MATCH("Oxydation energy stored [kWh]",'vehicles specifications'!$B$2:$CK$2,0))</f>
        <v>0</v>
      </c>
    </row>
    <row r="67" spans="1:8" x14ac:dyDescent="0.3">
      <c r="A67" t="s">
        <v>145</v>
      </c>
      <c r="B67">
        <f>INDEX('vehicles specifications'!$B$3:$CK$86,MATCH(B51,'vehicles specifications'!$A$3:$A$86,0),MATCH("Fuel mass [kg]",'vehicles specifications'!$B$2:$CK$2,0))</f>
        <v>0</v>
      </c>
    </row>
    <row r="68" spans="1:8" x14ac:dyDescent="0.3">
      <c r="A68" t="s">
        <v>141</v>
      </c>
      <c r="B68" s="2">
        <f>INDEX('vehicles specifications'!$B$3:$CK$86,MATCH(B51,'vehicles specifications'!$A$3:$A$86,0),MATCH("Range [km]",'vehicles specifications'!$B$2:$CK$2,0))</f>
        <v>76.165289256198363</v>
      </c>
    </row>
    <row r="69" spans="1:8" x14ac:dyDescent="0.3">
      <c r="A69" t="s">
        <v>142</v>
      </c>
      <c r="B69" t="str">
        <f>INDEX('vehicles specifications'!$B$3:$CK$86,MATCH(B51,'vehicles specifications'!$A$3:$A$86,0),MATCH("Emission standard",'vehicles specifications'!$B$2:$CK$2,0))</f>
        <v>None</v>
      </c>
    </row>
    <row r="70" spans="1:8" x14ac:dyDescent="0.3">
      <c r="A70" t="s">
        <v>144</v>
      </c>
      <c r="B70" s="6">
        <f>INDEX('vehicles specifications'!$B$3:$CK$86,MATCH(B51,'vehicles specifications'!$A$3:$A$86,0),MATCH("Lightweighting rate [%]",'vehicles specifications'!$B$2:$CK$2,0))</f>
        <v>0.03</v>
      </c>
    </row>
    <row r="71" spans="1:8" s="21" customFormat="1" x14ac:dyDescent="0.3">
      <c r="A71" s="21" t="s">
        <v>513</v>
      </c>
      <c r="B71" s="6" t="s">
        <v>514</v>
      </c>
    </row>
    <row r="72" spans="1:8" s="21" customFormat="1" x14ac:dyDescent="0.3">
      <c r="A72" s="21" t="s">
        <v>515</v>
      </c>
      <c r="B72" s="2">
        <v>15900</v>
      </c>
    </row>
    <row r="73" spans="1:8" s="21" customFormat="1" x14ac:dyDescent="0.3">
      <c r="A73" s="21" t="s">
        <v>516</v>
      </c>
      <c r="B73" s="2">
        <v>1000</v>
      </c>
    </row>
    <row r="74" spans="1:8" s="21" customFormat="1" x14ac:dyDescent="0.3">
      <c r="A74" s="21" t="s">
        <v>84</v>
      </c>
      <c r="B74" s="21" t="str">
        <f>"Power: "&amp;B62&amp;" kW. Lifetime: "&amp;B56&amp;" km. Annual kilometers: "&amp;ROUND(B60,0)&amp;" km. Number of passengers: "&amp;ROUND(B57,1)&amp;". Curb mass: "&amp;ROUND(B61,1)&amp;" kg. Lightweighting of glider: "&amp;ROUND(B70*100,0)&amp;"%. Emission standard: "&amp;B69&amp;". Service visits throughout lifetime: "&amp;ROUND(B58,1)&amp;". Range: "&amp;ROUND(B68,0)&amp;" km. Battery capacity: "&amp;ROUND(B64,1)&amp;" kWh. Available battery capacity: "&amp;B65&amp;" kWh. Battery mass: "&amp;ROUND(B63,1)&amp; " kg. Battery replacement throughout lifetime: "&amp;ROUND(B59,1)&amp;". Fuel tank capacity: "&amp;ROUND(B66,1)&amp;" kWh. Fuel mass: "&amp;ROUND(B67,1)&amp;" kg. Origin of manufacture: "&amp;B71&amp;". Shipping distance: "&amp;B72&amp;" km. Lorry distribution distance: "&amp;B73&amp;" km. Documentation: "&amp;Readmefirst!$B$2&amp;", "&amp;Readmefirst!$B$3&amp;". "&amp;'lci-kick scooter'!B55</f>
        <v>Power: 2.5 kW. Lifetime: 33400 km. Annual kilometers: 2553 km. Number of passengers: 1.1. Curb mass: 76.2 kg. Lightweighting of glider: 3%. Emission standard: None. Service visits throughout lifetime: 0.7. Range: 76 km. Battery capacity: 3.2 kWh. Available battery capacity: 2.56 kWh. Battery mass: 12.8 kg. Battery replacement throughout lifetime: 0.5. Fuel tank capacity: 0 kWh. Fuel mass: 0 kg. Origin of manufacture: China. Shipping distance: 15900 km. Lorry distribution distance: 1000 km.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75" spans="1:8" ht="15.6" x14ac:dyDescent="0.3">
      <c r="A75" s="11" t="s">
        <v>80</v>
      </c>
    </row>
    <row r="76" spans="1:8" x14ac:dyDescent="0.3">
      <c r="A76" t="s">
        <v>81</v>
      </c>
      <c r="B76" t="s">
        <v>82</v>
      </c>
      <c r="C76" t="s">
        <v>73</v>
      </c>
      <c r="D76" t="s">
        <v>77</v>
      </c>
      <c r="E76" t="s">
        <v>83</v>
      </c>
      <c r="F76" t="s">
        <v>75</v>
      </c>
      <c r="G76" t="s">
        <v>84</v>
      </c>
      <c r="H76" t="s">
        <v>74</v>
      </c>
    </row>
    <row r="77" spans="1:8" x14ac:dyDescent="0.3">
      <c r="A77" s="12" t="str">
        <f>B46</f>
        <v>Motorbike, electric, &lt;4kW, 2030</v>
      </c>
      <c r="B77" s="12">
        <v>1</v>
      </c>
      <c r="C77" s="12" t="str">
        <f>B47</f>
        <v>CH</v>
      </c>
      <c r="D77" s="12" t="str">
        <f>B54</f>
        <v>unit</v>
      </c>
      <c r="E77" s="12"/>
      <c r="F77" s="12" t="s">
        <v>85</v>
      </c>
      <c r="G77" s="12" t="s">
        <v>86</v>
      </c>
      <c r="H77" s="12" t="str">
        <f>B48</f>
        <v>Motorbike, electric, &lt;4kW</v>
      </c>
    </row>
    <row r="78" spans="1:8" x14ac:dyDescent="0.3">
      <c r="A78" s="12" t="str">
        <f>INDEX('ei names mapping'!$B$4:$R$33,MATCH(B48,'ei names mapping'!$A$4:$A$33,0),MATCH(G78,'ei names mapping'!$B$3:$R$3,0))</f>
        <v>market for glider, for electric scooter</v>
      </c>
      <c r="B78" s="16">
        <f>INDEX('vehicles specifications'!$B$3:$CK$86,MATCH(B51,'vehicles specifications'!$A$3:$A$86,0),MATCH(G78,'vehicles specifications'!$B$2:$CK$2,0))*INDEX('ei names mapping'!$B$137:$BK$220,MATCH(B51,'ei names mapping'!$A$137:$A$220,0),MATCH(G78,'ei names mapping'!$B$136:$BK$136,0))</f>
        <v>53</v>
      </c>
      <c r="C78" s="12" t="str">
        <f>INDEX('ei names mapping'!$B$38:$R$67,MATCH(B48,'ei names mapping'!$A$4:$A$33,0),MATCH(G78,'ei names mapping'!$B$3:$R$3,0))</f>
        <v>GLO</v>
      </c>
      <c r="D78" s="12" t="str">
        <f>INDEX('ei names mapping'!$B$104:$R$133,MATCH(B48,'ei names mapping'!$A$104:$A$133,0),MATCH(G78,'ei names mapping'!$B$3:$R$3,0))</f>
        <v>kilogram</v>
      </c>
      <c r="E78" s="12"/>
      <c r="F78" s="12" t="s">
        <v>91</v>
      </c>
      <c r="G78" s="21" t="s">
        <v>15</v>
      </c>
      <c r="H78" s="12" t="str">
        <f>INDEX('ei names mapping'!$B$71:$R$100,MATCH(B48,'ei names mapping'!$A$4:$A$33,0),MATCH(G78,'ei names mapping'!$B$3:$R$3,0))</f>
        <v>glider, for electric scooter</v>
      </c>
    </row>
    <row r="79" spans="1:8" s="21" customFormat="1" x14ac:dyDescent="0.3">
      <c r="A79" s="12" t="str">
        <f>INDEX('ei names mapping'!$B$4:$R$33,MATCH(B48,'ei names mapping'!$A$4:$A$33,0),MATCH(G79,'ei names mapping'!$B$3:$R$3,0))</f>
        <v>glider lightweighting</v>
      </c>
      <c r="B79" s="16">
        <f>INDEX('vehicles specifications'!$B$3:$CK$86,MATCH(B51,'vehicles specifications'!$A$3:$A$86,0),MATCH(G79,'vehicles specifications'!$B$2:$CK$2,0))*INDEX('ei names mapping'!$B$137:$BK$220,MATCH(B51,'ei names mapping'!$A$137:$A$220,0),MATCH(G79,'ei names mapping'!$B$136:$BK$136,0))</f>
        <v>1.5899999999999999</v>
      </c>
      <c r="C79" s="12" t="str">
        <f>INDEX('ei names mapping'!$B$38:$R$67,MATCH(B48,'ei names mapping'!$A$4:$A$33,0),MATCH(G79,'ei names mapping'!$B$3:$R$3,0))</f>
        <v>GLO</v>
      </c>
      <c r="D79" s="12" t="str">
        <f>INDEX('ei names mapping'!$B$104:$R$133,MATCH(B48,'ei names mapping'!$A$104:$A$133,0),MATCH(G79,'ei names mapping'!$B$3:$R$3,0))</f>
        <v>kilogram</v>
      </c>
      <c r="E79" s="12"/>
      <c r="F79" s="12" t="s">
        <v>91</v>
      </c>
      <c r="G79" s="21" t="s">
        <v>14</v>
      </c>
      <c r="H79" s="12" t="str">
        <f>INDEX('ei names mapping'!$B$71:$R$100,MATCH(B48,'ei names mapping'!$A$4:$A$33,0),MATCH(G79,'ei names mapping'!$B$3:$R$3,0))</f>
        <v>glider lightweighting</v>
      </c>
    </row>
    <row r="80" spans="1:8" x14ac:dyDescent="0.3">
      <c r="A80" s="12" t="str">
        <f>INDEX('ei names mapping'!$B$4:$R$33,MATCH(B48,'ei names mapping'!$A$4:$A$33,0),MATCH(G80,'ei names mapping'!$B$3:$R$3,0))</f>
        <v>market for glider, for electric scooter</v>
      </c>
      <c r="B80" s="16">
        <f>INDEX('vehicles specifications'!$B$3:$CK$86,MATCH(B51,'vehicles specifications'!$A$3:$A$86,0),MATCH(G80,'vehicles specifications'!$B$2:$CK$2,0))*INDEX('ei names mapping'!$B$137:$BK$220,MATCH(B51,'ei names mapping'!$A$137:$A$220,0),MATCH(G80,'ei names mapping'!$B$136:$BK$136,0))</f>
        <v>4.5</v>
      </c>
      <c r="C80" s="12" t="str">
        <f>INDEX('ei names mapping'!$B$38:$R$67,MATCH(B48,'ei names mapping'!$A$4:$A$33,0),MATCH(G80,'ei names mapping'!$B$3:$R$3,0))</f>
        <v>GLO</v>
      </c>
      <c r="D80" s="12" t="str">
        <f>INDEX('ei names mapping'!$B$104:$R$133,MATCH(B48,'ei names mapping'!$A$104:$A$133,0),MATCH(G80,'ei names mapping'!$B$3:$R$3,0))</f>
        <v>kilogram</v>
      </c>
      <c r="E80" s="12"/>
      <c r="F80" s="12" t="s">
        <v>91</v>
      </c>
      <c r="G80" t="s">
        <v>16</v>
      </c>
      <c r="H80" s="12" t="str">
        <f>INDEX('ei names mapping'!$B$71:$R$100,MATCH(B48,'ei names mapping'!$A$4:$A$33,0),MATCH(G80,'ei names mapping'!$B$3:$R$3,0))</f>
        <v>glider, for electric scooter</v>
      </c>
    </row>
    <row r="81" spans="1:8" x14ac:dyDescent="0.3">
      <c r="A81" s="12" t="str">
        <f>INDEX('ei names mapping'!$B$4:$R$33,MATCH(B48,'ei names mapping'!$A$4:$A$33,0),MATCH(G81,'ei names mapping'!$B$3:$R$3,0))</f>
        <v>market for electric powertrain, for electric scooter</v>
      </c>
      <c r="B81" s="16">
        <f>INDEX('vehicles specifications'!$B$3:$CK$86,MATCH(B51,'vehicles specifications'!$A$3:$A$86,0),MATCH(G81,'vehicles specifications'!$B$2:$CK$2,0))*INDEX('ei names mapping'!$B$137:$BK$220,MATCH(B51,'ei names mapping'!$A$137:$A$220,0),MATCH(G81,'ei names mapping'!$B$136:$BK$136,0))</f>
        <v>7.5</v>
      </c>
      <c r="C81" s="12" t="str">
        <f>INDEX('ei names mapping'!$B$38:$R$67,MATCH(B48,'ei names mapping'!$A$4:$A$33,0),MATCH(G81,'ei names mapping'!$B$3:$R$3,0))</f>
        <v>GLO</v>
      </c>
      <c r="D81" s="12" t="str">
        <f>INDEX('ei names mapping'!$B$104:$R$133,MATCH(B48,'ei names mapping'!$A$104:$A$133,0),MATCH(G81,'ei names mapping'!$B$3:$R$3,0))</f>
        <v>kilogram</v>
      </c>
      <c r="E81" s="12"/>
      <c r="F81" s="12" t="s">
        <v>91</v>
      </c>
      <c r="G81" t="s">
        <v>557</v>
      </c>
      <c r="H81" s="12" t="str">
        <f>INDEX('ei names mapping'!$B$71:$R$100,MATCH(B48,'ei names mapping'!$A$4:$A$33,0),MATCH(G81,'ei names mapping'!$B$3:$R$3,0))</f>
        <v>powertrain, for electric scooter</v>
      </c>
    </row>
    <row r="82" spans="1:8" x14ac:dyDescent="0.3">
      <c r="A82" s="12" t="str">
        <f>INDEX('ei names mapping'!$B$4:$R$33,MATCH(B48,'ei names mapping'!$A$4:$A$33,0),MATCH(G82,'ei names mapping'!$B$3:$R$3,0))</f>
        <v>Battery cell, NMC</v>
      </c>
      <c r="B82" s="16">
        <f>INDEX('vehicles specifications'!$B$3:$CK$86,MATCH(B51,'vehicles specifications'!$A$3:$A$86,0),MATCH(G82,'vehicles specifications'!$B$2:$CK$2,0))*INDEX('ei names mapping'!$B$137:$BK$220,MATCH(B51,'ei names mapping'!$A$137:$A$220,0),MATCH(G82,'ei names mapping'!$B$136:$BK$136,0))</f>
        <v>16</v>
      </c>
      <c r="C82" s="12" t="str">
        <f>INDEX('ei names mapping'!$B$38:$R$67,MATCH(B48,'ei names mapping'!$A$4:$A$33,0),MATCH(G82,'ei names mapping'!$B$3:$R$3,0))</f>
        <v>GLO</v>
      </c>
      <c r="D82" s="12" t="str">
        <f>INDEX('ei names mapping'!$B$104:$R$133,MATCH(B48,'ei names mapping'!$A$104:$A$133,0),MATCH(G82,'ei names mapping'!$B$3:$R$3,0))</f>
        <v>kilogram</v>
      </c>
      <c r="E82" s="12"/>
      <c r="F82" s="12" t="s">
        <v>91</v>
      </c>
      <c r="G82" t="s">
        <v>19</v>
      </c>
      <c r="H82" s="12" t="str">
        <f>INDEX('ei names mapping'!$B$71:$R$100,MATCH(B48,'ei names mapping'!$A$4:$A$33,0),MATCH(G82,'ei names mapping'!$B$3:$R$3,0))</f>
        <v>Battery cell</v>
      </c>
    </row>
    <row r="83" spans="1:8" x14ac:dyDescent="0.3">
      <c r="A83" s="12" t="str">
        <f>INDEX('ei names mapping'!$B$4:$R$33,MATCH(B48,'ei names mapping'!$A$4:$A$33,0),MATCH(G83,'ei names mapping'!$B$3:$R$3,0))</f>
        <v>Battery BoP</v>
      </c>
      <c r="B83" s="16">
        <f>INDEX('vehicles specifications'!$B$3:$CK$86,MATCH(B51,'vehicles specifications'!$A$3:$A$86,0),MATCH(G83,'vehicles specifications'!$B$2:$CK$2,0))*INDEX('ei names mapping'!$B$137:$BK$220,MATCH(B51,'ei names mapping'!$A$137:$A$220,0),MATCH(G83,'ei names mapping'!$B$136:$BK$136,0))</f>
        <v>3.2000000000000006</v>
      </c>
      <c r="C83" s="12" t="str">
        <f>INDEX('ei names mapping'!$B$38:$R$67,MATCH(B48,'ei names mapping'!$A$4:$A$33,0),MATCH(G83,'ei names mapping'!$B$3:$R$3,0))</f>
        <v>GLO</v>
      </c>
      <c r="D83" s="12" t="str">
        <f>INDEX('ei names mapping'!$B$104:$R$133,MATCH(B48,'ei names mapping'!$A$104:$A$133,0),MATCH(G83,'ei names mapping'!$B$3:$R$3,0))</f>
        <v>kilogram</v>
      </c>
      <c r="E83" s="12"/>
      <c r="F83" s="12" t="s">
        <v>91</v>
      </c>
      <c r="G83" t="s">
        <v>20</v>
      </c>
      <c r="H83" s="12" t="str">
        <f>INDEX('ei names mapping'!$B$71:$R$100,MATCH(B48,'ei names mapping'!$A$4:$A$33,0),MATCH(G83,'ei names mapping'!$B$3:$R$3,0))</f>
        <v>Battery BoP</v>
      </c>
    </row>
    <row r="84" spans="1:8" x14ac:dyDescent="0.3">
      <c r="A84" s="12" t="str">
        <f>INDEX('ei names mapping'!$B$4:$R$33,MATCH(B48,'ei names mapping'!$A$4:$A$33,0),MATCH(G84,'ei names mapping'!$B$3:$R$3,0))</f>
        <v>charging station, 3kW</v>
      </c>
      <c r="B84" s="16">
        <f>INDEX('vehicles specifications'!$B$3:$CK$86,MATCH(B51,'vehicles specifications'!$A$3:$A$86,0),MATCH(G84,'vehicles specifications'!$B$2:$CK$2,0))*INDEX('ei names mapping'!$B$137:$BK$220,MATCH(B51,'ei names mapping'!$A$137:$A$220,0),MATCH(G84,'ei names mapping'!$B$136:$BK$136,0))</f>
        <v>1</v>
      </c>
      <c r="C84" s="12" t="str">
        <f>INDEX('ei names mapping'!$B$38:$R$67,MATCH(B48,'ei names mapping'!$A$4:$A$33,0),MATCH(G84,'ei names mapping'!$B$3:$R$3,0))</f>
        <v>GLO</v>
      </c>
      <c r="D84" s="12" t="str">
        <f>INDEX('ei names mapping'!$B$104:$R$133,MATCH(B48,'ei names mapping'!$A$104:$A$133,0),MATCH(G84,'ei names mapping'!$B$3:$R$3,0))</f>
        <v>unit</v>
      </c>
      <c r="E84" s="12"/>
      <c r="F84" s="12" t="s">
        <v>91</v>
      </c>
      <c r="G84" t="s">
        <v>53</v>
      </c>
      <c r="H84" s="12" t="str">
        <f>INDEX('ei names mapping'!$B$71:$R$100,MATCH(B48,'ei names mapping'!$A$4:$A$33,0),MATCH(G84,'ei names mapping'!$B$3:$R$3,0))</f>
        <v>charging station, 3kW</v>
      </c>
    </row>
    <row r="85" spans="1:8" x14ac:dyDescent="0.3">
      <c r="A85" s="12" t="str">
        <f>INDEX('ei names mapping'!$B$4:$R$33,MATCH(B48,'ei names mapping'!$A$4:$A$33,0),MATCH(G85,'ei names mapping'!$B$3:$R$3,0))</f>
        <v>manual dismantling of used electric scooter</v>
      </c>
      <c r="B85" s="16">
        <f>INDEX('vehicles specifications'!$B$3:$CK$86,MATCH(B51,'vehicles specifications'!$A$3:$A$86,0),MATCH(G85,'vehicles specifications'!$B$2:$CK$2,0))*INDEX('ei names mapping'!$B$137:$BK$220,MATCH(B51,'ei names mapping'!$A$137:$A$220,0),MATCH(G85,'ei names mapping'!$B$136:$BK$136,0))</f>
        <v>51.41</v>
      </c>
      <c r="C85" s="12" t="str">
        <f>INDEX('ei names mapping'!$B$38:$R$67,MATCH(B48,'ei names mapping'!$A$4:$A$33,0),MATCH(G85,'ei names mapping'!$B$3:$R$3,0))</f>
        <v>GLO</v>
      </c>
      <c r="D85" s="12" t="str">
        <f>INDEX('ei names mapping'!$B$104:$R$133,MATCH(B48,'ei names mapping'!$A$104:$A$133,0),MATCH(G85,'ei names mapping'!$B$3:$R$3,0))</f>
        <v>unit</v>
      </c>
      <c r="E85" s="12"/>
      <c r="F85" s="12" t="s">
        <v>91</v>
      </c>
      <c r="G85" t="s">
        <v>150</v>
      </c>
      <c r="H85" s="12" t="str">
        <f>INDEX('ei names mapping'!$B$71:$R$100,MATCH(B48,'ei names mapping'!$A$4:$A$33,0),MATCH(G85,'ei names mapping'!$B$3:$R$3,0))</f>
        <v>manual dismantling of electric scooter</v>
      </c>
    </row>
    <row r="86" spans="1:8" x14ac:dyDescent="0.3">
      <c r="A86" s="12" t="str">
        <f>INDEX('ei names mapping'!$B$4:$R$33,MATCH(B48,'ei names mapping'!$A$4:$A$33,0),MATCH(G86,'ei names mapping'!$B$3:$R$3,0))</f>
        <v>manual dismantling of used electric scooter</v>
      </c>
      <c r="B86" s="16">
        <f>INDEX('vehicles specifications'!$B$3:$CK$86,MATCH(B51,'vehicles specifications'!$A$3:$A$86,0),MATCH(G86,'vehicles specifications'!$B$2:$CK$2,0))*INDEX('ei names mapping'!$B$137:$BK$220,MATCH(B51,'ei names mapping'!$A$137:$A$220,0),MATCH(G86,'ei names mapping'!$B$136:$BK$136,0))</f>
        <v>12</v>
      </c>
      <c r="C86" s="12" t="str">
        <f>INDEX('ei names mapping'!$B$38:$R$67,MATCH(B48,'ei names mapping'!$A$4:$A$33,0),MATCH(G86,'ei names mapping'!$B$3:$R$3,0))</f>
        <v>GLO</v>
      </c>
      <c r="D86" s="12" t="str">
        <f>INDEX('ei names mapping'!$B$104:$R$133,MATCH(B48,'ei names mapping'!$A$104:$A$133,0),MATCH(G86,'ei names mapping'!$B$3:$R$3,0))</f>
        <v>unit</v>
      </c>
      <c r="E86" s="12"/>
      <c r="F86" s="12" t="s">
        <v>91</v>
      </c>
      <c r="G86" t="s">
        <v>151</v>
      </c>
      <c r="H86" s="12" t="str">
        <f>INDEX('ei names mapping'!$B$71:$R$100,MATCH(B48,'ei names mapping'!$A$4:$A$33,0),MATCH(G86,'ei names mapping'!$B$3:$R$3,0))</f>
        <v>manual dismantling of electric scooter</v>
      </c>
    </row>
    <row r="87" spans="1:8" x14ac:dyDescent="0.3">
      <c r="A87" s="12" t="str">
        <f>INDEX('ei names mapping'!$B$4:$R$33,MATCH(B48,'ei names mapping'!$A$4:$A$33,0),MATCH(G87,'ei names mapping'!$B$3:$R$3,0))</f>
        <v>market for used Li-ion battery</v>
      </c>
      <c r="B87" s="16">
        <f>INDEX('vehicles specifications'!$B$3:$CK$86,MATCH(B51,'vehicles specifications'!$A$3:$A$86,0),MATCH(G87,'vehicles specifications'!$B$2:$CK$2,0))*INDEX('ei names mapping'!$B$137:$BK$220,MATCH(B51,'ei names mapping'!$A$137:$A$220,0),MATCH(G87,'ei names mapping'!$B$136:$BK$136,0))</f>
        <v>-19.200000000000003</v>
      </c>
      <c r="C87" s="12" t="str">
        <f>INDEX('ei names mapping'!$B$38:$R$67,MATCH(B48,'ei names mapping'!$A$4:$A$33,0),MATCH(G87,'ei names mapping'!$B$3:$R$3,0))</f>
        <v>GLO</v>
      </c>
      <c r="D87" s="12" t="str">
        <f>INDEX('ei names mapping'!$B$104:$R$133,MATCH(B52,'ei names mapping'!$A$104:$A$133,0),MATCH(G87,'ei names mapping'!$B$3:$R$3,0))</f>
        <v>kilogram</v>
      </c>
      <c r="E87" s="12"/>
      <c r="F87" s="12" t="s">
        <v>91</v>
      </c>
      <c r="G87" t="s">
        <v>152</v>
      </c>
      <c r="H87" s="12" t="str">
        <f>INDEX('ei names mapping'!$B$71:$R$100,MATCH(B48,'ei names mapping'!$A$4:$A$33,0),MATCH(G87,'ei names mapping'!$B$3:$R$3,0))</f>
        <v>used Li-ion battery</v>
      </c>
    </row>
    <row r="88" spans="1:8" s="21" customFormat="1" x14ac:dyDescent="0.3">
      <c r="A88" s="22" t="s">
        <v>468</v>
      </c>
      <c r="B88" s="21">
        <f>(B61/1000)*B73</f>
        <v>76.209999999999994</v>
      </c>
      <c r="C88" s="21" t="s">
        <v>94</v>
      </c>
      <c r="D88" s="21" t="s">
        <v>243</v>
      </c>
      <c r="F88" s="21" t="s">
        <v>91</v>
      </c>
      <c r="H88" s="22" t="s">
        <v>469</v>
      </c>
    </row>
    <row r="89" spans="1:8" s="21" customFormat="1" x14ac:dyDescent="0.3">
      <c r="A89" s="22" t="s">
        <v>467</v>
      </c>
      <c r="B89" s="2">
        <f>(B61/1000)*B72</f>
        <v>1211.739</v>
      </c>
      <c r="C89" s="21" t="s">
        <v>98</v>
      </c>
      <c r="D89" s="21" t="s">
        <v>243</v>
      </c>
      <c r="F89" s="21" t="s">
        <v>91</v>
      </c>
      <c r="H89" s="22" t="s">
        <v>467</v>
      </c>
    </row>
    <row r="90" spans="1:8" x14ac:dyDescent="0.3">
      <c r="B90" s="12"/>
    </row>
    <row r="91" spans="1:8" ht="15.6" x14ac:dyDescent="0.3">
      <c r="A91" s="11" t="s">
        <v>72</v>
      </c>
      <c r="B91" s="9" t="str">
        <f>B93&amp;", "&amp;B95</f>
        <v>Motorbike, electric, &lt;4kW, 2040</v>
      </c>
    </row>
    <row r="92" spans="1:8" x14ac:dyDescent="0.3">
      <c r="A92" t="s">
        <v>73</v>
      </c>
      <c r="B92" t="s">
        <v>37</v>
      </c>
    </row>
    <row r="93" spans="1:8" x14ac:dyDescent="0.3">
      <c r="A93" t="s">
        <v>87</v>
      </c>
      <c r="B93" t="s">
        <v>520</v>
      </c>
    </row>
    <row r="94" spans="1:8" x14ac:dyDescent="0.3">
      <c r="A94" t="s">
        <v>88</v>
      </c>
      <c r="B94" s="12"/>
    </row>
    <row r="95" spans="1:8" x14ac:dyDescent="0.3">
      <c r="A95" t="s">
        <v>89</v>
      </c>
      <c r="B95" s="12">
        <v>2040</v>
      </c>
    </row>
    <row r="96" spans="1:8" x14ac:dyDescent="0.3">
      <c r="A96" t="s">
        <v>131</v>
      </c>
      <c r="B96" s="12" t="str">
        <f>B93&amp;" - "&amp;B95&amp;" - "&amp;B92</f>
        <v>Motorbike, electric, &lt;4kW - 2040 - CH</v>
      </c>
    </row>
    <row r="97" spans="1:2" x14ac:dyDescent="0.3">
      <c r="A97" t="s">
        <v>74</v>
      </c>
      <c r="B97" t="str">
        <f>B93</f>
        <v>Motorbike, electric, &lt;4kW</v>
      </c>
    </row>
    <row r="98" spans="1:2" x14ac:dyDescent="0.3">
      <c r="A98" t="s">
        <v>75</v>
      </c>
      <c r="B98" t="s">
        <v>76</v>
      </c>
    </row>
    <row r="99" spans="1:2" x14ac:dyDescent="0.3">
      <c r="A99" t="s">
        <v>77</v>
      </c>
      <c r="B99" t="s">
        <v>77</v>
      </c>
    </row>
    <row r="100" spans="1:2" x14ac:dyDescent="0.3">
      <c r="A100" t="s">
        <v>79</v>
      </c>
      <c r="B100" t="s">
        <v>90</v>
      </c>
    </row>
    <row r="101" spans="1:2" x14ac:dyDescent="0.3">
      <c r="A101" t="s">
        <v>132</v>
      </c>
      <c r="B101">
        <f>INDEX('vehicles specifications'!$B$3:$CK$86,MATCH(B96,'vehicles specifications'!$A$3:$A$86,0),MATCH("Lifetime [km]",'vehicles specifications'!$B$2:$CK$2,0))</f>
        <v>33400</v>
      </c>
    </row>
    <row r="102" spans="1:2" x14ac:dyDescent="0.3">
      <c r="A102" t="s">
        <v>133</v>
      </c>
      <c r="B102">
        <f>INDEX('vehicles specifications'!$B$3:$CK$86,MATCH(B96,'vehicles specifications'!$A$3:$A$86,0),MATCH("Passengers [unit]",'vehicles specifications'!$B$2:$CK$2,0))</f>
        <v>1.1000000000000001</v>
      </c>
    </row>
    <row r="103" spans="1:2" x14ac:dyDescent="0.3">
      <c r="A103" t="s">
        <v>134</v>
      </c>
      <c r="B103">
        <f>INDEX('vehicles specifications'!$B$3:$CK$86,MATCH(B96,'vehicles specifications'!$A$3:$A$86,0),MATCH("Servicing [unit]",'vehicles specifications'!$B$2:$CK$2,0))</f>
        <v>0.66800000000000004</v>
      </c>
    </row>
    <row r="104" spans="1:2" x14ac:dyDescent="0.3">
      <c r="A104" t="s">
        <v>135</v>
      </c>
      <c r="B104">
        <f>INDEX('vehicles specifications'!$B$3:$CK$86,MATCH(B96,'vehicles specifications'!$A$3:$A$86,0),MATCH("Energy battery replacement [unit]",'vehicles specifications'!$B$2:$CK$2,0))</f>
        <v>0.25</v>
      </c>
    </row>
    <row r="105" spans="1:2" x14ac:dyDescent="0.3">
      <c r="A105" t="s">
        <v>136</v>
      </c>
      <c r="B105">
        <f>INDEX('vehicles specifications'!$B$3:$CK$86,MATCH(B96,'vehicles specifications'!$A$3:$A$86,0),MATCH("Annual kilometers [km]",'vehicles specifications'!$B$2:$CK$2,0))</f>
        <v>2553</v>
      </c>
    </row>
    <row r="106" spans="1:2" x14ac:dyDescent="0.3">
      <c r="A106" t="s">
        <v>137</v>
      </c>
      <c r="B106" s="2">
        <f>INDEX('vehicles specifications'!$B$3:$CK$86,MATCH(B96,'vehicles specifications'!$A$3:$A$86,0),MATCH("Curb mass [kg]",'vehicles specifications'!$B$2:$CK$2,0))</f>
        <v>75.849999999999994</v>
      </c>
    </row>
    <row r="107" spans="1:2" x14ac:dyDescent="0.3">
      <c r="A107" t="s">
        <v>138</v>
      </c>
      <c r="B107">
        <f>INDEX('vehicles specifications'!$B$3:$CK$86,MATCH(B96,'vehicles specifications'!$A$3:$A$86,0),MATCH("Power [kW]",'vehicles specifications'!$B$2:$CK$2,0))</f>
        <v>2.5</v>
      </c>
    </row>
    <row r="108" spans="1:2" x14ac:dyDescent="0.3">
      <c r="A108" t="s">
        <v>139</v>
      </c>
      <c r="B108">
        <f>INDEX('vehicles specifications'!$B$3:$CK$86,MATCH(B96,'vehicles specifications'!$A$3:$A$86,0),MATCH("Energy battery mass [kg]",'vehicles specifications'!$B$2:$CK$2,0))</f>
        <v>13.5</v>
      </c>
    </row>
    <row r="109" spans="1:2" x14ac:dyDescent="0.3">
      <c r="A109" t="s">
        <v>140</v>
      </c>
      <c r="B109" s="21">
        <f>INDEX('vehicles specifications'!$B$3:$CK$86,MATCH(B96,'vehicles specifications'!$A$3:$A$86,0),MATCH("Electric energy stored [kWh]",'vehicles specifications'!$B$2:$CK$2,0))</f>
        <v>4.5</v>
      </c>
    </row>
    <row r="110" spans="1:2" s="21" customFormat="1" x14ac:dyDescent="0.3">
      <c r="A110" s="21" t="s">
        <v>654</v>
      </c>
      <c r="B110" s="21">
        <f>INDEX('vehicles specifications'!$B$3:$CK$86,MATCH(B96,'vehicles specifications'!$A$3:$A$86,0),MATCH("Electric energy available [kWh]",'vehicles specifications'!$B$2:$CK$2,0))</f>
        <v>3.6</v>
      </c>
    </row>
    <row r="111" spans="1:2" x14ac:dyDescent="0.3">
      <c r="A111" t="s">
        <v>143</v>
      </c>
      <c r="B111" s="2">
        <f>INDEX('vehicles specifications'!$B$3:$CK$86,MATCH(B96,'vehicles specifications'!$A$3:$A$86,0),MATCH("Oxydation energy stored [kWh]",'vehicles specifications'!$B$2:$CK$2,0))</f>
        <v>0</v>
      </c>
    </row>
    <row r="112" spans="1:2" x14ac:dyDescent="0.3">
      <c r="A112" t="s">
        <v>145</v>
      </c>
      <c r="B112">
        <f>INDEX('vehicles specifications'!$B$3:$CK$86,MATCH(B96,'vehicles specifications'!$A$3:$A$86,0),MATCH("Fuel mass [kg]",'vehicles specifications'!$B$2:$CK$2,0))</f>
        <v>0</v>
      </c>
    </row>
    <row r="113" spans="1:8" x14ac:dyDescent="0.3">
      <c r="A113" t="s">
        <v>141</v>
      </c>
      <c r="B113" s="2">
        <f>INDEX('vehicles specifications'!$B$3:$CK$86,MATCH(B96,'vehicles specifications'!$A$3:$A$86,0),MATCH("Range [km]",'vehicles specifications'!$B$2:$CK$2,0))</f>
        <v>107.10743801652892</v>
      </c>
    </row>
    <row r="114" spans="1:8" x14ac:dyDescent="0.3">
      <c r="A114" t="s">
        <v>142</v>
      </c>
      <c r="B114" t="str">
        <f>INDEX('vehicles specifications'!$B$3:$CK$86,MATCH(B96,'vehicles specifications'!$A$3:$A$86,0),MATCH("Emission standard",'vehicles specifications'!$B$2:$CK$2,0))</f>
        <v>None</v>
      </c>
    </row>
    <row r="115" spans="1:8" x14ac:dyDescent="0.3">
      <c r="A115" t="s">
        <v>144</v>
      </c>
      <c r="B115" s="6">
        <f>INDEX('vehicles specifications'!$B$3:$CK$86,MATCH(B96,'vehicles specifications'!$A$3:$A$86,0),MATCH("Lightweighting rate [%]",'vehicles specifications'!$B$2:$CK$2,0))</f>
        <v>0.05</v>
      </c>
    </row>
    <row r="116" spans="1:8" s="21" customFormat="1" x14ac:dyDescent="0.3">
      <c r="A116" s="21" t="s">
        <v>513</v>
      </c>
      <c r="B116" s="6" t="s">
        <v>514</v>
      </c>
    </row>
    <row r="117" spans="1:8" s="21" customFormat="1" x14ac:dyDescent="0.3">
      <c r="A117" s="21" t="s">
        <v>515</v>
      </c>
      <c r="B117" s="2">
        <v>15900</v>
      </c>
    </row>
    <row r="118" spans="1:8" s="21" customFormat="1" x14ac:dyDescent="0.3">
      <c r="A118" s="21" t="s">
        <v>516</v>
      </c>
      <c r="B118" s="2">
        <v>1000</v>
      </c>
    </row>
    <row r="119" spans="1:8" x14ac:dyDescent="0.3">
      <c r="A119" t="s">
        <v>84</v>
      </c>
      <c r="B119" s="21" t="str">
        <f>"Power: "&amp;B107&amp;" kW. Lifetime: "&amp;B101&amp;" km. Annual kilometers: "&amp;ROUND(B105,0)&amp;" km. Number of passengers: "&amp;ROUND(B102,1)&amp;". Curb mass: "&amp;ROUND(B106,1)&amp;" kg. Lightweighting of glider: "&amp;ROUND(B115*100,0)&amp;"%. Emission standard: "&amp;B114&amp;". Service visits throughout lifetime: "&amp;ROUND(B103,1)&amp;". Range: "&amp;ROUND(B113,0)&amp;" km. Battery capacity: "&amp;ROUND(B109,1)&amp;" kWh. Available battery capacity: "&amp;B110&amp;" kWh. Battery mass: "&amp;ROUND(B108,1)&amp; " kg. Battery replacement throughout lifetime: "&amp;ROUND(B104,1)&amp;". Fuel tank capacity: "&amp;ROUND(B111,1)&amp;" kWh. Fuel mass: "&amp;ROUND(B112,1)&amp;" kg. Origin of manufacture: "&amp;B116&amp;". Shipping distance: "&amp;B117&amp;" km. Lorry distribution distance: "&amp;B118&amp;" km. Documentation: "&amp;Readmefirst!$B$2&amp;", "&amp;Readmefirst!$B$3&amp;". "&amp;'lci-kick scooter'!B100</f>
        <v>Power: 2.5 kW. Lifetime: 33400 km. Annual kilometers: 2553 km. Number of passengers: 1.1. Curb mass: 75.9 kg. Lightweighting of glider: 5%. Emission standard: None. Service visits throughout lifetime: 0.7. Range: 107 km. Battery capacity: 4.5 kWh. Available battery capacity: 3.6 kWh. Battery mass: 13.5 kg. Battery replacement throughout lifetime: 0.3. Fuel tank capacity: 0 kWh. Fuel mass: 0 kg. Origin of manufacture: China. Shipping distance: 15900 km. Lorry distribution distance: 1000 km. Documentation: 2021 UVEK life-cycle inventories update of on-road vehicles, Sacchi R. (PSI), Bauer C. (PSI), 2021. 1</v>
      </c>
    </row>
    <row r="120" spans="1:8" ht="15.6" x14ac:dyDescent="0.3">
      <c r="A120" s="11" t="s">
        <v>80</v>
      </c>
    </row>
    <row r="121" spans="1:8" x14ac:dyDescent="0.3">
      <c r="A121" t="s">
        <v>81</v>
      </c>
      <c r="B121" t="s">
        <v>82</v>
      </c>
      <c r="C121" t="s">
        <v>73</v>
      </c>
      <c r="D121" t="s">
        <v>77</v>
      </c>
      <c r="E121" t="s">
        <v>83</v>
      </c>
      <c r="F121" t="s">
        <v>75</v>
      </c>
      <c r="G121" t="s">
        <v>84</v>
      </c>
      <c r="H121" t="s">
        <v>74</v>
      </c>
    </row>
    <row r="122" spans="1:8" x14ac:dyDescent="0.3">
      <c r="A122" s="12" t="str">
        <f>B91</f>
        <v>Motorbike, electric, &lt;4kW, 2040</v>
      </c>
      <c r="B122" s="12">
        <v>1</v>
      </c>
      <c r="C122" s="12" t="str">
        <f>B92</f>
        <v>CH</v>
      </c>
      <c r="D122" s="12" t="str">
        <f>B99</f>
        <v>unit</v>
      </c>
      <c r="E122" s="12"/>
      <c r="F122" s="12" t="s">
        <v>85</v>
      </c>
      <c r="G122" s="12" t="s">
        <v>86</v>
      </c>
      <c r="H122" s="12" t="str">
        <f>B93</f>
        <v>Motorbike, electric, &lt;4kW</v>
      </c>
    </row>
    <row r="123" spans="1:8" x14ac:dyDescent="0.3">
      <c r="A123" s="12" t="str">
        <f>INDEX('ei names mapping'!$B$4:$R$33,MATCH(B93,'ei names mapping'!$A$4:$A$33,0),MATCH(G123,'ei names mapping'!$B$3:$R$3,0))</f>
        <v>market for glider, for electric scooter</v>
      </c>
      <c r="B123" s="16">
        <f>INDEX('vehicles specifications'!$B$3:$CK$86,MATCH(B96,'vehicles specifications'!$A$3:$A$86,0),MATCH(G123,'vehicles specifications'!$B$2:$CK$2,0))*INDEX('ei names mapping'!$B$137:$BK$220,MATCH(B96,'ei names mapping'!$A$137:$A$220,0),MATCH(G123,'ei names mapping'!$B$136:$BK$136,0))</f>
        <v>53</v>
      </c>
      <c r="C123" s="12" t="str">
        <f>INDEX('ei names mapping'!$B$38:$R$67,MATCH(B93,'ei names mapping'!$A$4:$A$33,0),MATCH(G123,'ei names mapping'!$B$3:$R$3,0))</f>
        <v>GLO</v>
      </c>
      <c r="D123" s="12" t="str">
        <f>INDEX('ei names mapping'!$B$104:$R$133,MATCH(B93,'ei names mapping'!$A$104:$A$133,0),MATCH(G123,'ei names mapping'!$B$3:$R$3,0))</f>
        <v>kilogram</v>
      </c>
      <c r="E123" s="12"/>
      <c r="F123" s="12" t="s">
        <v>91</v>
      </c>
      <c r="G123" s="21" t="s">
        <v>15</v>
      </c>
      <c r="H123" s="12" t="str">
        <f>INDEX('ei names mapping'!$B$71:$R$100,MATCH(B93,'ei names mapping'!$A$4:$A$33,0),MATCH(G123,'ei names mapping'!$B$3:$R$3,0))</f>
        <v>glider, for electric scooter</v>
      </c>
    </row>
    <row r="124" spans="1:8" s="21" customFormat="1" x14ac:dyDescent="0.3">
      <c r="A124" s="12" t="str">
        <f>INDEX('ei names mapping'!$B$4:$R$33,MATCH(B93,'ei names mapping'!$A$4:$A$33,0),MATCH(G124,'ei names mapping'!$B$3:$R$3,0))</f>
        <v>glider lightweighting</v>
      </c>
      <c r="B124" s="16">
        <f>INDEX('vehicles specifications'!$B$3:$CK$86,MATCH(B96,'vehicles specifications'!$A$3:$A$86,0),MATCH(G124,'vehicles specifications'!$B$2:$CK$2,0))*INDEX('ei names mapping'!$B$137:$BK$220,MATCH(B96,'ei names mapping'!$A$137:$A$220,0),MATCH(G124,'ei names mapping'!$B$136:$BK$136,0))</f>
        <v>2.6500000000000004</v>
      </c>
      <c r="C124" s="12" t="str">
        <f>INDEX('ei names mapping'!$B$38:$R$67,MATCH(B93,'ei names mapping'!$A$4:$A$33,0),MATCH(G124,'ei names mapping'!$B$3:$R$3,0))</f>
        <v>GLO</v>
      </c>
      <c r="D124" s="12" t="str">
        <f>INDEX('ei names mapping'!$B$104:$R$133,MATCH(B93,'ei names mapping'!$A$104:$A$133,0),MATCH(G124,'ei names mapping'!$B$3:$R$3,0))</f>
        <v>kilogram</v>
      </c>
      <c r="E124" s="12"/>
      <c r="F124" s="12" t="s">
        <v>91</v>
      </c>
      <c r="G124" s="21" t="s">
        <v>14</v>
      </c>
      <c r="H124" s="12" t="str">
        <f>INDEX('ei names mapping'!$B$71:$R$100,MATCH(B93,'ei names mapping'!$A$4:$A$33,0),MATCH(G124,'ei names mapping'!$B$3:$R$3,0))</f>
        <v>glider lightweighting</v>
      </c>
    </row>
    <row r="125" spans="1:8" x14ac:dyDescent="0.3">
      <c r="A125" s="12" t="str">
        <f>INDEX('ei names mapping'!$B$4:$R$33,MATCH(B93,'ei names mapping'!$A$4:$A$33,0),MATCH(G125,'ei names mapping'!$B$3:$R$3,0))</f>
        <v>market for glider, for electric scooter</v>
      </c>
      <c r="B125" s="16">
        <f>INDEX('vehicles specifications'!$B$3:$CK$86,MATCH(B96,'vehicles specifications'!$A$3:$A$86,0),MATCH(G125,'vehicles specifications'!$B$2:$CK$2,0))*INDEX('ei names mapping'!$B$137:$BK$220,MATCH(B96,'ei names mapping'!$A$137:$A$220,0),MATCH(G125,'ei names mapping'!$B$136:$BK$136,0))</f>
        <v>4.5</v>
      </c>
      <c r="C125" s="12" t="str">
        <f>INDEX('ei names mapping'!$B$38:$R$67,MATCH(B93,'ei names mapping'!$A$4:$A$33,0),MATCH(G125,'ei names mapping'!$B$3:$R$3,0))</f>
        <v>GLO</v>
      </c>
      <c r="D125" s="12" t="str">
        <f>INDEX('ei names mapping'!$B$104:$R$133,MATCH(B93,'ei names mapping'!$A$104:$A$133,0),MATCH(G125,'ei names mapping'!$B$3:$R$3,0))</f>
        <v>kilogram</v>
      </c>
      <c r="E125" s="12"/>
      <c r="F125" s="12" t="s">
        <v>91</v>
      </c>
      <c r="G125" t="s">
        <v>16</v>
      </c>
      <c r="H125" s="12" t="str">
        <f>INDEX('ei names mapping'!$B$71:$R$100,MATCH(B93,'ei names mapping'!$A$4:$A$33,0),MATCH(G125,'ei names mapping'!$B$3:$R$3,0))</f>
        <v>glider, for electric scooter</v>
      </c>
    </row>
    <row r="126" spans="1:8" x14ac:dyDescent="0.3">
      <c r="A126" s="12" t="str">
        <f>INDEX('ei names mapping'!$B$4:$R$33,MATCH(B93,'ei names mapping'!$A$4:$A$33,0),MATCH(G126,'ei names mapping'!$B$3:$R$3,0))</f>
        <v>market for electric powertrain, for electric scooter</v>
      </c>
      <c r="B126" s="16">
        <f>INDEX('vehicles specifications'!$B$3:$CK$86,MATCH(B96,'vehicles specifications'!$A$3:$A$86,0),MATCH(G126,'vehicles specifications'!$B$2:$CK$2,0))*INDEX('ei names mapping'!$B$137:$BK$220,MATCH(B96,'ei names mapping'!$A$137:$A$220,0),MATCH(G126,'ei names mapping'!$B$136:$BK$136,0))</f>
        <v>7.5</v>
      </c>
      <c r="C126" s="12" t="str">
        <f>INDEX('ei names mapping'!$B$38:$R$67,MATCH(B93,'ei names mapping'!$A$4:$A$33,0),MATCH(G126,'ei names mapping'!$B$3:$R$3,0))</f>
        <v>GLO</v>
      </c>
      <c r="D126" s="12" t="str">
        <f>INDEX('ei names mapping'!$B$104:$R$133,MATCH(B93,'ei names mapping'!$A$104:$A$133,0),MATCH(G126,'ei names mapping'!$B$3:$R$3,0))</f>
        <v>kilogram</v>
      </c>
      <c r="E126" s="12"/>
      <c r="F126" s="12" t="s">
        <v>91</v>
      </c>
      <c r="G126" t="s">
        <v>557</v>
      </c>
      <c r="H126" s="12" t="str">
        <f>INDEX('ei names mapping'!$B$71:$R$100,MATCH(B93,'ei names mapping'!$A$4:$A$33,0),MATCH(G126,'ei names mapping'!$B$3:$R$3,0))</f>
        <v>powertrain, for electric scooter</v>
      </c>
    </row>
    <row r="127" spans="1:8" x14ac:dyDescent="0.3">
      <c r="A127" s="12" t="str">
        <f>INDEX('ei names mapping'!$B$4:$R$33,MATCH(B93,'ei names mapping'!$A$4:$A$33,0),MATCH(G127,'ei names mapping'!$B$3:$R$3,0))</f>
        <v>Battery cell, NMC</v>
      </c>
      <c r="B127" s="16">
        <f>INDEX('vehicles specifications'!$B$3:$CK$86,MATCH(B96,'vehicles specifications'!$A$3:$A$86,0),MATCH(G127,'vehicles specifications'!$B$2:$CK$2,0))*INDEX('ei names mapping'!$B$137:$BK$220,MATCH(B96,'ei names mapping'!$A$137:$A$220,0),MATCH(G127,'ei names mapping'!$B$136:$BK$136,0))</f>
        <v>14.0625</v>
      </c>
      <c r="C127" s="12" t="str">
        <f>INDEX('ei names mapping'!$B$38:$R$67,MATCH(B93,'ei names mapping'!$A$4:$A$33,0),MATCH(G127,'ei names mapping'!$B$3:$R$3,0))</f>
        <v>GLO</v>
      </c>
      <c r="D127" s="12" t="str">
        <f>INDEX('ei names mapping'!$B$104:$R$133,MATCH(B93,'ei names mapping'!$A$104:$A$133,0),MATCH(G127,'ei names mapping'!$B$3:$R$3,0))</f>
        <v>kilogram</v>
      </c>
      <c r="E127" s="12"/>
      <c r="F127" s="12" t="s">
        <v>91</v>
      </c>
      <c r="G127" t="s">
        <v>19</v>
      </c>
      <c r="H127" s="12" t="str">
        <f>INDEX('ei names mapping'!$B$71:$R$100,MATCH(B93,'ei names mapping'!$A$4:$A$33,0),MATCH(G127,'ei names mapping'!$B$3:$R$3,0))</f>
        <v>Battery cell</v>
      </c>
    </row>
    <row r="128" spans="1:8" x14ac:dyDescent="0.3">
      <c r="A128" s="12" t="str">
        <f>INDEX('ei names mapping'!$B$4:$R$33,MATCH(B93,'ei names mapping'!$A$4:$A$33,0),MATCH(G128,'ei names mapping'!$B$3:$R$3,0))</f>
        <v>Battery BoP</v>
      </c>
      <c r="B128" s="16">
        <f>INDEX('vehicles specifications'!$B$3:$CK$86,MATCH(B96,'vehicles specifications'!$A$3:$A$86,0),MATCH(G128,'vehicles specifications'!$B$2:$CK$2,0))*INDEX('ei names mapping'!$B$137:$BK$220,MATCH(B96,'ei names mapping'!$A$137:$A$220,0),MATCH(G128,'ei names mapping'!$B$136:$BK$136,0))</f>
        <v>2.8125</v>
      </c>
      <c r="C128" s="12" t="str">
        <f>INDEX('ei names mapping'!$B$38:$R$67,MATCH(B93,'ei names mapping'!$A$4:$A$33,0),MATCH(G128,'ei names mapping'!$B$3:$R$3,0))</f>
        <v>GLO</v>
      </c>
      <c r="D128" s="12" t="str">
        <f>INDEX('ei names mapping'!$B$104:$R$133,MATCH(B93,'ei names mapping'!$A$104:$A$133,0),MATCH(G128,'ei names mapping'!$B$3:$R$3,0))</f>
        <v>kilogram</v>
      </c>
      <c r="E128" s="12"/>
      <c r="F128" s="12" t="s">
        <v>91</v>
      </c>
      <c r="G128" t="s">
        <v>20</v>
      </c>
      <c r="H128" s="12" t="str">
        <f>INDEX('ei names mapping'!$B$71:$R$100,MATCH(B93,'ei names mapping'!$A$4:$A$33,0),MATCH(G128,'ei names mapping'!$B$3:$R$3,0))</f>
        <v>Battery BoP</v>
      </c>
    </row>
    <row r="129" spans="1:8" x14ac:dyDescent="0.3">
      <c r="A129" s="12" t="str">
        <f>INDEX('ei names mapping'!$B$4:$R$33,MATCH(B93,'ei names mapping'!$A$4:$A$33,0),MATCH(G129,'ei names mapping'!$B$3:$R$3,0))</f>
        <v>charging station, 3kW</v>
      </c>
      <c r="B129" s="16">
        <f>INDEX('vehicles specifications'!$B$3:$CK$86,MATCH(B96,'vehicles specifications'!$A$3:$A$86,0),MATCH(G129,'vehicles specifications'!$B$2:$CK$2,0))*INDEX('ei names mapping'!$B$137:$BK$220,MATCH(B96,'ei names mapping'!$A$137:$A$220,0),MATCH(G129,'ei names mapping'!$B$136:$BK$136,0))</f>
        <v>1</v>
      </c>
      <c r="C129" s="12" t="str">
        <f>INDEX('ei names mapping'!$B$38:$R$67,MATCH(B93,'ei names mapping'!$A$4:$A$33,0),MATCH(G129,'ei names mapping'!$B$3:$R$3,0))</f>
        <v>GLO</v>
      </c>
      <c r="D129" s="12" t="str">
        <f>INDEX('ei names mapping'!$B$104:$R$133,MATCH(B93,'ei names mapping'!$A$104:$A$133,0),MATCH(G129,'ei names mapping'!$B$3:$R$3,0))</f>
        <v>unit</v>
      </c>
      <c r="E129" s="12"/>
      <c r="F129" s="12" t="s">
        <v>91</v>
      </c>
      <c r="G129" t="s">
        <v>53</v>
      </c>
      <c r="H129" s="12" t="str">
        <f>INDEX('ei names mapping'!$B$71:$R$100,MATCH(B93,'ei names mapping'!$A$4:$A$33,0),MATCH(G129,'ei names mapping'!$B$3:$R$3,0))</f>
        <v>charging station, 3kW</v>
      </c>
    </row>
    <row r="130" spans="1:8" x14ac:dyDescent="0.3">
      <c r="A130" s="12" t="str">
        <f>INDEX('ei names mapping'!$B$4:$R$33,MATCH(B93,'ei names mapping'!$A$4:$A$33,0),MATCH(G130,'ei names mapping'!$B$3:$R$3,0))</f>
        <v>manual dismantling of used electric scooter</v>
      </c>
      <c r="B130" s="16">
        <f>INDEX('vehicles specifications'!$B$3:$CK$86,MATCH(B96,'vehicles specifications'!$A$3:$A$86,0),MATCH(G130,'vehicles specifications'!$B$2:$CK$2,0))*INDEX('ei names mapping'!$B$137:$BK$220,MATCH(B96,'ei names mapping'!$A$137:$A$220,0),MATCH(G130,'ei names mapping'!$B$136:$BK$136,0))</f>
        <v>50.349999999999994</v>
      </c>
      <c r="C130" s="12" t="str">
        <f>INDEX('ei names mapping'!$B$38:$R$67,MATCH(B93,'ei names mapping'!$A$4:$A$33,0),MATCH(G130,'ei names mapping'!$B$3:$R$3,0))</f>
        <v>GLO</v>
      </c>
      <c r="D130" s="12" t="str">
        <f>INDEX('ei names mapping'!$B$104:$R$133,MATCH(B93,'ei names mapping'!$A$104:$A$133,0),MATCH(G130,'ei names mapping'!$B$3:$R$3,0))</f>
        <v>unit</v>
      </c>
      <c r="E130" s="12"/>
      <c r="F130" s="12" t="s">
        <v>91</v>
      </c>
      <c r="G130" t="s">
        <v>150</v>
      </c>
      <c r="H130" s="12" t="str">
        <f>INDEX('ei names mapping'!$B$71:$R$100,MATCH(B93,'ei names mapping'!$A$4:$A$33,0),MATCH(G130,'ei names mapping'!$B$3:$R$3,0))</f>
        <v>manual dismantling of electric scooter</v>
      </c>
    </row>
    <row r="131" spans="1:8" x14ac:dyDescent="0.3">
      <c r="A131" s="12" t="str">
        <f>INDEX('ei names mapping'!$B$4:$R$33,MATCH(B93,'ei names mapping'!$A$4:$A$33,0),MATCH(G131,'ei names mapping'!$B$3:$R$3,0))</f>
        <v>manual dismantling of used electric scooter</v>
      </c>
      <c r="B131" s="16">
        <f>INDEX('vehicles specifications'!$B$3:$CK$86,MATCH(B96,'vehicles specifications'!$A$3:$A$86,0),MATCH(G131,'vehicles specifications'!$B$2:$CK$2,0))*INDEX('ei names mapping'!$B$137:$BK$220,MATCH(B96,'ei names mapping'!$A$137:$A$220,0),MATCH(G131,'ei names mapping'!$B$136:$BK$136,0))</f>
        <v>12</v>
      </c>
      <c r="C131" s="12" t="str">
        <f>INDEX('ei names mapping'!$B$38:$R$67,MATCH(B93,'ei names mapping'!$A$4:$A$33,0),MATCH(G131,'ei names mapping'!$B$3:$R$3,0))</f>
        <v>GLO</v>
      </c>
      <c r="D131" s="12" t="str">
        <f>INDEX('ei names mapping'!$B$104:$R$133,MATCH(B93,'ei names mapping'!$A$104:$A$133,0),MATCH(G131,'ei names mapping'!$B$3:$R$3,0))</f>
        <v>unit</v>
      </c>
      <c r="E131" s="12"/>
      <c r="F131" s="12" t="s">
        <v>91</v>
      </c>
      <c r="G131" t="s">
        <v>151</v>
      </c>
      <c r="H131" s="12" t="str">
        <f>INDEX('ei names mapping'!$B$71:$R$100,MATCH(B93,'ei names mapping'!$A$4:$A$33,0),MATCH(G131,'ei names mapping'!$B$3:$R$3,0))</f>
        <v>manual dismantling of electric scooter</v>
      </c>
    </row>
    <row r="132" spans="1:8" x14ac:dyDescent="0.3">
      <c r="A132" s="12" t="str">
        <f>INDEX('ei names mapping'!$B$4:$R$33,MATCH(B93,'ei names mapping'!$A$4:$A$33,0),MATCH(G132,'ei names mapping'!$B$3:$R$3,0))</f>
        <v>market for used Li-ion battery</v>
      </c>
      <c r="B132" s="16">
        <f>INDEX('vehicles specifications'!$B$3:$CK$86,MATCH(B96,'vehicles specifications'!$A$3:$A$86,0),MATCH(G132,'vehicles specifications'!$B$2:$CK$2,0))*INDEX('ei names mapping'!$B$137:$BK$220,MATCH(B96,'ei names mapping'!$A$137:$A$220,0),MATCH(G132,'ei names mapping'!$B$136:$BK$136,0))</f>
        <v>-16.875</v>
      </c>
      <c r="C132" s="12" t="str">
        <f>INDEX('ei names mapping'!$B$38:$R$67,MATCH(B93,'ei names mapping'!$A$4:$A$33,0),MATCH(G132,'ei names mapping'!$B$3:$R$3,0))</f>
        <v>GLO</v>
      </c>
      <c r="D132" s="12" t="str">
        <f>INDEX('ei names mapping'!$B$104:$R$133,MATCH(B97,'ei names mapping'!$A$104:$A$133,0),MATCH(G132,'ei names mapping'!$B$3:$R$3,0))</f>
        <v>kilogram</v>
      </c>
      <c r="E132" s="12"/>
      <c r="F132" s="12" t="s">
        <v>91</v>
      </c>
      <c r="G132" t="s">
        <v>152</v>
      </c>
      <c r="H132" s="12" t="str">
        <f>INDEX('ei names mapping'!$B$71:$R$100,MATCH(B93,'ei names mapping'!$A$4:$A$33,0),MATCH(G132,'ei names mapping'!$B$3:$R$3,0))</f>
        <v>used Li-ion battery</v>
      </c>
    </row>
    <row r="133" spans="1:8" s="21" customFormat="1" x14ac:dyDescent="0.3">
      <c r="A133" s="22" t="s">
        <v>468</v>
      </c>
      <c r="B133" s="21">
        <f>(B106/1000)*B118</f>
        <v>75.849999999999994</v>
      </c>
      <c r="C133" s="21" t="s">
        <v>94</v>
      </c>
      <c r="D133" s="21" t="s">
        <v>243</v>
      </c>
      <c r="F133" s="21" t="s">
        <v>91</v>
      </c>
      <c r="H133" s="22" t="s">
        <v>469</v>
      </c>
    </row>
    <row r="134" spans="1:8" s="21" customFormat="1" x14ac:dyDescent="0.3">
      <c r="A134" s="22" t="s">
        <v>467</v>
      </c>
      <c r="B134" s="2">
        <f>(B106/1000)*B117</f>
        <v>1206.0150000000001</v>
      </c>
      <c r="C134" s="21" t="s">
        <v>98</v>
      </c>
      <c r="D134" s="21" t="s">
        <v>243</v>
      </c>
      <c r="F134" s="21" t="s">
        <v>91</v>
      </c>
      <c r="H134" s="22" t="s">
        <v>467</v>
      </c>
    </row>
    <row r="136" spans="1:8" ht="15.6" x14ac:dyDescent="0.3">
      <c r="A136" s="11" t="s">
        <v>72</v>
      </c>
      <c r="B136" s="9" t="str">
        <f>B138&amp;", "&amp;B140</f>
        <v>Motorbike, electric, &lt;4kW, 2050</v>
      </c>
    </row>
    <row r="137" spans="1:8" x14ac:dyDescent="0.3">
      <c r="A137" t="s">
        <v>73</v>
      </c>
      <c r="B137" t="s">
        <v>37</v>
      </c>
    </row>
    <row r="138" spans="1:8" x14ac:dyDescent="0.3">
      <c r="A138" t="s">
        <v>87</v>
      </c>
      <c r="B138" t="s">
        <v>520</v>
      </c>
    </row>
    <row r="139" spans="1:8" x14ac:dyDescent="0.3">
      <c r="A139" t="s">
        <v>88</v>
      </c>
      <c r="B139" s="12"/>
    </row>
    <row r="140" spans="1:8" x14ac:dyDescent="0.3">
      <c r="A140" t="s">
        <v>89</v>
      </c>
      <c r="B140" s="12">
        <v>2050</v>
      </c>
    </row>
    <row r="141" spans="1:8" x14ac:dyDescent="0.3">
      <c r="A141" t="s">
        <v>131</v>
      </c>
      <c r="B141" s="12" t="str">
        <f>B138&amp;" - "&amp;B140&amp;" - "&amp;B137</f>
        <v>Motorbike, electric, &lt;4kW - 2050 - CH</v>
      </c>
    </row>
    <row r="142" spans="1:8" x14ac:dyDescent="0.3">
      <c r="A142" t="s">
        <v>74</v>
      </c>
      <c r="B142" t="str">
        <f>B138</f>
        <v>Motorbike, electric, &lt;4kW</v>
      </c>
    </row>
    <row r="143" spans="1:8" x14ac:dyDescent="0.3">
      <c r="A143" t="s">
        <v>75</v>
      </c>
      <c r="B143" t="s">
        <v>76</v>
      </c>
    </row>
    <row r="144" spans="1:8" x14ac:dyDescent="0.3">
      <c r="A144" t="s">
        <v>77</v>
      </c>
      <c r="B144" t="s">
        <v>77</v>
      </c>
    </row>
    <row r="145" spans="1:2" x14ac:dyDescent="0.3">
      <c r="A145" t="s">
        <v>79</v>
      </c>
      <c r="B145" t="s">
        <v>90</v>
      </c>
    </row>
    <row r="146" spans="1:2" x14ac:dyDescent="0.3">
      <c r="A146" t="s">
        <v>132</v>
      </c>
      <c r="B146">
        <f>INDEX('vehicles specifications'!$B$3:$CK$86,MATCH(B141,'vehicles specifications'!$A$3:$A$86,0),MATCH("Lifetime [km]",'vehicles specifications'!$B$2:$CK$2,0))</f>
        <v>33400</v>
      </c>
    </row>
    <row r="147" spans="1:2" x14ac:dyDescent="0.3">
      <c r="A147" t="s">
        <v>133</v>
      </c>
      <c r="B147">
        <f>INDEX('vehicles specifications'!$B$3:$CK$86,MATCH(B141,'vehicles specifications'!$A$3:$A$86,0),MATCH("Passengers [unit]",'vehicles specifications'!$B$2:$CK$2,0))</f>
        <v>1.1000000000000001</v>
      </c>
    </row>
    <row r="148" spans="1:2" x14ac:dyDescent="0.3">
      <c r="A148" t="s">
        <v>134</v>
      </c>
      <c r="B148">
        <f>INDEX('vehicles specifications'!$B$3:$CK$86,MATCH(B141,'vehicles specifications'!$A$3:$A$86,0),MATCH("Servicing [unit]",'vehicles specifications'!$B$2:$CK$2,0))</f>
        <v>0.66800000000000004</v>
      </c>
    </row>
    <row r="149" spans="1:2" x14ac:dyDescent="0.3">
      <c r="A149" t="s">
        <v>135</v>
      </c>
      <c r="B149">
        <f>INDEX('vehicles specifications'!$B$3:$CK$86,MATCH(B141,'vehicles specifications'!$A$3:$A$86,0),MATCH("Energy battery replacement [unit]",'vehicles specifications'!$B$2:$CK$2,0))</f>
        <v>0</v>
      </c>
    </row>
    <row r="150" spans="1:2" x14ac:dyDescent="0.3">
      <c r="A150" t="s">
        <v>136</v>
      </c>
      <c r="B150">
        <f>INDEX('vehicles specifications'!$B$3:$CK$86,MATCH(B141,'vehicles specifications'!$A$3:$A$86,0),MATCH("Annual kilometers [km]",'vehicles specifications'!$B$2:$CK$2,0))</f>
        <v>2553</v>
      </c>
    </row>
    <row r="151" spans="1:2" x14ac:dyDescent="0.3">
      <c r="A151" t="s">
        <v>137</v>
      </c>
      <c r="B151" s="2">
        <f>INDEX('vehicles specifications'!$B$3:$CK$86,MATCH(B141,'vehicles specifications'!$A$3:$A$86,0),MATCH("Curb mass [kg]",'vehicles specifications'!$B$2:$CK$2,0))</f>
        <v>75.69</v>
      </c>
    </row>
    <row r="152" spans="1:2" x14ac:dyDescent="0.3">
      <c r="A152" t="s">
        <v>138</v>
      </c>
      <c r="B152">
        <f>INDEX('vehicles specifications'!$B$3:$CK$86,MATCH(B141,'vehicles specifications'!$A$3:$A$86,0),MATCH("Power [kW]",'vehicles specifications'!$B$2:$CK$2,0))</f>
        <v>2.5</v>
      </c>
    </row>
    <row r="153" spans="1:2" x14ac:dyDescent="0.3">
      <c r="A153" t="s">
        <v>139</v>
      </c>
      <c r="B153">
        <f>INDEX('vehicles specifications'!$B$3:$CK$86,MATCH(B141,'vehicles specifications'!$A$3:$A$86,0),MATCH("Energy battery mass [kg]",'vehicles specifications'!$B$2:$CK$2,0))</f>
        <v>14.4</v>
      </c>
    </row>
    <row r="154" spans="1:2" x14ac:dyDescent="0.3">
      <c r="A154" t="s">
        <v>140</v>
      </c>
      <c r="B154" s="21">
        <f>INDEX('vehicles specifications'!$B$3:$CK$86,MATCH(B141,'vehicles specifications'!$A$3:$A$86,0),MATCH("Electric energy stored [kWh]",'vehicles specifications'!$B$2:$CK$2,0))</f>
        <v>6</v>
      </c>
    </row>
    <row r="155" spans="1:2" s="21" customFormat="1" x14ac:dyDescent="0.3">
      <c r="A155" s="21" t="s">
        <v>654</v>
      </c>
      <c r="B155" s="21">
        <f>INDEX('vehicles specifications'!$B$3:$CK$86,MATCH(B141,'vehicles specifications'!$A$3:$A$86,0),MATCH("Electric energy available [kWh]",'vehicles specifications'!$B$2:$CK$2,0))</f>
        <v>4.8000000000000007</v>
      </c>
    </row>
    <row r="156" spans="1:2" x14ac:dyDescent="0.3">
      <c r="A156" t="s">
        <v>143</v>
      </c>
      <c r="B156" s="2">
        <f>INDEX('vehicles specifications'!$B$3:$CK$86,MATCH(B141,'vehicles specifications'!$A$3:$A$86,0),MATCH("Oxydation energy stored [kWh]",'vehicles specifications'!$B$2:$CK$2,0))</f>
        <v>0</v>
      </c>
    </row>
    <row r="157" spans="1:2" x14ac:dyDescent="0.3">
      <c r="A157" t="s">
        <v>145</v>
      </c>
      <c r="B157">
        <f>INDEX('vehicles specifications'!$B$3:$CK$86,MATCH(B141,'vehicles specifications'!$A$3:$A$86,0),MATCH("Fuel mass [kg]",'vehicles specifications'!$B$2:$CK$2,0))</f>
        <v>0</v>
      </c>
    </row>
    <row r="158" spans="1:2" x14ac:dyDescent="0.3">
      <c r="A158" t="s">
        <v>141</v>
      </c>
      <c r="B158" s="2">
        <f>INDEX('vehicles specifications'!$B$3:$CK$86,MATCH(B141,'vehicles specifications'!$A$3:$A$86,0),MATCH("Range [km]",'vehicles specifications'!$B$2:$CK$2,0))</f>
        <v>142.80991735537191</v>
      </c>
    </row>
    <row r="159" spans="1:2" x14ac:dyDescent="0.3">
      <c r="A159" t="s">
        <v>142</v>
      </c>
      <c r="B159" t="str">
        <f>INDEX('vehicles specifications'!$B$3:$CK$86,MATCH(B141,'vehicles specifications'!$A$3:$A$86,0),MATCH("Emission standard",'vehicles specifications'!$B$2:$CK$2,0))</f>
        <v>None</v>
      </c>
    </row>
    <row r="160" spans="1:2" x14ac:dyDescent="0.3">
      <c r="A160" t="s">
        <v>144</v>
      </c>
      <c r="B160" s="6">
        <f>INDEX('vehicles specifications'!$B$3:$CK$86,MATCH(B141,'vehicles specifications'!$A$3:$A$86,0),MATCH("Lightweighting rate [%]",'vehicles specifications'!$B$2:$CK$2,0))</f>
        <v>7.0000000000000007E-2</v>
      </c>
    </row>
    <row r="161" spans="1:8" s="21" customFormat="1" x14ac:dyDescent="0.3">
      <c r="A161" s="21" t="s">
        <v>513</v>
      </c>
      <c r="B161" s="6" t="s">
        <v>514</v>
      </c>
    </row>
    <row r="162" spans="1:8" s="21" customFormat="1" x14ac:dyDescent="0.3">
      <c r="A162" s="21" t="s">
        <v>515</v>
      </c>
      <c r="B162" s="2">
        <v>15900</v>
      </c>
    </row>
    <row r="163" spans="1:8" s="21" customFormat="1" x14ac:dyDescent="0.3">
      <c r="A163" s="21" t="s">
        <v>516</v>
      </c>
      <c r="B163" s="2">
        <v>1000</v>
      </c>
    </row>
    <row r="164" spans="1:8" x14ac:dyDescent="0.3">
      <c r="A164" t="s">
        <v>84</v>
      </c>
      <c r="B164" s="21" t="str">
        <f>"Power: "&amp;B152&amp;" kW. Lifetime: "&amp;B146&amp;" km. Annual kilometers: "&amp;ROUND(B150,0)&amp;" km. Number of passengers: "&amp;ROUND(B147,1)&amp;". Curb mass: "&amp;ROUND(B151,1)&amp;" kg. Lightweighting of glider: "&amp;ROUND(B160*100,0)&amp;"%. Emission standard: "&amp;B159&amp;". Service visits throughout lifetime: "&amp;ROUND(B148,1)&amp;". Range: "&amp;ROUND(B158,0)&amp;" km. Battery capacity: "&amp;ROUND(B154,1)&amp;" kWh. Available battery capacity: "&amp;B155&amp;" kWh. Battery mass: "&amp;ROUND(B153,1)&amp; " kg. Battery replacement throughout lifetime: "&amp;ROUND(B149,1)&amp;". Fuel tank capacity: "&amp;ROUND(B156,1)&amp;" kWh. Fuel mass: "&amp;ROUND(B157,1)&amp;" kg. Origin of manufacture: "&amp;B161&amp;". Shipping distance: "&amp;B162&amp;" km. Lorry distribution distance: "&amp;B163&amp;" km. Documentation: "&amp;Readmefirst!$B$2&amp;", "&amp;Readmefirst!$B$3&amp;". "&amp;'lci-kick scooter'!B145</f>
        <v>Power: 2.5 kW. Lifetime: 33400 km. Annual kilometers: 2553 km. Number of passengers: 1.1. Curb mass: 75.7 kg. Lightweighting of glider: 7%. Emission standard: None. Service visits throughout lifetime: 0.7. Range: 143 km. Battery capacity: 6 kWh. Available battery capacity: 4.8 kWh. Battery mass: 14.4 kg. Battery replacement throughout lifetime: 0. Fuel tank capacity: 0 kWh. Fuel mass: 0 kg. Origin of manufacture: China. Shipping distance: 15900 km. Lorry distribution distance: 1000 km. Documentation: 2021 UVEK life-cycle inventories update of on-road vehicles, Sacchi R. (PSI), Bauer C. (PSI), 2021. 0</v>
      </c>
    </row>
    <row r="165" spans="1:8" ht="15.6" x14ac:dyDescent="0.3">
      <c r="A165" s="11" t="s">
        <v>80</v>
      </c>
    </row>
    <row r="166" spans="1:8" x14ac:dyDescent="0.3">
      <c r="A166" t="s">
        <v>81</v>
      </c>
      <c r="B166" t="s">
        <v>82</v>
      </c>
      <c r="C166" t="s">
        <v>73</v>
      </c>
      <c r="D166" t="s">
        <v>77</v>
      </c>
      <c r="E166" t="s">
        <v>83</v>
      </c>
      <c r="F166" t="s">
        <v>75</v>
      </c>
      <c r="G166" t="s">
        <v>84</v>
      </c>
      <c r="H166" t="s">
        <v>74</v>
      </c>
    </row>
    <row r="167" spans="1:8" x14ac:dyDescent="0.3">
      <c r="A167" s="12" t="str">
        <f>B136</f>
        <v>Motorbike, electric, &lt;4kW, 2050</v>
      </c>
      <c r="B167" s="12">
        <v>1</v>
      </c>
      <c r="C167" s="12" t="str">
        <f>B137</f>
        <v>CH</v>
      </c>
      <c r="D167" s="12" t="str">
        <f>B144</f>
        <v>unit</v>
      </c>
      <c r="E167" s="12"/>
      <c r="F167" s="12" t="s">
        <v>85</v>
      </c>
      <c r="G167" s="12" t="s">
        <v>86</v>
      </c>
      <c r="H167" s="12" t="str">
        <f>B138</f>
        <v>Motorbike, electric, &lt;4kW</v>
      </c>
    </row>
    <row r="168" spans="1:8" x14ac:dyDescent="0.3">
      <c r="A168" s="12" t="str">
        <f>INDEX('ei names mapping'!$B$4:$R$33,MATCH(B138,'ei names mapping'!$A$4:$A$33,0),MATCH(G168,'ei names mapping'!$B$3:$R$3,0))</f>
        <v>market for glider, for electric scooter</v>
      </c>
      <c r="B168" s="16">
        <f>INDEX('vehicles specifications'!$B$3:$CK$86,MATCH(B141,'vehicles specifications'!$A$3:$A$86,0),MATCH(G168,'vehicles specifications'!$B$2:$CK$2,0))*INDEX('ei names mapping'!$B$137:$BK$220,MATCH(B141,'ei names mapping'!$A$137:$A$220,0),MATCH(G168,'ei names mapping'!$B$136:$BK$136,0))</f>
        <v>53</v>
      </c>
      <c r="C168" s="12" t="str">
        <f>INDEX('ei names mapping'!$B$38:$R$67,MATCH(B138,'ei names mapping'!$A$4:$A$33,0),MATCH(G168,'ei names mapping'!$B$3:$R$3,0))</f>
        <v>GLO</v>
      </c>
      <c r="D168" s="12" t="str">
        <f>INDEX('ei names mapping'!$B$104:$R$133,MATCH(B138,'ei names mapping'!$A$104:$A$133,0),MATCH(G168,'ei names mapping'!$B$3:$R$3,0))</f>
        <v>kilogram</v>
      </c>
      <c r="E168" s="12"/>
      <c r="F168" s="12" t="s">
        <v>91</v>
      </c>
      <c r="G168" s="21" t="s">
        <v>15</v>
      </c>
      <c r="H168" s="12" t="str">
        <f>INDEX('ei names mapping'!$B$71:$R$100,MATCH(B138,'ei names mapping'!$A$4:$A$33,0),MATCH(G168,'ei names mapping'!$B$3:$R$3,0))</f>
        <v>glider, for electric scooter</v>
      </c>
    </row>
    <row r="169" spans="1:8" s="21" customFormat="1" x14ac:dyDescent="0.3">
      <c r="A169" s="12" t="str">
        <f>INDEX('ei names mapping'!$B$4:$R$33,MATCH(B138,'ei names mapping'!$A$4:$A$33,0),MATCH(G169,'ei names mapping'!$B$3:$R$3,0))</f>
        <v>glider lightweighting</v>
      </c>
      <c r="B169" s="16">
        <f>INDEX('vehicles specifications'!$B$3:$CK$86,MATCH(B141,'vehicles specifications'!$A$3:$A$86,0),MATCH(G169,'vehicles specifications'!$B$2:$CK$2,0))*INDEX('ei names mapping'!$B$137:$BK$220,MATCH(B141,'ei names mapping'!$A$137:$A$220,0),MATCH(G169,'ei names mapping'!$B$136:$BK$136,0))</f>
        <v>3.7100000000000004</v>
      </c>
      <c r="C169" s="12" t="str">
        <f>INDEX('ei names mapping'!$B$38:$R$67,MATCH(B138,'ei names mapping'!$A$4:$A$33,0),MATCH(G169,'ei names mapping'!$B$3:$R$3,0))</f>
        <v>GLO</v>
      </c>
      <c r="D169" s="12" t="str">
        <f>INDEX('ei names mapping'!$B$104:$R$133,MATCH(B138,'ei names mapping'!$A$104:$A$133,0),MATCH(G169,'ei names mapping'!$B$3:$R$3,0))</f>
        <v>kilogram</v>
      </c>
      <c r="E169" s="12"/>
      <c r="F169" s="12" t="s">
        <v>91</v>
      </c>
      <c r="G169" s="21" t="s">
        <v>14</v>
      </c>
      <c r="H169" s="12" t="str">
        <f>INDEX('ei names mapping'!$B$71:$R$100,MATCH(B138,'ei names mapping'!$A$4:$A$33,0),MATCH(G169,'ei names mapping'!$B$3:$R$3,0))</f>
        <v>glider lightweighting</v>
      </c>
    </row>
    <row r="170" spans="1:8" x14ac:dyDescent="0.3">
      <c r="A170" s="12" t="str">
        <f>INDEX('ei names mapping'!$B$4:$R$33,MATCH(B138,'ei names mapping'!$A$4:$A$33,0),MATCH(G170,'ei names mapping'!$B$3:$R$3,0))</f>
        <v>market for glider, for electric scooter</v>
      </c>
      <c r="B170" s="16">
        <f>INDEX('vehicles specifications'!$B$3:$CK$86,MATCH(B141,'vehicles specifications'!$A$3:$A$86,0),MATCH(G170,'vehicles specifications'!$B$2:$CK$2,0))*INDEX('ei names mapping'!$B$137:$BK$220,MATCH(B141,'ei names mapping'!$A$137:$A$220,0),MATCH(G170,'ei names mapping'!$B$136:$BK$136,0))</f>
        <v>4.5</v>
      </c>
      <c r="C170" s="12" t="str">
        <f>INDEX('ei names mapping'!$B$38:$R$67,MATCH(B138,'ei names mapping'!$A$4:$A$33,0),MATCH(G170,'ei names mapping'!$B$3:$R$3,0))</f>
        <v>GLO</v>
      </c>
      <c r="D170" s="12" t="str">
        <f>INDEX('ei names mapping'!$B$104:$R$133,MATCH(B138,'ei names mapping'!$A$104:$A$133,0),MATCH(G170,'ei names mapping'!$B$3:$R$3,0))</f>
        <v>kilogram</v>
      </c>
      <c r="E170" s="12"/>
      <c r="F170" s="12" t="s">
        <v>91</v>
      </c>
      <c r="G170" t="s">
        <v>16</v>
      </c>
      <c r="H170" s="12" t="str">
        <f>INDEX('ei names mapping'!$B$71:$R$100,MATCH(B138,'ei names mapping'!$A$4:$A$33,0),MATCH(G170,'ei names mapping'!$B$3:$R$3,0))</f>
        <v>glider, for electric scooter</v>
      </c>
    </row>
    <row r="171" spans="1:8" x14ac:dyDescent="0.3">
      <c r="A171" s="12" t="str">
        <f>INDEX('ei names mapping'!$B$4:$R$33,MATCH(B138,'ei names mapping'!$A$4:$A$33,0),MATCH(G171,'ei names mapping'!$B$3:$R$3,0))</f>
        <v>market for electric powertrain, for electric scooter</v>
      </c>
      <c r="B171" s="16">
        <f>INDEX('vehicles specifications'!$B$3:$CK$86,MATCH(B141,'vehicles specifications'!$A$3:$A$86,0),MATCH(G171,'vehicles specifications'!$B$2:$CK$2,0))*INDEX('ei names mapping'!$B$137:$BK$220,MATCH(B141,'ei names mapping'!$A$137:$A$220,0),MATCH(G171,'ei names mapping'!$B$136:$BK$136,0))</f>
        <v>7.5</v>
      </c>
      <c r="C171" s="12" t="str">
        <f>INDEX('ei names mapping'!$B$38:$R$67,MATCH(B138,'ei names mapping'!$A$4:$A$33,0),MATCH(G171,'ei names mapping'!$B$3:$R$3,0))</f>
        <v>GLO</v>
      </c>
      <c r="D171" s="12" t="str">
        <f>INDEX('ei names mapping'!$B$104:$R$133,MATCH(B138,'ei names mapping'!$A$104:$A$133,0),MATCH(G171,'ei names mapping'!$B$3:$R$3,0))</f>
        <v>kilogram</v>
      </c>
      <c r="E171" s="12"/>
      <c r="F171" s="12" t="s">
        <v>91</v>
      </c>
      <c r="G171" t="s">
        <v>557</v>
      </c>
      <c r="H171" s="12" t="str">
        <f>INDEX('ei names mapping'!$B$71:$R$100,MATCH(B138,'ei names mapping'!$A$4:$A$33,0),MATCH(G171,'ei names mapping'!$B$3:$R$3,0))</f>
        <v>powertrain, for electric scooter</v>
      </c>
    </row>
    <row r="172" spans="1:8" x14ac:dyDescent="0.3">
      <c r="A172" s="12" t="str">
        <f>INDEX('ei names mapping'!$B$4:$R$33,MATCH(B138,'ei names mapping'!$A$4:$A$33,0),MATCH(G172,'ei names mapping'!$B$3:$R$3,0))</f>
        <v>Battery cell, NMC</v>
      </c>
      <c r="B172" s="16">
        <f>INDEX('vehicles specifications'!$B$3:$CK$86,MATCH(B141,'vehicles specifications'!$A$3:$A$86,0),MATCH(G172,'vehicles specifications'!$B$2:$CK$2,0))*INDEX('ei names mapping'!$B$137:$BK$220,MATCH(B141,'ei names mapping'!$A$137:$A$220,0),MATCH(G172,'ei names mapping'!$B$136:$BK$136,0))</f>
        <v>12</v>
      </c>
      <c r="C172" s="12" t="str">
        <f>INDEX('ei names mapping'!$B$38:$R$67,MATCH(B138,'ei names mapping'!$A$4:$A$33,0),MATCH(G172,'ei names mapping'!$B$3:$R$3,0))</f>
        <v>GLO</v>
      </c>
      <c r="D172" s="12" t="str">
        <f>INDEX('ei names mapping'!$B$104:$R$133,MATCH(B138,'ei names mapping'!$A$104:$A$133,0),MATCH(G172,'ei names mapping'!$B$3:$R$3,0))</f>
        <v>kilogram</v>
      </c>
      <c r="E172" s="12"/>
      <c r="F172" s="12" t="s">
        <v>91</v>
      </c>
      <c r="G172" t="s">
        <v>19</v>
      </c>
      <c r="H172" s="12" t="str">
        <f>INDEX('ei names mapping'!$B$71:$R$100,MATCH(B138,'ei names mapping'!$A$4:$A$33,0),MATCH(G172,'ei names mapping'!$B$3:$R$3,0))</f>
        <v>Battery cell</v>
      </c>
    </row>
    <row r="173" spans="1:8" x14ac:dyDescent="0.3">
      <c r="A173" s="12" t="str">
        <f>INDEX('ei names mapping'!$B$4:$R$33,MATCH(B138,'ei names mapping'!$A$4:$A$33,0),MATCH(G173,'ei names mapping'!$B$3:$R$3,0))</f>
        <v>Battery BoP</v>
      </c>
      <c r="B173" s="16">
        <f>INDEX('vehicles specifications'!$B$3:$CK$86,MATCH(B141,'vehicles specifications'!$A$3:$A$86,0),MATCH(G173,'vehicles specifications'!$B$2:$CK$2,0))*INDEX('ei names mapping'!$B$137:$BK$220,MATCH(B141,'ei names mapping'!$A$137:$A$220,0),MATCH(G173,'ei names mapping'!$B$136:$BK$136,0))</f>
        <v>2.4000000000000004</v>
      </c>
      <c r="C173" s="12" t="str">
        <f>INDEX('ei names mapping'!$B$38:$R$67,MATCH(B138,'ei names mapping'!$A$4:$A$33,0),MATCH(G173,'ei names mapping'!$B$3:$R$3,0))</f>
        <v>GLO</v>
      </c>
      <c r="D173" s="12" t="str">
        <f>INDEX('ei names mapping'!$B$104:$R$133,MATCH(B138,'ei names mapping'!$A$104:$A$133,0),MATCH(G173,'ei names mapping'!$B$3:$R$3,0))</f>
        <v>kilogram</v>
      </c>
      <c r="E173" s="12"/>
      <c r="F173" s="12" t="s">
        <v>91</v>
      </c>
      <c r="G173" t="s">
        <v>20</v>
      </c>
      <c r="H173" s="12" t="str">
        <f>INDEX('ei names mapping'!$B$71:$R$100,MATCH(B138,'ei names mapping'!$A$4:$A$33,0),MATCH(G173,'ei names mapping'!$B$3:$R$3,0))</f>
        <v>Battery BoP</v>
      </c>
    </row>
    <row r="174" spans="1:8" x14ac:dyDescent="0.3">
      <c r="A174" s="12" t="str">
        <f>INDEX('ei names mapping'!$B$4:$R$33,MATCH(B138,'ei names mapping'!$A$4:$A$33,0),MATCH(G174,'ei names mapping'!$B$3:$R$3,0))</f>
        <v>charging station, 3kW</v>
      </c>
      <c r="B174" s="16">
        <f>INDEX('vehicles specifications'!$B$3:$CK$86,MATCH(B141,'vehicles specifications'!$A$3:$A$86,0),MATCH(G174,'vehicles specifications'!$B$2:$CK$2,0))*INDEX('ei names mapping'!$B$137:$BK$220,MATCH(B141,'ei names mapping'!$A$137:$A$220,0),MATCH(G174,'ei names mapping'!$B$136:$BK$136,0))</f>
        <v>1</v>
      </c>
      <c r="C174" s="12" t="str">
        <f>INDEX('ei names mapping'!$B$38:$R$67,MATCH(B138,'ei names mapping'!$A$4:$A$33,0),MATCH(G174,'ei names mapping'!$B$3:$R$3,0))</f>
        <v>GLO</v>
      </c>
      <c r="D174" s="12" t="str">
        <f>INDEX('ei names mapping'!$B$104:$R$133,MATCH(B138,'ei names mapping'!$A$104:$A$133,0),MATCH(G174,'ei names mapping'!$B$3:$R$3,0))</f>
        <v>unit</v>
      </c>
      <c r="E174" s="12"/>
      <c r="F174" s="12" t="s">
        <v>91</v>
      </c>
      <c r="G174" t="s">
        <v>53</v>
      </c>
      <c r="H174" s="12" t="str">
        <f>INDEX('ei names mapping'!$B$71:$R$100,MATCH(B138,'ei names mapping'!$A$4:$A$33,0),MATCH(G174,'ei names mapping'!$B$3:$R$3,0))</f>
        <v>charging station, 3kW</v>
      </c>
    </row>
    <row r="175" spans="1:8" x14ac:dyDescent="0.3">
      <c r="A175" s="12" t="str">
        <f>INDEX('ei names mapping'!$B$4:$R$33,MATCH(B138,'ei names mapping'!$A$4:$A$33,0),MATCH(G175,'ei names mapping'!$B$3:$R$3,0))</f>
        <v>manual dismantling of used electric scooter</v>
      </c>
      <c r="B175" s="16">
        <f>INDEX('vehicles specifications'!$B$3:$CK$86,MATCH(B141,'vehicles specifications'!$A$3:$A$86,0),MATCH(G175,'vehicles specifications'!$B$2:$CK$2,0))*INDEX('ei names mapping'!$B$137:$BK$220,MATCH(B141,'ei names mapping'!$A$137:$A$220,0),MATCH(G175,'ei names mapping'!$B$136:$BK$136,0))</f>
        <v>49.29</v>
      </c>
      <c r="C175" s="12" t="str">
        <f>INDEX('ei names mapping'!$B$38:$R$67,MATCH(B138,'ei names mapping'!$A$4:$A$33,0),MATCH(G175,'ei names mapping'!$B$3:$R$3,0))</f>
        <v>GLO</v>
      </c>
      <c r="D175" s="12" t="str">
        <f>INDEX('ei names mapping'!$B$104:$R$133,MATCH(B138,'ei names mapping'!$A$104:$A$133,0),MATCH(G175,'ei names mapping'!$B$3:$R$3,0))</f>
        <v>unit</v>
      </c>
      <c r="E175" s="12"/>
      <c r="F175" s="12" t="s">
        <v>91</v>
      </c>
      <c r="G175" t="s">
        <v>150</v>
      </c>
      <c r="H175" s="12" t="str">
        <f>INDEX('ei names mapping'!$B$71:$R$100,MATCH(B138,'ei names mapping'!$A$4:$A$33,0),MATCH(G175,'ei names mapping'!$B$3:$R$3,0))</f>
        <v>manual dismantling of electric scooter</v>
      </c>
    </row>
    <row r="176" spans="1:8" x14ac:dyDescent="0.3">
      <c r="A176" s="12" t="str">
        <f>INDEX('ei names mapping'!$B$4:$R$33,MATCH(B138,'ei names mapping'!$A$4:$A$33,0),MATCH(G176,'ei names mapping'!$B$3:$R$3,0))</f>
        <v>manual dismantling of used electric scooter</v>
      </c>
      <c r="B176" s="16">
        <f>INDEX('vehicles specifications'!$B$3:$CK$86,MATCH(B141,'vehicles specifications'!$A$3:$A$86,0),MATCH(G176,'vehicles specifications'!$B$2:$CK$2,0))*INDEX('ei names mapping'!$B$137:$BK$220,MATCH(B141,'ei names mapping'!$A$137:$A$220,0),MATCH(G176,'ei names mapping'!$B$136:$BK$136,0))</f>
        <v>12</v>
      </c>
      <c r="C176" s="12" t="str">
        <f>INDEX('ei names mapping'!$B$38:$R$67,MATCH(B138,'ei names mapping'!$A$4:$A$33,0),MATCH(G176,'ei names mapping'!$B$3:$R$3,0))</f>
        <v>GLO</v>
      </c>
      <c r="D176" s="12" t="str">
        <f>INDEX('ei names mapping'!$B$104:$R$133,MATCH(B138,'ei names mapping'!$A$104:$A$133,0),MATCH(G176,'ei names mapping'!$B$3:$R$3,0))</f>
        <v>unit</v>
      </c>
      <c r="E176" s="12"/>
      <c r="F176" s="12" t="s">
        <v>91</v>
      </c>
      <c r="G176" t="s">
        <v>151</v>
      </c>
      <c r="H176" s="12" t="str">
        <f>INDEX('ei names mapping'!$B$71:$R$100,MATCH(B138,'ei names mapping'!$A$4:$A$33,0),MATCH(G176,'ei names mapping'!$B$3:$R$3,0))</f>
        <v>manual dismantling of electric scooter</v>
      </c>
    </row>
    <row r="177" spans="1:8" x14ac:dyDescent="0.3">
      <c r="A177" s="12" t="str">
        <f>INDEX('ei names mapping'!$B$4:$R$33,MATCH(B138,'ei names mapping'!$A$4:$A$33,0),MATCH(G177,'ei names mapping'!$B$3:$R$3,0))</f>
        <v>market for used Li-ion battery</v>
      </c>
      <c r="B177" s="16">
        <f>INDEX('vehicles specifications'!$B$3:$CK$86,MATCH(B141,'vehicles specifications'!$A$3:$A$86,0),MATCH(G177,'vehicles specifications'!$B$2:$CK$2,0))*INDEX('ei names mapping'!$B$137:$BK$220,MATCH(B141,'ei names mapping'!$A$137:$A$220,0),MATCH(G177,'ei names mapping'!$B$136:$BK$136,0))</f>
        <v>-14.4</v>
      </c>
      <c r="C177" s="12" t="str">
        <f>INDEX('ei names mapping'!$B$38:$R$67,MATCH(B138,'ei names mapping'!$A$4:$A$33,0),MATCH(G177,'ei names mapping'!$B$3:$R$3,0))</f>
        <v>GLO</v>
      </c>
      <c r="D177" s="12" t="str">
        <f>INDEX('ei names mapping'!$B$104:$R$133,MATCH(B142,'ei names mapping'!$A$104:$A$133,0),MATCH(G177,'ei names mapping'!$B$3:$R$3,0))</f>
        <v>kilogram</v>
      </c>
      <c r="E177" s="12"/>
      <c r="F177" s="12" t="s">
        <v>91</v>
      </c>
      <c r="G177" t="s">
        <v>152</v>
      </c>
      <c r="H177" s="12" t="str">
        <f>INDEX('ei names mapping'!$B$71:$R$100,MATCH(B138,'ei names mapping'!$A$4:$A$33,0),MATCH(G177,'ei names mapping'!$B$3:$R$3,0))</f>
        <v>used Li-ion battery</v>
      </c>
    </row>
    <row r="178" spans="1:8" s="21" customFormat="1" x14ac:dyDescent="0.3">
      <c r="A178" s="22" t="s">
        <v>468</v>
      </c>
      <c r="B178" s="21">
        <f>(B151/1000)*B163</f>
        <v>75.69</v>
      </c>
      <c r="C178" s="21" t="s">
        <v>94</v>
      </c>
      <c r="D178" s="21" t="s">
        <v>243</v>
      </c>
      <c r="F178" s="21" t="s">
        <v>91</v>
      </c>
      <c r="H178" s="22" t="s">
        <v>469</v>
      </c>
    </row>
    <row r="179" spans="1:8" s="21" customFormat="1" x14ac:dyDescent="0.3">
      <c r="A179" s="22" t="s">
        <v>467</v>
      </c>
      <c r="B179" s="2">
        <f>(B151/1000)*B162</f>
        <v>1203.471</v>
      </c>
      <c r="C179" s="21" t="s">
        <v>98</v>
      </c>
      <c r="D179" s="21" t="s">
        <v>243</v>
      </c>
      <c r="F179" s="21" t="s">
        <v>91</v>
      </c>
      <c r="H179" s="22" t="s">
        <v>467</v>
      </c>
    </row>
    <row r="180" spans="1:8" x14ac:dyDescent="0.3">
      <c r="B180" s="2"/>
    </row>
    <row r="181" spans="1:8" ht="15.6" x14ac:dyDescent="0.3">
      <c r="A181" s="11" t="s">
        <v>72</v>
      </c>
      <c r="B181" s="9" t="str">
        <f>"transport, "&amp;B183&amp;", "&amp;B185</f>
        <v>transport, Motorbike, electric, &lt;4kW, 2020</v>
      </c>
    </row>
    <row r="182" spans="1:8" x14ac:dyDescent="0.3">
      <c r="A182" t="s">
        <v>73</v>
      </c>
      <c r="B182" t="s">
        <v>37</v>
      </c>
    </row>
    <row r="183" spans="1:8" x14ac:dyDescent="0.3">
      <c r="A183" t="s">
        <v>87</v>
      </c>
      <c r="B183" t="s">
        <v>520</v>
      </c>
    </row>
    <row r="184" spans="1:8" x14ac:dyDescent="0.3">
      <c r="A184" t="s">
        <v>88</v>
      </c>
      <c r="B184" s="12"/>
    </row>
    <row r="185" spans="1:8" x14ac:dyDescent="0.3">
      <c r="A185" t="s">
        <v>89</v>
      </c>
      <c r="B185" s="12">
        <v>2020</v>
      </c>
    </row>
    <row r="186" spans="1:8" x14ac:dyDescent="0.3">
      <c r="A186" t="s">
        <v>131</v>
      </c>
      <c r="B186" s="12" t="str">
        <f>B183&amp;" - "&amp;B185&amp;" - "&amp;B182</f>
        <v>Motorbike, electric, &lt;4kW - 2020 - CH</v>
      </c>
    </row>
    <row r="187" spans="1:8" x14ac:dyDescent="0.3">
      <c r="A187" t="s">
        <v>74</v>
      </c>
      <c r="B187" s="12" t="str">
        <f>"transport, "&amp;B183</f>
        <v>transport, Motorbike, electric, &lt;4kW</v>
      </c>
    </row>
    <row r="188" spans="1:8" x14ac:dyDescent="0.3">
      <c r="A188" t="s">
        <v>75</v>
      </c>
      <c r="B188" t="s">
        <v>76</v>
      </c>
    </row>
    <row r="189" spans="1:8" x14ac:dyDescent="0.3">
      <c r="A189" t="s">
        <v>77</v>
      </c>
      <c r="B189" t="s">
        <v>172</v>
      </c>
    </row>
    <row r="190" spans="1:8" x14ac:dyDescent="0.3">
      <c r="A190" t="s">
        <v>79</v>
      </c>
      <c r="B190" t="s">
        <v>90</v>
      </c>
    </row>
    <row r="191" spans="1:8" x14ac:dyDescent="0.3">
      <c r="A191" t="s">
        <v>132</v>
      </c>
      <c r="B191">
        <f>INDEX('vehicles specifications'!$B$3:$CK$86,MATCH(B186,'vehicles specifications'!$A$3:$A$86,0),MATCH("Lifetime [km]",'vehicles specifications'!$B$2:$CK$2,0))</f>
        <v>33400</v>
      </c>
    </row>
    <row r="192" spans="1:8" x14ac:dyDescent="0.3">
      <c r="A192" t="s">
        <v>133</v>
      </c>
      <c r="B192">
        <f>INDEX('vehicles specifications'!$B$3:$CK$86,MATCH(B186,'vehicles specifications'!$A$3:$A$86,0),MATCH("Passengers [unit]",'vehicles specifications'!$B$2:$CK$2,0))</f>
        <v>1.1000000000000001</v>
      </c>
    </row>
    <row r="193" spans="1:8" x14ac:dyDescent="0.3">
      <c r="A193" t="s">
        <v>134</v>
      </c>
      <c r="B193">
        <f>INDEX('vehicles specifications'!$B$3:$CK$86,MATCH(B186,'vehicles specifications'!$A$3:$A$86,0),MATCH("Servicing [unit]",'vehicles specifications'!$B$2:$CK$2,0))</f>
        <v>0.66800000000000004</v>
      </c>
    </row>
    <row r="194" spans="1:8" x14ac:dyDescent="0.3">
      <c r="A194" t="s">
        <v>135</v>
      </c>
      <c r="B194">
        <f>INDEX('vehicles specifications'!$B$3:$CK$86,MATCH(B186,'vehicles specifications'!$A$3:$A$86,0),MATCH("Energy battery replacement [unit]",'vehicles specifications'!$B$2:$CK$2,0))</f>
        <v>1</v>
      </c>
    </row>
    <row r="195" spans="1:8" x14ac:dyDescent="0.3">
      <c r="A195" t="s">
        <v>136</v>
      </c>
      <c r="B195">
        <f>INDEX('vehicles specifications'!$B$3:$CK$86,MATCH(B186,'vehicles specifications'!$A$3:$A$86,0),MATCH("Annual kilometers [km]",'vehicles specifications'!$B$2:$CK$2,0))</f>
        <v>2553</v>
      </c>
    </row>
    <row r="196" spans="1:8" x14ac:dyDescent="0.3">
      <c r="A196" t="s">
        <v>137</v>
      </c>
      <c r="B196" s="2">
        <f>INDEX('vehicles specifications'!$B$3:$CK$86,MATCH(B186,'vehicles specifications'!$A$3:$A$86,0),MATCH("Curb mass [kg]",'vehicles specifications'!$B$2:$CK$2,0))</f>
        <v>75.8</v>
      </c>
    </row>
    <row r="197" spans="1:8" x14ac:dyDescent="0.3">
      <c r="A197" t="s">
        <v>138</v>
      </c>
      <c r="B197">
        <f>INDEX('vehicles specifications'!$B$3:$CK$86,MATCH(B186,'vehicles specifications'!$A$3:$A$86,0),MATCH("Power [kW]",'vehicles specifications'!$B$2:$CK$2,0))</f>
        <v>2.5</v>
      </c>
    </row>
    <row r="198" spans="1:8" x14ac:dyDescent="0.3">
      <c r="A198" t="s">
        <v>139</v>
      </c>
      <c r="B198">
        <f>INDEX('vehicles specifications'!$B$3:$CK$86,MATCH(B186,'vehicles specifications'!$A$3:$A$86,0),MATCH("Energy battery mass [kg]",'vehicles specifications'!$B$2:$CK$2,0))</f>
        <v>10.8</v>
      </c>
    </row>
    <row r="199" spans="1:8" x14ac:dyDescent="0.3">
      <c r="A199" t="s">
        <v>140</v>
      </c>
      <c r="B199" s="21">
        <f>INDEX('vehicles specifications'!$B$3:$CK$86,MATCH(B186,'vehicles specifications'!$A$3:$A$86,0),MATCH("Electric energy stored [kWh]",'vehicles specifications'!$B$2:$CK$2,0))</f>
        <v>1.8</v>
      </c>
    </row>
    <row r="200" spans="1:8" s="21" customFormat="1" x14ac:dyDescent="0.3">
      <c r="A200" s="21" t="s">
        <v>654</v>
      </c>
      <c r="B200" s="21">
        <f>INDEX('vehicles specifications'!$B$3:$CK$86,MATCH(B186,'vehicles specifications'!$A$3:$A$86,0),MATCH("Electric energy available [kWh]",'vehicles specifications'!$B$2:$CK$2,0))</f>
        <v>1.4400000000000002</v>
      </c>
    </row>
    <row r="201" spans="1:8" x14ac:dyDescent="0.3">
      <c r="A201" t="s">
        <v>143</v>
      </c>
      <c r="B201" s="2">
        <f>INDEX('vehicles specifications'!$B$3:$CK$86,MATCH(B186,'vehicles specifications'!$A$3:$A$86,0),MATCH("Oxydation energy stored [kWh]",'vehicles specifications'!$B$2:$CK$2,0))</f>
        <v>0</v>
      </c>
    </row>
    <row r="202" spans="1:8" x14ac:dyDescent="0.3">
      <c r="A202" t="s">
        <v>145</v>
      </c>
      <c r="B202">
        <f>INDEX('vehicles specifications'!$B$3:$CK$86,MATCH(B186,'vehicles specifications'!$A$3:$A$86,0),MATCH("Fuel mass [kg]",'vehicles specifications'!$B$2:$CK$2,0))</f>
        <v>0</v>
      </c>
    </row>
    <row r="203" spans="1:8" x14ac:dyDescent="0.3">
      <c r="A203" t="s">
        <v>141</v>
      </c>
      <c r="B203" s="2">
        <f>INDEX('vehicles specifications'!$B$3:$CK$86,MATCH(B186,'vehicles specifications'!$A$3:$A$86,0),MATCH("Range [km]",'vehicles specifications'!$B$2:$CK$2,0))</f>
        <v>42.842975206611577</v>
      </c>
    </row>
    <row r="204" spans="1:8" x14ac:dyDescent="0.3">
      <c r="A204" t="s">
        <v>142</v>
      </c>
      <c r="B204" t="str">
        <f>INDEX('vehicles specifications'!$B$3:$CK$86,MATCH(B186,'vehicles specifications'!$A$3:$A$86,0),MATCH("Emission standard",'vehicles specifications'!$B$2:$CK$2,0))</f>
        <v>None</v>
      </c>
    </row>
    <row r="205" spans="1:8" x14ac:dyDescent="0.3">
      <c r="A205" t="s">
        <v>144</v>
      </c>
      <c r="B205" s="6">
        <f>INDEX('vehicles specifications'!$B$3:$CK$86,MATCH(B186,'vehicles specifications'!$A$3:$A$86,0),MATCH("Lightweighting rate [%]",'vehicles specifications'!$B$2:$CK$2,0))</f>
        <v>0</v>
      </c>
    </row>
    <row r="206" spans="1:8" x14ac:dyDescent="0.3">
      <c r="A206" t="s">
        <v>84</v>
      </c>
      <c r="B206" s="21" t="str">
        <f>"Power: "&amp;B197&amp;" kW. Lifetime: "&amp;B191&amp;" km. Annual kilometers: "&amp;B195&amp;" km. Number of passengers: "&amp;B192&amp;". Curb mass: "&amp;ROUND(B196,1)&amp;" kg. Lightweighting of glider: "&amp;ROUND(B205*100,0)&amp;"%. Emission standard: "&amp;B204&amp;". Service visits throughout lifetime: "&amp;ROUND(B193,1)&amp;". Range: "&amp;ROUND(B203,0)&amp;" km. Battery capacity: "&amp;ROUND(B199,1)&amp;" kWh. Available battery capacity: "&amp;B200&amp;" kWh. Battery mass: "&amp;ROUND(B198,1)&amp; " kg. Battery replacement throughout lifetime: "&amp;ROUND(B194,1)&amp;". Fuel tank capacity: "&amp;ROUND(B201,1)&amp;" kWh. Fuel mass: "&amp;ROUND(B202,1)&amp;" kg. Documentation: "&amp;Readmefirst!$B$2&amp;", "&amp;Readmefirst!$B$3&amp;". "&amp;'lci-kick scooter'!B145</f>
        <v>Power: 2.5 kW. Lifetime: 33400 km. Annual kilometers: 2553 km. Number of passengers: 1.1. Curb mass: 75.8 kg. Lightweighting of glider: 0%. Emission standard: None. Service visits throughout lifetime: 0.7. Range: 43 km. Battery capacity: 1.8 kWh. Available battery capacity: 1.44 kWh. Battery mass: 10.8 kg. Battery replacement throughout lifetime: 1. Fuel tank capacity: 0 kWh. Fuel mass: 0 kg. Documentation: 2021 UVEK life-cycle inventories update of on-road vehicles, Sacchi R. (PSI), Bauer C. (PSI), 2021. 0</v>
      </c>
    </row>
    <row r="207" spans="1:8" ht="15.6" x14ac:dyDescent="0.3">
      <c r="A207" s="11" t="s">
        <v>80</v>
      </c>
    </row>
    <row r="208" spans="1:8" x14ac:dyDescent="0.3">
      <c r="A208" t="s">
        <v>81</v>
      </c>
      <c r="B208" t="s">
        <v>82</v>
      </c>
      <c r="C208" t="s">
        <v>73</v>
      </c>
      <c r="D208" t="s">
        <v>77</v>
      </c>
      <c r="E208" t="s">
        <v>83</v>
      </c>
      <c r="F208" t="s">
        <v>75</v>
      </c>
      <c r="G208" t="s">
        <v>84</v>
      </c>
      <c r="H208" t="s">
        <v>74</v>
      </c>
    </row>
    <row r="209" spans="1:8" x14ac:dyDescent="0.3">
      <c r="A209" s="12" t="str">
        <f>B181</f>
        <v>transport, Motorbike, electric, &lt;4kW, 2020</v>
      </c>
      <c r="B209" s="12">
        <v>1</v>
      </c>
      <c r="C209" s="12" t="str">
        <f>B182</f>
        <v>CH</v>
      </c>
      <c r="D209" s="12" t="s">
        <v>172</v>
      </c>
      <c r="E209" s="12"/>
      <c r="F209" s="12" t="s">
        <v>85</v>
      </c>
      <c r="G209" s="12" t="s">
        <v>86</v>
      </c>
      <c r="H209" s="12" t="str">
        <f>B187</f>
        <v>transport, Motorbike, electric, &lt;4kW</v>
      </c>
    </row>
    <row r="210" spans="1:8" x14ac:dyDescent="0.3">
      <c r="A210" s="12" t="str">
        <f>RIGHT(A209,LEN(A209)-11)</f>
        <v>Motorbike, electric, &lt;4kW, 2020</v>
      </c>
      <c r="B210" s="15">
        <f>1/B191</f>
        <v>2.9940119760479042E-5</v>
      </c>
      <c r="C210" s="12" t="str">
        <f>B182</f>
        <v>CH</v>
      </c>
      <c r="D210" s="12" t="s">
        <v>77</v>
      </c>
      <c r="E210" s="12"/>
      <c r="F210" s="12" t="s">
        <v>91</v>
      </c>
      <c r="G210" s="12"/>
      <c r="H210" s="12" t="str">
        <f>RIGHT(H209,LEN(H209)-11)</f>
        <v>Motorbike, electric, &lt;4kW</v>
      </c>
    </row>
    <row r="211" spans="1:8" x14ac:dyDescent="0.3">
      <c r="A211" s="12" t="str">
        <f>INDEX('ei names mapping'!$B$4:$R$33,MATCH(B183,'ei names mapping'!$A$4:$A$33,0),MATCH(G211,'ei names mapping'!$B$3:$R$3,0))</f>
        <v>road maintenance</v>
      </c>
      <c r="B211" s="16">
        <f>INDEX('vehicles specifications'!$B$3:$CK$86,MATCH(B186,'vehicles specifications'!$A$3:$A$86,0),MATCH(G211,'vehicles specifications'!$B$2:$CK$2,0))*INDEX('ei names mapping'!$B$137:$BK$220,MATCH(B186,'ei names mapping'!$A$137:$A$220,0),MATCH(G211,'ei names mapping'!$B$136:$BK$136,0))</f>
        <v>1.2899999999999999E-3</v>
      </c>
      <c r="C211" s="12" t="str">
        <f>INDEX('ei names mapping'!$B$38:$R$67,MATCH(B183,'ei names mapping'!$A$4:$A$33,0),MATCH(G211,'ei names mapping'!$B$3:$R$3,0))</f>
        <v>CH</v>
      </c>
      <c r="D211" s="12" t="str">
        <f>INDEX('ei names mapping'!$B$104:$BK$133,MATCH(B183,'ei names mapping'!$A$4:$A$33,0),MATCH(G211,'ei names mapping'!$B$3:$BK$3,0))</f>
        <v>meter-year</v>
      </c>
      <c r="E211" s="12"/>
      <c r="F211" s="12" t="s">
        <v>91</v>
      </c>
      <c r="G211" t="s">
        <v>117</v>
      </c>
      <c r="H211" s="12" t="str">
        <f>INDEX('ei names mapping'!$B$71:$BK$100,MATCH(B183,'ei names mapping'!$A$4:$A$33,0),MATCH(G211,'ei names mapping'!$B$3:$BK$3,0))</f>
        <v>road maintenance</v>
      </c>
    </row>
    <row r="212" spans="1:8" x14ac:dyDescent="0.3">
      <c r="A212" s="12" t="str">
        <f>INDEX('ei names mapping'!$B$4:$R$33,MATCH(B183,'ei names mapping'!$A$4:$A$33,0),MATCH(G212,'ei names mapping'!$B$3:$R$3,0))</f>
        <v>market for electricity, low voltage</v>
      </c>
      <c r="B212" s="14">
        <f>INDEX('vehicles specifications'!$B$3:$CK$86,MATCH(B186,'vehicles specifications'!$A$3:$A$86,0),MATCH(G212,'vehicles specifications'!$B$2:$CK$2,0))*INDEX('ei names mapping'!$B$137:$BK$220,MATCH(B186,'ei names mapping'!$A$137:$A$220,0),MATCH(G212,'ei names mapping'!$B$136:$BK$136,0))</f>
        <v>3.6972222222222226E-2</v>
      </c>
      <c r="C212" s="12" t="str">
        <f>INDEX('ei names mapping'!$B$38:$R$67,MATCH($B$3,'ei names mapping'!$A$4:$A$33,0),MATCH(G212,'ei names mapping'!$B$3:$R$3,0))</f>
        <v>CH</v>
      </c>
      <c r="D212" s="12" t="str">
        <f>INDEX('ei names mapping'!$B$104:$R$133,MATCH($B$3,'ei names mapping'!$A$4:$A$33,0),MATCH(G212,'ei names mapping'!$B$3:$R$3,0))</f>
        <v>kilowatt hour</v>
      </c>
      <c r="E212" s="12"/>
      <c r="F212" s="12" t="s">
        <v>91</v>
      </c>
      <c r="G212" t="s">
        <v>28</v>
      </c>
      <c r="H212" s="12" t="str">
        <f>INDEX('ei names mapping'!$B$71:$R$100,MATCH(B183,'ei names mapping'!$A$4:$A$33,0),MATCH(G212,'ei names mapping'!$B$3:$R$3,0))</f>
        <v>electricity, low voltage</v>
      </c>
    </row>
    <row r="213" spans="1:8" x14ac:dyDescent="0.3">
      <c r="A213" s="12" t="str">
        <f>INDEX('ei names mapping'!$B$4:$R$33,MATCH(B183,'ei names mapping'!$A$4:$A$33,0),MATCH(G213,'ei names mapping'!$B$3:$R$3,0))</f>
        <v>market for maintenance, electric scooter, without battery</v>
      </c>
      <c r="B213" s="16">
        <f>INDEX('vehicles specifications'!$B$3:$CK$86,MATCH(B186,'vehicles specifications'!$A$3:$A$86,0),MATCH(G213,'vehicles specifications'!$B$2:$CK$2,0))*INDEX('ei names mapping'!$B$137:$BK$220,MATCH(B186,'ei names mapping'!$A$137:$A$220,0),MATCH(G213,'ei names mapping'!$B$136:$BK$136,0))</f>
        <v>2.0000000000000002E-5</v>
      </c>
      <c r="C213" s="12" t="str">
        <f>INDEX('ei names mapping'!$B$38:$BK$67,MATCH(B183,'ei names mapping'!$A$4:$A$33,0),MATCH(G213,'ei names mapping'!$B$3:$BK$3,0))</f>
        <v>GLO</v>
      </c>
      <c r="D213" s="12" t="str">
        <f>INDEX('ei names mapping'!$B$104:$BK$133,MATCH(B183,'ei names mapping'!$A$4:$A$33,0),MATCH(G213,'ei names mapping'!$B$3:$BK$3,0))</f>
        <v>unit</v>
      </c>
      <c r="F213" s="12" t="s">
        <v>91</v>
      </c>
      <c r="G213" s="12" t="s">
        <v>123</v>
      </c>
      <c r="H213" s="12" t="str">
        <f>INDEX('ei names mapping'!$B$71:$BK$100,MATCH(B183,'ei names mapping'!$A$4:$A$33,0),MATCH(G213,'ei names mapping'!$B$3:$BK$3,0))</f>
        <v>maintenance, electric scooter, without battery</v>
      </c>
    </row>
    <row r="214" spans="1:8" s="21" customFormat="1" x14ac:dyDescent="0.3">
      <c r="A214" s="12" t="str">
        <f>INDEX('ei names mapping'!$B$4:$R$33,MATCH(B183,'ei names mapping'!$A$4:$A$33,0),MATCH(G214,'ei names mapping'!$B$3:$R$3,0))</f>
        <v>road construction</v>
      </c>
      <c r="B214" s="16">
        <f>INDEX('vehicles specifications'!$B$3:$CK$86,MATCH(B186,'vehicles specifications'!$A$3:$A$86,0),MATCH(G214,'vehicles specifications'!$B$2:$CK$2,0))*INDEX('ei names mapping'!$B$137:$BK$220,MATCH(B186,'ei names mapping'!$A$137:$A$220,0),MATCH(G214,'ei names mapping'!$B$136:$BK$136,0))</f>
        <v>8.5275600000000001E-5</v>
      </c>
      <c r="C214" s="12" t="str">
        <f>INDEX('ei names mapping'!$B$38:$R$67,MATCH(B183,'ei names mapping'!$A$4:$A$33,0),MATCH(G214,'ei names mapping'!$B$3:$R$3,0))</f>
        <v>CH</v>
      </c>
      <c r="D214" s="12" t="str">
        <f>INDEX('ei names mapping'!$B$104:$R$133,MATCH(B183,'ei names mapping'!$A$104:$A$133,0),MATCH(G214,'ei names mapping'!$B$3:$R$3,0))</f>
        <v>meter-year</v>
      </c>
      <c r="E214" s="12"/>
      <c r="F214" s="12" t="s">
        <v>91</v>
      </c>
      <c r="G214" s="21" t="s">
        <v>108</v>
      </c>
      <c r="H214" s="12" t="str">
        <f>INDEX('ei names mapping'!$B$71:$R$100,MATCH(B183,'ei names mapping'!$A$4:$A$33,0),MATCH(G214,'ei names mapping'!$B$3:$R$3,0))</f>
        <v>road</v>
      </c>
    </row>
    <row r="215" spans="1:8" x14ac:dyDescent="0.3">
      <c r="A215" s="12" t="str">
        <f>INDEX('ei names mapping'!$B$4:$BK$33,MATCH(B183,'ei names mapping'!$A$4:$A$33,0),MATCH(G215,'ei names mapping'!$B$3:$BK$3,0))</f>
        <v>treatment of road wear emissions, passenger car</v>
      </c>
      <c r="B215" s="16">
        <f>INDEX('vehicles specifications'!$B$3:$CK$86,MATCH(B186,'vehicles specifications'!$A$3:$A$86,0),MATCH(G215,'vehicles specifications'!$B$2:$CK$2,0))*INDEX('ei names mapping'!$B$137:$BK$220,MATCH(B186,'ei names mapping'!$A$137:$A$220,0),MATCH(G215,'ei names mapping'!$B$136:$BK$136,0))</f>
        <v>-6.0000000000000002E-6</v>
      </c>
      <c r="C215" s="12" t="str">
        <f>INDEX('ei names mapping'!$B$38:$BK$67,MATCH(B183,'ei names mapping'!$A$4:$A$33,0),MATCH(G215,'ei names mapping'!$B$3:$BK$3,0))</f>
        <v>RER</v>
      </c>
      <c r="D215" s="12" t="str">
        <f>INDEX('ei names mapping'!$B$104:$BK$133,MATCH(B183,'ei names mapping'!$A$4:$A$33,0),MATCH(G215,'ei names mapping'!$B$3:$BK$3,0))</f>
        <v>kilogram</v>
      </c>
      <c r="E215" s="12"/>
      <c r="F215" s="12" t="s">
        <v>91</v>
      </c>
      <c r="G215" t="s">
        <v>29</v>
      </c>
      <c r="H215" s="12" t="str">
        <f>INDEX('ei names mapping'!$B$71:$BK$100,MATCH(B183,'ei names mapping'!$A$4:$A$33,0),MATCH(G215,'ei names mapping'!$B$3:$BK$3,0))</f>
        <v>road wear emissions, passenger car</v>
      </c>
    </row>
    <row r="216" spans="1:8" x14ac:dyDescent="0.3">
      <c r="A216" s="12" t="str">
        <f>INDEX('ei names mapping'!$B$4:$BK$33,MATCH(B183,'ei names mapping'!$A$4:$A$33,0),MATCH(G216,'ei names mapping'!$B$3:$BK$3,0))</f>
        <v>treatment of tyre wear emissions, passenger car</v>
      </c>
      <c r="B216" s="16">
        <f>INDEX('vehicles specifications'!$B$3:$CK$86,MATCH(B186,'vehicles specifications'!$A$3:$A$86,0),MATCH(G216,'vehicles specifications'!$B$2:$CK$2,0))*INDEX('ei names mapping'!$B$137:$BK$220,MATCH(B186,'ei names mapping'!$A$137:$A$220,0),MATCH(G216,'ei names mapping'!$B$136:$BK$136,0))</f>
        <v>-7.3669999999999991E-6</v>
      </c>
      <c r="C216" s="12" t="str">
        <f>INDEX('ei names mapping'!$B$38:$BK$67,MATCH(B183,'ei names mapping'!$A$4:$A$33,0),MATCH(G216,'ei names mapping'!$B$3:$BK$3,0))</f>
        <v>RER</v>
      </c>
      <c r="D216" s="12" t="str">
        <f>INDEX('ei names mapping'!$B$104:$BK$133,MATCH(B183,'ei names mapping'!$A$4:$A$33,0),MATCH(G216,'ei names mapping'!$B$3:$BK$3,0))</f>
        <v>kilogram</v>
      </c>
      <c r="E216" s="12"/>
      <c r="F216" s="12" t="s">
        <v>91</v>
      </c>
      <c r="G216" t="s">
        <v>30</v>
      </c>
      <c r="H216" s="12" t="str">
        <f>INDEX('ei names mapping'!$B$71:$BK$100,MATCH(B183,'ei names mapping'!$A$4:$A$33,0),MATCH(G216,'ei names mapping'!$B$3:$BK$3,0))</f>
        <v>tyre wear emissions, passenger car</v>
      </c>
    </row>
    <row r="217" spans="1:8" x14ac:dyDescent="0.3">
      <c r="A217" s="12" t="str">
        <f>INDEX('ei names mapping'!$B$4:$BK$33,MATCH(B183,'ei names mapping'!$A$4:$A$33,0),MATCH(G217,'ei names mapping'!$B$3:$BK$3,0))</f>
        <v>treatment of brake wear emissions, passenger car</v>
      </c>
      <c r="B217" s="16">
        <f>INDEX('vehicles specifications'!$B$3:$CK$86,MATCH(B186,'vehicles specifications'!$A$3:$A$86,0),MATCH(G217,'vehicles specifications'!$B$2:$CK$2,0))*INDEX('ei names mapping'!$B$137:$BK$220,MATCH(B186,'ei names mapping'!$A$137:$A$220,0),MATCH(G217,'ei names mapping'!$B$136:$BK$136,0))</f>
        <v>-4.1749999999999998E-6</v>
      </c>
      <c r="C217" s="12" t="str">
        <f>INDEX('ei names mapping'!$B$38:$BK$67,MATCH(B183,'ei names mapping'!$A$4:$A$33,0),MATCH(G217,'ei names mapping'!$B$3:$BK$3,0))</f>
        <v>RER</v>
      </c>
      <c r="D217" s="12" t="str">
        <f>INDEX('ei names mapping'!$B$104:$BK$133,MATCH(B183,'ei names mapping'!$A$4:$A$33,0),MATCH(G217,'ei names mapping'!$B$3:$BK$3,0))</f>
        <v>kilogram</v>
      </c>
      <c r="E217" s="12"/>
      <c r="F217" s="12" t="s">
        <v>91</v>
      </c>
      <c r="G217" t="s">
        <v>31</v>
      </c>
      <c r="H217" s="12" t="str">
        <f>INDEX('ei names mapping'!$B$71:$BK$100,MATCH(B183,'ei names mapping'!$A$4:$A$33,0),MATCH(G217,'ei names mapping'!$B$3:$BK$3,0))</f>
        <v>brake wear emissions, passenger car</v>
      </c>
    </row>
    <row r="218" spans="1:8" x14ac:dyDescent="0.3">
      <c r="B218" s="6"/>
    </row>
    <row r="219" spans="1:8" ht="15.6" x14ac:dyDescent="0.3">
      <c r="A219" s="11" t="s">
        <v>72</v>
      </c>
      <c r="B219" s="9" t="str">
        <f>"transport, "&amp;B221&amp;", "&amp;B223</f>
        <v>transport, Motorbike, electric, &lt;4kW, 2030</v>
      </c>
    </row>
    <row r="220" spans="1:8" x14ac:dyDescent="0.3">
      <c r="A220" t="s">
        <v>73</v>
      </c>
      <c r="B220" t="s">
        <v>37</v>
      </c>
    </row>
    <row r="221" spans="1:8" x14ac:dyDescent="0.3">
      <c r="A221" t="s">
        <v>87</v>
      </c>
      <c r="B221" t="s">
        <v>520</v>
      </c>
    </row>
    <row r="222" spans="1:8" x14ac:dyDescent="0.3">
      <c r="A222" t="s">
        <v>88</v>
      </c>
      <c r="B222" s="12"/>
    </row>
    <row r="223" spans="1:8" x14ac:dyDescent="0.3">
      <c r="A223" t="s">
        <v>89</v>
      </c>
      <c r="B223" s="12">
        <v>2030</v>
      </c>
    </row>
    <row r="224" spans="1:8" x14ac:dyDescent="0.3">
      <c r="A224" t="s">
        <v>131</v>
      </c>
      <c r="B224" s="12" t="str">
        <f>B221&amp;" - "&amp;B223&amp;" - "&amp;B220</f>
        <v>Motorbike, electric, &lt;4kW - 2030 - CH</v>
      </c>
    </row>
    <row r="225" spans="1:2" x14ac:dyDescent="0.3">
      <c r="A225" t="s">
        <v>74</v>
      </c>
      <c r="B225" s="12" t="str">
        <f>"transport, "&amp;B221</f>
        <v>transport, Motorbike, electric, &lt;4kW</v>
      </c>
    </row>
    <row r="226" spans="1:2" x14ac:dyDescent="0.3">
      <c r="A226" t="s">
        <v>75</v>
      </c>
      <c r="B226" t="s">
        <v>76</v>
      </c>
    </row>
    <row r="227" spans="1:2" x14ac:dyDescent="0.3">
      <c r="A227" t="s">
        <v>77</v>
      </c>
      <c r="B227" t="s">
        <v>172</v>
      </c>
    </row>
    <row r="228" spans="1:2" x14ac:dyDescent="0.3">
      <c r="A228" t="s">
        <v>79</v>
      </c>
      <c r="B228" t="s">
        <v>90</v>
      </c>
    </row>
    <row r="229" spans="1:2" x14ac:dyDescent="0.3">
      <c r="A229" t="s">
        <v>132</v>
      </c>
      <c r="B229">
        <f>INDEX('vehicles specifications'!$B$3:$CK$86,MATCH(B224,'vehicles specifications'!$A$3:$A$86,0),MATCH("Lifetime [km]",'vehicles specifications'!$B$2:$CK$2,0))</f>
        <v>33400</v>
      </c>
    </row>
    <row r="230" spans="1:2" x14ac:dyDescent="0.3">
      <c r="A230" t="s">
        <v>133</v>
      </c>
      <c r="B230">
        <f>INDEX('vehicles specifications'!$B$3:$CK$86,MATCH(B224,'vehicles specifications'!$A$3:$A$86,0),MATCH("Passengers [unit]",'vehicles specifications'!$B$2:$CK$2,0))</f>
        <v>1.1000000000000001</v>
      </c>
    </row>
    <row r="231" spans="1:2" x14ac:dyDescent="0.3">
      <c r="A231" t="s">
        <v>134</v>
      </c>
      <c r="B231">
        <f>INDEX('vehicles specifications'!$B$3:$CK$86,MATCH(B224,'vehicles specifications'!$A$3:$A$86,0),MATCH("Servicing [unit]",'vehicles specifications'!$B$2:$CK$2,0))</f>
        <v>0.66800000000000004</v>
      </c>
    </row>
    <row r="232" spans="1:2" x14ac:dyDescent="0.3">
      <c r="A232" t="s">
        <v>135</v>
      </c>
      <c r="B232">
        <f>INDEX('vehicles specifications'!$B$3:$CK$86,MATCH(B224,'vehicles specifications'!$A$3:$A$86,0),MATCH("Energy battery replacement [unit]",'vehicles specifications'!$B$2:$CK$2,0))</f>
        <v>0.5</v>
      </c>
    </row>
    <row r="233" spans="1:2" x14ac:dyDescent="0.3">
      <c r="A233" t="s">
        <v>136</v>
      </c>
      <c r="B233">
        <f>INDEX('vehicles specifications'!$B$3:$CK$86,MATCH(B224,'vehicles specifications'!$A$3:$A$86,0),MATCH("Annual kilometers [km]",'vehicles specifications'!$B$2:$CK$2,0))</f>
        <v>2553</v>
      </c>
    </row>
    <row r="234" spans="1:2" x14ac:dyDescent="0.3">
      <c r="A234" t="s">
        <v>137</v>
      </c>
      <c r="B234" s="2">
        <f>INDEX('vehicles specifications'!$B$3:$CK$86,MATCH(B224,'vehicles specifications'!$A$3:$A$86,0),MATCH("Curb mass [kg]",'vehicles specifications'!$B$2:$CK$2,0))</f>
        <v>76.209999999999994</v>
      </c>
    </row>
    <row r="235" spans="1:2" x14ac:dyDescent="0.3">
      <c r="A235" t="s">
        <v>138</v>
      </c>
      <c r="B235">
        <f>INDEX('vehicles specifications'!$B$3:$CK$86,MATCH(B224,'vehicles specifications'!$A$3:$A$86,0),MATCH("Power [kW]",'vehicles specifications'!$B$2:$CK$2,0))</f>
        <v>2.5</v>
      </c>
    </row>
    <row r="236" spans="1:2" x14ac:dyDescent="0.3">
      <c r="A236" t="s">
        <v>139</v>
      </c>
      <c r="B236">
        <f>INDEX('vehicles specifications'!$B$3:$CK$86,MATCH(B224,'vehicles specifications'!$A$3:$A$86,0),MATCH("Energy battery mass [kg]",'vehicles specifications'!$B$2:$CK$2,0))</f>
        <v>12.8</v>
      </c>
    </row>
    <row r="237" spans="1:2" x14ac:dyDescent="0.3">
      <c r="A237" t="s">
        <v>140</v>
      </c>
      <c r="B237" s="21">
        <f>INDEX('vehicles specifications'!$B$3:$CK$86,MATCH(B224,'vehicles specifications'!$A$3:$A$86,0),MATCH("Electric energy stored [kWh]",'vehicles specifications'!$B$2:$CK$2,0))</f>
        <v>3.2</v>
      </c>
    </row>
    <row r="238" spans="1:2" s="21" customFormat="1" x14ac:dyDescent="0.3">
      <c r="A238" s="21" t="s">
        <v>654</v>
      </c>
      <c r="B238" s="21">
        <f>INDEX('vehicles specifications'!$B$3:$CK$86,MATCH(B224,'vehicles specifications'!$A$3:$A$86,0),MATCH("Electric energy available [kWh]",'vehicles specifications'!$B$2:$CK$2,0))</f>
        <v>2.5600000000000005</v>
      </c>
    </row>
    <row r="239" spans="1:2" x14ac:dyDescent="0.3">
      <c r="A239" t="s">
        <v>143</v>
      </c>
      <c r="B239" s="2">
        <f>INDEX('vehicles specifications'!$B$3:$CK$86,MATCH(B224,'vehicles specifications'!$A$3:$A$86,0),MATCH("Oxydation energy stored [kWh]",'vehicles specifications'!$B$2:$CK$2,0))</f>
        <v>0</v>
      </c>
    </row>
    <row r="240" spans="1:2" x14ac:dyDescent="0.3">
      <c r="A240" t="s">
        <v>145</v>
      </c>
      <c r="B240">
        <f>INDEX('vehicles specifications'!$B$3:$CK$86,MATCH(B224,'vehicles specifications'!$A$3:$A$86,0),MATCH("Fuel mass [kg]",'vehicles specifications'!$B$2:$CK$2,0))</f>
        <v>0</v>
      </c>
    </row>
    <row r="241" spans="1:8" x14ac:dyDescent="0.3">
      <c r="A241" t="s">
        <v>141</v>
      </c>
      <c r="B241" s="2">
        <f>INDEX('vehicles specifications'!$B$3:$CK$86,MATCH(B224,'vehicles specifications'!$A$3:$A$86,0),MATCH("Range [km]",'vehicles specifications'!$B$2:$CK$2,0))</f>
        <v>76.165289256198363</v>
      </c>
    </row>
    <row r="242" spans="1:8" x14ac:dyDescent="0.3">
      <c r="A242" t="s">
        <v>142</v>
      </c>
      <c r="B242" t="str">
        <f>INDEX('vehicles specifications'!$B$3:$CK$86,MATCH(B224,'vehicles specifications'!$A$3:$A$86,0),MATCH("Emission standard",'vehicles specifications'!$B$2:$CK$2,0))</f>
        <v>None</v>
      </c>
    </row>
    <row r="243" spans="1:8" x14ac:dyDescent="0.3">
      <c r="A243" t="s">
        <v>144</v>
      </c>
      <c r="B243" s="6">
        <f>INDEX('vehicles specifications'!$B$3:$CK$86,MATCH(B224,'vehicles specifications'!$A$3:$A$86,0),MATCH("Lightweighting rate [%]",'vehicles specifications'!$B$2:$CK$2,0))</f>
        <v>0.03</v>
      </c>
    </row>
    <row r="244" spans="1:8" x14ac:dyDescent="0.3">
      <c r="A244" t="s">
        <v>84</v>
      </c>
      <c r="B244" s="21" t="str">
        <f>"Power: "&amp;B235&amp;" kW. Lifetime: "&amp;B229&amp;" km. Annual kilometers: "&amp;B233&amp;" km. Number of passengers: "&amp;B230&amp;". Curb mass: "&amp;ROUND(B234,1)&amp;" kg. Lightweighting of glider: "&amp;ROUND(B243*100,0)&amp;"%. Emission standard: "&amp;B242&amp;". Service visits throughout lifetime: "&amp;ROUND(B231,1)&amp;". Range: "&amp;ROUND(B241,0)&amp;" km. Battery capacity: "&amp;ROUND(B237,1)&amp;" kWh. Available battery capacity: "&amp;B238&amp;" kWh. Battery mass: "&amp;ROUND(B236,1)&amp; " kg. Battery replacement throughout lifetime: "&amp;ROUND(B232,1)&amp;". Fuel tank capacity: "&amp;ROUND(B239,1)&amp;" kWh. Fuel mass: "&amp;ROUND(B240,1)&amp;" kg. Documentation: "&amp;Readmefirst!$B$2&amp;", "&amp;Readmefirst!$B$3&amp;". "&amp;'lci-kick scooter'!B183</f>
        <v>Power: 2.5 kW. Lifetime: 33400 km. Annual kilometers: 2553 km. Number of passengers: 1.1. Curb mass: 76.2 kg. Lightweighting of glider: 3%. Emission standard: None. Service visits throughout lifetime: 0.7. Range: 76 km. Battery capacity: 3.2 kWh. Available battery capacity: 2.56 kWh. Battery mass: 12.8 kg. Battery replacement throughout lifetime: 0.5. Fuel tank capacity: 0 kWh. Fuel mass: 0 kg. Documentation: 2021 UVEK life-cycle inventories update of on-road vehicles, Sacchi R. (PSI), Bauer C. (PSI), 2021. kilometer</v>
      </c>
    </row>
    <row r="245" spans="1:8" ht="15.6" x14ac:dyDescent="0.3">
      <c r="A245" s="11" t="s">
        <v>80</v>
      </c>
    </row>
    <row r="246" spans="1:8" x14ac:dyDescent="0.3">
      <c r="A246" t="s">
        <v>81</v>
      </c>
      <c r="B246" t="s">
        <v>82</v>
      </c>
      <c r="C246" t="s">
        <v>73</v>
      </c>
      <c r="D246" t="s">
        <v>77</v>
      </c>
      <c r="E246" t="s">
        <v>83</v>
      </c>
      <c r="F246" t="s">
        <v>75</v>
      </c>
      <c r="G246" t="s">
        <v>84</v>
      </c>
      <c r="H246" t="s">
        <v>74</v>
      </c>
    </row>
    <row r="247" spans="1:8" x14ac:dyDescent="0.3">
      <c r="A247" s="12" t="str">
        <f>B219</f>
        <v>transport, Motorbike, electric, &lt;4kW, 2030</v>
      </c>
      <c r="B247" s="12">
        <v>1</v>
      </c>
      <c r="C247" s="12" t="str">
        <f>B220</f>
        <v>CH</v>
      </c>
      <c r="D247" s="12" t="s">
        <v>172</v>
      </c>
      <c r="E247" s="12"/>
      <c r="F247" s="12" t="s">
        <v>85</v>
      </c>
      <c r="G247" s="12" t="s">
        <v>86</v>
      </c>
      <c r="H247" s="12" t="str">
        <f>B225</f>
        <v>transport, Motorbike, electric, &lt;4kW</v>
      </c>
    </row>
    <row r="248" spans="1:8" x14ac:dyDescent="0.3">
      <c r="A248" s="12" t="str">
        <f>RIGHT(A247,LEN(A247)-11)</f>
        <v>Motorbike, electric, &lt;4kW, 2030</v>
      </c>
      <c r="B248" s="12">
        <f>1/B229</f>
        <v>2.9940119760479042E-5</v>
      </c>
      <c r="C248" s="12" t="str">
        <f>B220</f>
        <v>CH</v>
      </c>
      <c r="D248" s="12" t="s">
        <v>77</v>
      </c>
      <c r="E248" s="12"/>
      <c r="F248" s="12" t="s">
        <v>91</v>
      </c>
      <c r="G248" s="12"/>
      <c r="H248" s="12" t="str">
        <f>RIGHT(H247,LEN(H247)-11)</f>
        <v>Motorbike, electric, &lt;4kW</v>
      </c>
    </row>
    <row r="249" spans="1:8" x14ac:dyDescent="0.3">
      <c r="A249" s="12" t="str">
        <f>INDEX('ei names mapping'!$B$4:$R$33,MATCH(B221,'ei names mapping'!$A$4:$A$33,0),MATCH(G249,'ei names mapping'!$B$3:$R$3,0))</f>
        <v>road maintenance</v>
      </c>
      <c r="B249" s="16">
        <f>INDEX('vehicles specifications'!$B$3:$CK$86,MATCH(B224,'vehicles specifications'!$A$3:$A$86,0),MATCH(G249,'vehicles specifications'!$B$2:$CK$2,0))*INDEX('ei names mapping'!$B$137:$BK$220,MATCH(B224,'ei names mapping'!$A$137:$A$220,0),MATCH(G249,'ei names mapping'!$B$136:$BK$136,0))</f>
        <v>1.2899999999999999E-3</v>
      </c>
      <c r="C249" s="12" t="str">
        <f>INDEX('ei names mapping'!$B$38:$R$67,MATCH(B221,'ei names mapping'!$A$4:$A$33,0),MATCH(G249,'ei names mapping'!$B$3:$R$3,0))</f>
        <v>CH</v>
      </c>
      <c r="D249" s="12" t="str">
        <f>INDEX('ei names mapping'!$B$104:$BK$133,MATCH(B221,'ei names mapping'!$A$4:$A$33,0),MATCH(G249,'ei names mapping'!$B$3:$BK$3,0))</f>
        <v>meter-year</v>
      </c>
      <c r="E249" s="12"/>
      <c r="F249" s="12" t="s">
        <v>91</v>
      </c>
      <c r="G249" t="s">
        <v>117</v>
      </c>
      <c r="H249" s="12" t="str">
        <f>INDEX('ei names mapping'!$B$71:$BK$100,MATCH(B221,'ei names mapping'!$A$4:$A$33,0),MATCH(G249,'ei names mapping'!$B$3:$BK$3,0))</f>
        <v>road maintenance</v>
      </c>
    </row>
    <row r="250" spans="1:8" x14ac:dyDescent="0.3">
      <c r="A250" s="12" t="str">
        <f>INDEX('ei names mapping'!$B$4:$R$33,MATCH(B221,'ei names mapping'!$A$4:$A$33,0),MATCH(G250,'ei names mapping'!$B$3:$R$3,0))</f>
        <v>market for electricity, low voltage</v>
      </c>
      <c r="B250" s="14">
        <f>INDEX('vehicles specifications'!$B$3:$CK$86,MATCH(B224,'vehicles specifications'!$A$3:$A$86,0),MATCH(G250,'vehicles specifications'!$B$2:$CK$2,0))*INDEX('ei names mapping'!$B$137:$BK$220,MATCH(B224,'ei names mapping'!$A$137:$A$220,0),MATCH(G250,'ei names mapping'!$B$136:$BK$136,0))</f>
        <v>3.6972222222222226E-2</v>
      </c>
      <c r="C250" s="12" t="str">
        <f>INDEX('ei names mapping'!$B$38:$R$67,MATCH($B$3,'ei names mapping'!$A$4:$A$33,0),MATCH(G250,'ei names mapping'!$B$3:$R$3,0))</f>
        <v>CH</v>
      </c>
      <c r="D250" s="12" t="str">
        <f>INDEX('ei names mapping'!$B$104:$R$133,MATCH($B$3,'ei names mapping'!$A$4:$A$33,0),MATCH(G250,'ei names mapping'!$B$3:$R$3,0))</f>
        <v>kilowatt hour</v>
      </c>
      <c r="E250" s="12"/>
      <c r="F250" s="12" t="s">
        <v>91</v>
      </c>
      <c r="G250" t="s">
        <v>28</v>
      </c>
      <c r="H250" s="12" t="str">
        <f>INDEX('ei names mapping'!$B$71:$R$100,MATCH(B221,'ei names mapping'!$A$4:$A$33,0),MATCH(G250,'ei names mapping'!$B$3:$R$3,0))</f>
        <v>electricity, low voltage</v>
      </c>
    </row>
    <row r="251" spans="1:8" x14ac:dyDescent="0.3">
      <c r="A251" s="12" t="str">
        <f>INDEX('ei names mapping'!$B$4:$R$33,MATCH(B221,'ei names mapping'!$A$4:$A$33,0),MATCH(G251,'ei names mapping'!$B$3:$R$3,0))</f>
        <v>market for maintenance, electric scooter, without battery</v>
      </c>
      <c r="B251" s="16">
        <f>INDEX('vehicles specifications'!$B$3:$CK$86,MATCH(B224,'vehicles specifications'!$A$3:$A$86,0),MATCH(G251,'vehicles specifications'!$B$2:$CK$2,0))*INDEX('ei names mapping'!$B$137:$BK$220,MATCH(B224,'ei names mapping'!$A$137:$A$220,0),MATCH(G251,'ei names mapping'!$B$136:$BK$136,0))</f>
        <v>2.0000000000000002E-5</v>
      </c>
      <c r="C251" s="12" t="str">
        <f>INDEX('ei names mapping'!$B$38:$BK$67,MATCH(B221,'ei names mapping'!$A$4:$A$33,0),MATCH(G251,'ei names mapping'!$B$3:$BK$3,0))</f>
        <v>GLO</v>
      </c>
      <c r="D251" s="12" t="str">
        <f>INDEX('ei names mapping'!$B$104:$BK$133,MATCH(B221,'ei names mapping'!$A$4:$A$33,0),MATCH(G251,'ei names mapping'!$B$3:$BK$3,0))</f>
        <v>unit</v>
      </c>
      <c r="F251" s="12" t="s">
        <v>91</v>
      </c>
      <c r="G251" s="12" t="s">
        <v>123</v>
      </c>
      <c r="H251" s="12" t="str">
        <f>INDEX('ei names mapping'!$B$71:$BK$100,MATCH(B221,'ei names mapping'!$A$4:$A$33,0),MATCH(G251,'ei names mapping'!$B$3:$BK$3,0))</f>
        <v>maintenance, electric scooter, without battery</v>
      </c>
    </row>
    <row r="252" spans="1:8" s="21" customFormat="1" x14ac:dyDescent="0.3">
      <c r="A252" s="12" t="str">
        <f>INDEX('ei names mapping'!$B$4:$R$33,MATCH(B221,'ei names mapping'!$A$4:$A$33,0),MATCH(G252,'ei names mapping'!$B$3:$R$3,0))</f>
        <v>road construction</v>
      </c>
      <c r="B252" s="16">
        <f>INDEX('vehicles specifications'!$B$3:$CK$86,MATCH(B224,'vehicles specifications'!$A$3:$A$86,0),MATCH(G252,'vehicles specifications'!$B$2:$CK$2,0))*INDEX('ei names mapping'!$B$137:$BK$220,MATCH(B224,'ei names mapping'!$A$137:$A$220,0),MATCH(G252,'ei names mapping'!$B$136:$BK$136,0))</f>
        <v>8.5495769999999993E-5</v>
      </c>
      <c r="C252" s="12" t="str">
        <f>INDEX('ei names mapping'!$B$38:$R$67,MATCH(B221,'ei names mapping'!$A$4:$A$33,0),MATCH(G252,'ei names mapping'!$B$3:$R$3,0))</f>
        <v>CH</v>
      </c>
      <c r="D252" s="12" t="str">
        <f>INDEX('ei names mapping'!$B$104:$R$133,MATCH(B221,'ei names mapping'!$A$104:$A$133,0),MATCH(G252,'ei names mapping'!$B$3:$R$3,0))</f>
        <v>meter-year</v>
      </c>
      <c r="E252" s="12"/>
      <c r="F252" s="12" t="s">
        <v>91</v>
      </c>
      <c r="G252" s="21" t="s">
        <v>108</v>
      </c>
      <c r="H252" s="12" t="str">
        <f>INDEX('ei names mapping'!$B$71:$R$100,MATCH(B221,'ei names mapping'!$A$4:$A$33,0),MATCH(G252,'ei names mapping'!$B$3:$R$3,0))</f>
        <v>road</v>
      </c>
    </row>
    <row r="253" spans="1:8" x14ac:dyDescent="0.3">
      <c r="A253" s="12" t="str">
        <f>INDEX('ei names mapping'!$B$4:$BK$33,MATCH(B221,'ei names mapping'!$A$4:$A$33,0),MATCH(G253,'ei names mapping'!$B$3:$BK$3,0))</f>
        <v>treatment of road wear emissions, passenger car</v>
      </c>
      <c r="B253" s="16">
        <f>INDEX('vehicles specifications'!$B$3:$CK$86,MATCH(B224,'vehicles specifications'!$A$3:$A$86,0),MATCH(G253,'vehicles specifications'!$B$2:$CK$2,0))*INDEX('ei names mapping'!$B$137:$BK$220,MATCH(B224,'ei names mapping'!$A$137:$A$220,0),MATCH(G253,'ei names mapping'!$B$136:$BK$136,0))</f>
        <v>-6.0000000000000002E-6</v>
      </c>
      <c r="C253" s="12" t="str">
        <f>INDEX('ei names mapping'!$B$38:$BK$67,MATCH(B221,'ei names mapping'!$A$4:$A$33,0),MATCH(G253,'ei names mapping'!$B$3:$BK$3,0))</f>
        <v>RER</v>
      </c>
      <c r="D253" s="12" t="str">
        <f>INDEX('ei names mapping'!$B$104:$BK$133,MATCH(B221,'ei names mapping'!$A$4:$A$33,0),MATCH(G253,'ei names mapping'!$B$3:$BK$3,0))</f>
        <v>kilogram</v>
      </c>
      <c r="E253" s="12"/>
      <c r="F253" s="12" t="s">
        <v>91</v>
      </c>
      <c r="G253" t="s">
        <v>29</v>
      </c>
      <c r="H253" s="12" t="str">
        <f>INDEX('ei names mapping'!$B$71:$BK$100,MATCH(B221,'ei names mapping'!$A$4:$A$33,0),MATCH(G253,'ei names mapping'!$B$3:$BK$3,0))</f>
        <v>road wear emissions, passenger car</v>
      </c>
    </row>
    <row r="254" spans="1:8" x14ac:dyDescent="0.3">
      <c r="A254" s="12" t="str">
        <f>INDEX('ei names mapping'!$B$4:$BK$33,MATCH(B221,'ei names mapping'!$A$4:$A$33,0),MATCH(G254,'ei names mapping'!$B$3:$BK$3,0))</f>
        <v>treatment of tyre wear emissions, passenger car</v>
      </c>
      <c r="B254" s="16">
        <f>INDEX('vehicles specifications'!$B$3:$CK$86,MATCH(B224,'vehicles specifications'!$A$3:$A$86,0),MATCH(G254,'vehicles specifications'!$B$2:$CK$2,0))*INDEX('ei names mapping'!$B$137:$BK$220,MATCH(B224,'ei names mapping'!$A$137:$A$220,0),MATCH(G254,'ei names mapping'!$B$136:$BK$136,0))</f>
        <v>-7.3669999999999991E-6</v>
      </c>
      <c r="C254" s="12" t="str">
        <f>INDEX('ei names mapping'!$B$38:$BK$67,MATCH(B221,'ei names mapping'!$A$4:$A$33,0),MATCH(G254,'ei names mapping'!$B$3:$BK$3,0))</f>
        <v>RER</v>
      </c>
      <c r="D254" s="12" t="str">
        <f>INDEX('ei names mapping'!$B$104:$BK$133,MATCH(B221,'ei names mapping'!$A$4:$A$33,0),MATCH(G254,'ei names mapping'!$B$3:$BK$3,0))</f>
        <v>kilogram</v>
      </c>
      <c r="E254" s="12"/>
      <c r="F254" s="12" t="s">
        <v>91</v>
      </c>
      <c r="G254" t="s">
        <v>30</v>
      </c>
      <c r="H254" s="12" t="str">
        <f>INDEX('ei names mapping'!$B$71:$BK$100,MATCH(B221,'ei names mapping'!$A$4:$A$33,0),MATCH(G254,'ei names mapping'!$B$3:$BK$3,0))</f>
        <v>tyre wear emissions, passenger car</v>
      </c>
    </row>
    <row r="255" spans="1:8" x14ac:dyDescent="0.3">
      <c r="A255" s="12" t="str">
        <f>INDEX('ei names mapping'!$B$4:$BK$33,MATCH(B221,'ei names mapping'!$A$4:$A$33,0),MATCH(G255,'ei names mapping'!$B$3:$BK$3,0))</f>
        <v>treatment of brake wear emissions, passenger car</v>
      </c>
      <c r="B255" s="16">
        <f>INDEX('vehicles specifications'!$B$3:$CK$86,MATCH(B224,'vehicles specifications'!$A$3:$A$86,0),MATCH(G255,'vehicles specifications'!$B$2:$CK$2,0))*INDEX('ei names mapping'!$B$137:$BK$220,MATCH(B224,'ei names mapping'!$A$137:$A$220,0),MATCH(G255,'ei names mapping'!$B$136:$BK$136,0))</f>
        <v>-4.1749999999999998E-6</v>
      </c>
      <c r="C255" s="12" t="str">
        <f>INDEX('ei names mapping'!$B$38:$BK$67,MATCH(B221,'ei names mapping'!$A$4:$A$33,0),MATCH(G255,'ei names mapping'!$B$3:$BK$3,0))</f>
        <v>RER</v>
      </c>
      <c r="D255" s="12" t="str">
        <f>INDEX('ei names mapping'!$B$104:$BK$133,MATCH(B221,'ei names mapping'!$A$4:$A$33,0),MATCH(G255,'ei names mapping'!$B$3:$BK$3,0))</f>
        <v>kilogram</v>
      </c>
      <c r="E255" s="12"/>
      <c r="F255" s="12" t="s">
        <v>91</v>
      </c>
      <c r="G255" t="s">
        <v>31</v>
      </c>
      <c r="H255" s="12" t="str">
        <f>INDEX('ei names mapping'!$B$71:$BK$100,MATCH(B221,'ei names mapping'!$A$4:$A$33,0),MATCH(G255,'ei names mapping'!$B$3:$BK$3,0))</f>
        <v>brake wear emissions, passenger car</v>
      </c>
    </row>
    <row r="257" spans="1:2" ht="15.6" x14ac:dyDescent="0.3">
      <c r="A257" s="11" t="s">
        <v>72</v>
      </c>
      <c r="B257" s="9" t="str">
        <f>"transport, "&amp;B259&amp;", "&amp;B261</f>
        <v>transport, Motorbike, electric, &lt;4kW, 2040</v>
      </c>
    </row>
    <row r="258" spans="1:2" x14ac:dyDescent="0.3">
      <c r="A258" t="s">
        <v>73</v>
      </c>
      <c r="B258" t="s">
        <v>37</v>
      </c>
    </row>
    <row r="259" spans="1:2" x14ac:dyDescent="0.3">
      <c r="A259" t="s">
        <v>87</v>
      </c>
      <c r="B259" t="s">
        <v>520</v>
      </c>
    </row>
    <row r="260" spans="1:2" x14ac:dyDescent="0.3">
      <c r="A260" t="s">
        <v>88</v>
      </c>
      <c r="B260" s="12"/>
    </row>
    <row r="261" spans="1:2" x14ac:dyDescent="0.3">
      <c r="A261" t="s">
        <v>89</v>
      </c>
      <c r="B261" s="12">
        <v>2040</v>
      </c>
    </row>
    <row r="262" spans="1:2" x14ac:dyDescent="0.3">
      <c r="A262" t="s">
        <v>131</v>
      </c>
      <c r="B262" s="12" t="str">
        <f>B259&amp;" - "&amp;B261&amp;" - "&amp;B258</f>
        <v>Motorbike, electric, &lt;4kW - 2040 - CH</v>
      </c>
    </row>
    <row r="263" spans="1:2" x14ac:dyDescent="0.3">
      <c r="A263" t="s">
        <v>74</v>
      </c>
      <c r="B263" s="12" t="str">
        <f>"transport, "&amp;B259</f>
        <v>transport, Motorbike, electric, &lt;4kW</v>
      </c>
    </row>
    <row r="264" spans="1:2" x14ac:dyDescent="0.3">
      <c r="A264" t="s">
        <v>75</v>
      </c>
      <c r="B264" t="s">
        <v>76</v>
      </c>
    </row>
    <row r="265" spans="1:2" x14ac:dyDescent="0.3">
      <c r="A265" t="s">
        <v>77</v>
      </c>
      <c r="B265" t="s">
        <v>172</v>
      </c>
    </row>
    <row r="266" spans="1:2" x14ac:dyDescent="0.3">
      <c r="A266" t="s">
        <v>79</v>
      </c>
      <c r="B266" t="s">
        <v>90</v>
      </c>
    </row>
    <row r="267" spans="1:2" x14ac:dyDescent="0.3">
      <c r="A267" t="s">
        <v>132</v>
      </c>
      <c r="B267">
        <f>INDEX('vehicles specifications'!$B$3:$CK$86,MATCH(B262,'vehicles specifications'!$A$3:$A$86,0),MATCH("Lifetime [km]",'vehicles specifications'!$B$2:$CK$2,0))</f>
        <v>33400</v>
      </c>
    </row>
    <row r="268" spans="1:2" x14ac:dyDescent="0.3">
      <c r="A268" t="s">
        <v>133</v>
      </c>
      <c r="B268">
        <f>INDEX('vehicles specifications'!$B$3:$CK$86,MATCH(B262,'vehicles specifications'!$A$3:$A$86,0),MATCH("Passengers [unit]",'vehicles specifications'!$B$2:$CK$2,0))</f>
        <v>1.1000000000000001</v>
      </c>
    </row>
    <row r="269" spans="1:2" x14ac:dyDescent="0.3">
      <c r="A269" t="s">
        <v>134</v>
      </c>
      <c r="B269">
        <f>INDEX('vehicles specifications'!$B$3:$CK$86,MATCH(B262,'vehicles specifications'!$A$3:$A$86,0),MATCH("Servicing [unit]",'vehicles specifications'!$B$2:$CK$2,0))</f>
        <v>0.66800000000000004</v>
      </c>
    </row>
    <row r="270" spans="1:2" x14ac:dyDescent="0.3">
      <c r="A270" t="s">
        <v>135</v>
      </c>
      <c r="B270">
        <f>INDEX('vehicles specifications'!$B$3:$CK$86,MATCH(B262,'vehicles specifications'!$A$3:$A$86,0),MATCH("Energy battery replacement [unit]",'vehicles specifications'!$B$2:$CK$2,0))</f>
        <v>0.25</v>
      </c>
    </row>
    <row r="271" spans="1:2" x14ac:dyDescent="0.3">
      <c r="A271" t="s">
        <v>136</v>
      </c>
      <c r="B271">
        <f>INDEX('vehicles specifications'!$B$3:$CK$86,MATCH(B262,'vehicles specifications'!$A$3:$A$86,0),MATCH("Annual kilometers [km]",'vehicles specifications'!$B$2:$CK$2,0))</f>
        <v>2553</v>
      </c>
    </row>
    <row r="272" spans="1:2" x14ac:dyDescent="0.3">
      <c r="A272" t="s">
        <v>137</v>
      </c>
      <c r="B272" s="2">
        <f>INDEX('vehicles specifications'!$B$3:$CK$86,MATCH(B262,'vehicles specifications'!$A$3:$A$86,0),MATCH("Curb mass [kg]",'vehicles specifications'!$B$2:$CK$2,0))</f>
        <v>75.849999999999994</v>
      </c>
    </row>
    <row r="273" spans="1:8" x14ac:dyDescent="0.3">
      <c r="A273" t="s">
        <v>138</v>
      </c>
      <c r="B273">
        <f>INDEX('vehicles specifications'!$B$3:$CK$86,MATCH(B262,'vehicles specifications'!$A$3:$A$86,0),MATCH("Power [kW]",'vehicles specifications'!$B$2:$CK$2,0))</f>
        <v>2.5</v>
      </c>
    </row>
    <row r="274" spans="1:8" x14ac:dyDescent="0.3">
      <c r="A274" t="s">
        <v>139</v>
      </c>
      <c r="B274">
        <f>INDEX('vehicles specifications'!$B$3:$CK$86,MATCH(B262,'vehicles specifications'!$A$3:$A$86,0),MATCH("Energy battery mass [kg]",'vehicles specifications'!$B$2:$CK$2,0))</f>
        <v>13.5</v>
      </c>
    </row>
    <row r="275" spans="1:8" x14ac:dyDescent="0.3">
      <c r="A275" t="s">
        <v>140</v>
      </c>
      <c r="B275" s="21">
        <f>INDEX('vehicles specifications'!$B$3:$CK$86,MATCH(B262,'vehicles specifications'!$A$3:$A$86,0),MATCH("Electric energy stored [kWh]",'vehicles specifications'!$B$2:$CK$2,0))</f>
        <v>4.5</v>
      </c>
    </row>
    <row r="276" spans="1:8" s="21" customFormat="1" x14ac:dyDescent="0.3">
      <c r="A276" s="21" t="s">
        <v>654</v>
      </c>
      <c r="B276" s="21">
        <f>INDEX('vehicles specifications'!$B$3:$CK$86,MATCH(B262,'vehicles specifications'!$A$3:$A$86,0),MATCH("Electric energy available [kWh]",'vehicles specifications'!$B$2:$CK$2,0))</f>
        <v>3.6</v>
      </c>
    </row>
    <row r="277" spans="1:8" x14ac:dyDescent="0.3">
      <c r="A277" t="s">
        <v>143</v>
      </c>
      <c r="B277" s="2">
        <f>INDEX('vehicles specifications'!$B$3:$CK$86,MATCH(B262,'vehicles specifications'!$A$3:$A$86,0),MATCH("Oxydation energy stored [kWh]",'vehicles specifications'!$B$2:$CK$2,0))</f>
        <v>0</v>
      </c>
    </row>
    <row r="278" spans="1:8" x14ac:dyDescent="0.3">
      <c r="A278" t="s">
        <v>145</v>
      </c>
      <c r="B278">
        <f>INDEX('vehicles specifications'!$B$3:$CK$86,MATCH(B262,'vehicles specifications'!$A$3:$A$86,0),MATCH("Fuel mass [kg]",'vehicles specifications'!$B$2:$CK$2,0))</f>
        <v>0</v>
      </c>
    </row>
    <row r="279" spans="1:8" x14ac:dyDescent="0.3">
      <c r="A279" t="s">
        <v>141</v>
      </c>
      <c r="B279" s="2">
        <f>INDEX('vehicles specifications'!$B$3:$CK$86,MATCH(B262,'vehicles specifications'!$A$3:$A$86,0),MATCH("Range [km]",'vehicles specifications'!$B$2:$CK$2,0))</f>
        <v>107.10743801652892</v>
      </c>
    </row>
    <row r="280" spans="1:8" x14ac:dyDescent="0.3">
      <c r="A280" t="s">
        <v>142</v>
      </c>
      <c r="B280" t="str">
        <f>INDEX('vehicles specifications'!$B$3:$CK$86,MATCH(B262,'vehicles specifications'!$A$3:$A$86,0),MATCH("Emission standard",'vehicles specifications'!$B$2:$CK$2,0))</f>
        <v>None</v>
      </c>
    </row>
    <row r="281" spans="1:8" x14ac:dyDescent="0.3">
      <c r="A281" t="s">
        <v>144</v>
      </c>
      <c r="B281" s="6">
        <f>INDEX('vehicles specifications'!$B$3:$CK$86,MATCH(B262,'vehicles specifications'!$A$3:$A$86,0),MATCH("Lightweighting rate [%]",'vehicles specifications'!$B$2:$CK$2,0))</f>
        <v>0.05</v>
      </c>
    </row>
    <row r="282" spans="1:8" x14ac:dyDescent="0.3">
      <c r="A282" t="s">
        <v>84</v>
      </c>
      <c r="B282" s="21" t="str">
        <f>"Power: "&amp;B273&amp;" kW. Lifetime: "&amp;B267&amp;" km. Annual kilometers: "&amp;B271&amp;" km. Number of passengers: "&amp;B268&amp;". Curb mass: "&amp;ROUND(B272,1)&amp;" kg. Lightweighting of glider: "&amp;ROUND(B281*100,0)&amp;"%. Emission standard: "&amp;B280&amp;". Service visits throughout lifetime: "&amp;ROUND(B269,1)&amp;". Range: "&amp;ROUND(B279,0)&amp;" km. Battery capacity: "&amp;ROUND(B275,1)&amp;" kWh. Available battery capacity: "&amp;B276&amp;" kWh. Battery mass: "&amp;ROUND(B274,1)&amp; " kg. Battery replacement throughout lifetime: "&amp;ROUND(B270,1)&amp;". Fuel tank capacity: "&amp;ROUND(B277,1)&amp;" kWh. Fuel mass: "&amp;ROUND(B278,1)&amp;" kg. Documentation: "&amp;Readmefirst!$B$2&amp;", "&amp;Readmefirst!$B$3&amp;". "&amp;'lci-kick scooter'!B221</f>
        <v>Power: 2.5 kW. Lifetime: 33400 km. Annual kilometers: 2553 km. Number of passengers: 1.1. Curb mass: 75.9 kg. Lightweighting of glider: 5%. Emission standard: None. Service visits throughout lifetime: 0.7. Range: 107 km. Battery capacity: 4.5 kWh. Available battery capacity: 3.6 kWh. Battery mass: 13.5 kg. Battery replacement throughout lifetime: 0.3. Fuel tank capacity: 0 kWh. Fuel mass: 0 kg. Documentation: 2021 UVEK life-cycle inventories update of on-road vehicles, Sacchi R. (PSI), Bauer C. (PSI), 2021. Adapted from Cox, B., Althaus, H.-J., Bauer, C., Sacchi, R., Mutel, C., Faist Emmenegger, M. and Spiegel, B. (2020). Umweltauswirkungen von Fahrzeugen im urbanen Kontext. Umwelt- und Gesundheitsschutz, Stadt Zürich; Tiefbauamt, Stadt Zürich; Amt für Abfall, Wasser, Energie und Luft, Kanton Zürich, Bern, Villigen, Zürich, Switzerland.</v>
      </c>
    </row>
    <row r="283" spans="1:8" ht="15.6" x14ac:dyDescent="0.3">
      <c r="A283" s="11" t="s">
        <v>80</v>
      </c>
    </row>
    <row r="284" spans="1:8" x14ac:dyDescent="0.3">
      <c r="A284" t="s">
        <v>81</v>
      </c>
      <c r="B284" t="s">
        <v>82</v>
      </c>
      <c r="C284" t="s">
        <v>73</v>
      </c>
      <c r="D284" t="s">
        <v>77</v>
      </c>
      <c r="E284" t="s">
        <v>83</v>
      </c>
      <c r="F284" t="s">
        <v>75</v>
      </c>
      <c r="G284" t="s">
        <v>84</v>
      </c>
      <c r="H284" t="s">
        <v>74</v>
      </c>
    </row>
    <row r="285" spans="1:8" x14ac:dyDescent="0.3">
      <c r="A285" s="12" t="str">
        <f>B257</f>
        <v>transport, Motorbike, electric, &lt;4kW, 2040</v>
      </c>
      <c r="B285" s="12">
        <v>1</v>
      </c>
      <c r="C285" s="12" t="str">
        <f>B258</f>
        <v>CH</v>
      </c>
      <c r="D285" s="12" t="s">
        <v>172</v>
      </c>
      <c r="E285" s="12"/>
      <c r="F285" s="12" t="s">
        <v>85</v>
      </c>
      <c r="G285" s="12" t="s">
        <v>86</v>
      </c>
      <c r="H285" s="12" t="str">
        <f>B263</f>
        <v>transport, Motorbike, electric, &lt;4kW</v>
      </c>
    </row>
    <row r="286" spans="1:8" x14ac:dyDescent="0.3">
      <c r="A286" s="12" t="str">
        <f>RIGHT(A285,LEN(A285)-11)</f>
        <v>Motorbike, electric, &lt;4kW, 2040</v>
      </c>
      <c r="B286" s="12">
        <f>1/B267</f>
        <v>2.9940119760479042E-5</v>
      </c>
      <c r="C286" s="12" t="str">
        <f>B258</f>
        <v>CH</v>
      </c>
      <c r="D286" s="12" t="s">
        <v>77</v>
      </c>
      <c r="E286" s="12"/>
      <c r="F286" s="12" t="s">
        <v>91</v>
      </c>
      <c r="G286" s="12"/>
      <c r="H286" s="12" t="str">
        <f>RIGHT(H285,LEN(H285)-11)</f>
        <v>Motorbike, electric, &lt;4kW</v>
      </c>
    </row>
    <row r="287" spans="1:8" x14ac:dyDescent="0.3">
      <c r="A287" s="12" t="str">
        <f>INDEX('ei names mapping'!$B$4:$R$33,MATCH(B259,'ei names mapping'!$A$4:$A$33,0),MATCH(G287,'ei names mapping'!$B$3:$R$3,0))</f>
        <v>road maintenance</v>
      </c>
      <c r="B287" s="16">
        <f>INDEX('vehicles specifications'!$B$3:$CK$86,MATCH(B262,'vehicles specifications'!$A$3:$A$86,0),MATCH(G287,'vehicles specifications'!$B$2:$CK$2,0))*INDEX('ei names mapping'!$B$137:$BK$220,MATCH(B262,'ei names mapping'!$A$137:$A$220,0),MATCH(G287,'ei names mapping'!$B$136:$BK$136,0))</f>
        <v>1.2899999999999999E-3</v>
      </c>
      <c r="C287" s="12" t="str">
        <f>INDEX('ei names mapping'!$B$38:$R$67,MATCH(B259,'ei names mapping'!$A$4:$A$33,0),MATCH(G287,'ei names mapping'!$B$3:$R$3,0))</f>
        <v>CH</v>
      </c>
      <c r="D287" s="12" t="str">
        <f>INDEX('ei names mapping'!$B$104:$BK$133,MATCH(B259,'ei names mapping'!$A$4:$A$33,0),MATCH(G287,'ei names mapping'!$B$3:$BK$3,0))</f>
        <v>meter-year</v>
      </c>
      <c r="E287" s="12"/>
      <c r="F287" s="12" t="s">
        <v>91</v>
      </c>
      <c r="G287" t="s">
        <v>117</v>
      </c>
      <c r="H287" s="12" t="str">
        <f>INDEX('ei names mapping'!$B$71:$BK$100,MATCH(B259,'ei names mapping'!$A$4:$A$33,0),MATCH(G287,'ei names mapping'!$B$3:$BK$3,0))</f>
        <v>road maintenance</v>
      </c>
    </row>
    <row r="288" spans="1:8" x14ac:dyDescent="0.3">
      <c r="A288" s="12" t="str">
        <f>INDEX('ei names mapping'!$B$4:$R$33,MATCH(B259,'ei names mapping'!$A$4:$A$33,0),MATCH(G288,'ei names mapping'!$B$3:$R$3,0))</f>
        <v>market for electricity, low voltage</v>
      </c>
      <c r="B288" s="14">
        <f>INDEX('vehicles specifications'!$B$3:$CK$86,MATCH(B262,'vehicles specifications'!$A$3:$A$86,0),MATCH(G288,'vehicles specifications'!$B$2:$CK$2,0))*INDEX('ei names mapping'!$B$137:$BK$220,MATCH(B262,'ei names mapping'!$A$137:$A$220,0),MATCH(G288,'ei names mapping'!$B$136:$BK$136,0))</f>
        <v>3.6972222222222226E-2</v>
      </c>
      <c r="C288" s="12" t="str">
        <f>INDEX('ei names mapping'!$B$38:$R$67,MATCH($B$3,'ei names mapping'!$A$4:$A$33,0),MATCH(G288,'ei names mapping'!$B$3:$R$3,0))</f>
        <v>CH</v>
      </c>
      <c r="D288" s="12" t="str">
        <f>INDEX('ei names mapping'!$B$104:$R$133,MATCH($B$3,'ei names mapping'!$A$4:$A$33,0),MATCH(G288,'ei names mapping'!$B$3:$R$3,0))</f>
        <v>kilowatt hour</v>
      </c>
      <c r="E288" s="12"/>
      <c r="F288" s="12" t="s">
        <v>91</v>
      </c>
      <c r="G288" t="s">
        <v>28</v>
      </c>
      <c r="H288" s="12" t="str">
        <f>INDEX('ei names mapping'!$B$71:$R$100,MATCH(B259,'ei names mapping'!$A$4:$A$33,0),MATCH(G288,'ei names mapping'!$B$3:$R$3,0))</f>
        <v>electricity, low voltage</v>
      </c>
    </row>
    <row r="289" spans="1:8" x14ac:dyDescent="0.3">
      <c r="A289" s="12" t="str">
        <f>INDEX('ei names mapping'!$B$4:$R$33,MATCH(B259,'ei names mapping'!$A$4:$A$33,0),MATCH(G289,'ei names mapping'!$B$3:$R$3,0))</f>
        <v>market for maintenance, electric scooter, without battery</v>
      </c>
      <c r="B289" s="16">
        <f>INDEX('vehicles specifications'!$B$3:$CK$86,MATCH(B262,'vehicles specifications'!$A$3:$A$86,0),MATCH(G289,'vehicles specifications'!$B$2:$CK$2,0))*INDEX('ei names mapping'!$B$137:$BK$220,MATCH(B262,'ei names mapping'!$A$137:$A$220,0),MATCH(G289,'ei names mapping'!$B$136:$BK$136,0))</f>
        <v>2.0000000000000002E-5</v>
      </c>
      <c r="C289" s="12" t="str">
        <f>INDEX('ei names mapping'!$B$38:$BK$67,MATCH(B259,'ei names mapping'!$A$4:$A$33,0),MATCH(G289,'ei names mapping'!$B$3:$BK$3,0))</f>
        <v>GLO</v>
      </c>
      <c r="D289" s="12" t="str">
        <f>INDEX('ei names mapping'!$B$104:$BK$133,MATCH(B259,'ei names mapping'!$A$4:$A$33,0),MATCH(G289,'ei names mapping'!$B$3:$BK$3,0))</f>
        <v>unit</v>
      </c>
      <c r="F289" s="12" t="s">
        <v>91</v>
      </c>
      <c r="G289" s="12" t="s">
        <v>123</v>
      </c>
      <c r="H289" s="12" t="str">
        <f>INDEX('ei names mapping'!$B$71:$BK$100,MATCH(B259,'ei names mapping'!$A$4:$A$33,0),MATCH(G289,'ei names mapping'!$B$3:$BK$3,0))</f>
        <v>maintenance, electric scooter, without battery</v>
      </c>
    </row>
    <row r="290" spans="1:8" s="21" customFormat="1" x14ac:dyDescent="0.3">
      <c r="A290" s="12" t="str">
        <f>INDEX('ei names mapping'!$B$4:$R$33,MATCH(B259,'ei names mapping'!$A$4:$A$33,0),MATCH(G290,'ei names mapping'!$B$3:$R$3,0))</f>
        <v>road construction</v>
      </c>
      <c r="B290" s="16">
        <f>INDEX('vehicles specifications'!$B$3:$CK$86,MATCH(B262,'vehicles specifications'!$A$3:$A$86,0),MATCH(G290,'vehicles specifications'!$B$2:$CK$2,0))*INDEX('ei names mapping'!$B$137:$BK$220,MATCH(B262,'ei names mapping'!$A$137:$A$220,0),MATCH(G290,'ei names mapping'!$B$136:$BK$136,0))</f>
        <v>8.5302449999999995E-5</v>
      </c>
      <c r="C290" s="12" t="str">
        <f>INDEX('ei names mapping'!$B$38:$R$67,MATCH(B259,'ei names mapping'!$A$4:$A$33,0),MATCH(G290,'ei names mapping'!$B$3:$R$3,0))</f>
        <v>CH</v>
      </c>
      <c r="D290" s="12" t="str">
        <f>INDEX('ei names mapping'!$B$104:$R$133,MATCH(B259,'ei names mapping'!$A$104:$A$133,0),MATCH(G290,'ei names mapping'!$B$3:$R$3,0))</f>
        <v>meter-year</v>
      </c>
      <c r="E290" s="12"/>
      <c r="F290" s="12" t="s">
        <v>91</v>
      </c>
      <c r="G290" s="21" t="s">
        <v>108</v>
      </c>
      <c r="H290" s="12" t="str">
        <f>INDEX('ei names mapping'!$B$71:$R$100,MATCH(B259,'ei names mapping'!$A$4:$A$33,0),MATCH(G290,'ei names mapping'!$B$3:$R$3,0))</f>
        <v>road</v>
      </c>
    </row>
    <row r="291" spans="1:8" x14ac:dyDescent="0.3">
      <c r="A291" s="12" t="str">
        <f>INDEX('ei names mapping'!$B$4:$BK$33,MATCH(B259,'ei names mapping'!$A$4:$A$33,0),MATCH(G291,'ei names mapping'!$B$3:$BK$3,0))</f>
        <v>treatment of road wear emissions, passenger car</v>
      </c>
      <c r="B291" s="16">
        <f>INDEX('vehicles specifications'!$B$3:$CK$86,MATCH(B262,'vehicles specifications'!$A$3:$A$86,0),MATCH(G291,'vehicles specifications'!$B$2:$CK$2,0))*INDEX('ei names mapping'!$B$137:$BK$220,MATCH(B262,'ei names mapping'!$A$137:$A$220,0),MATCH(G291,'ei names mapping'!$B$136:$BK$136,0))</f>
        <v>-6.0000000000000002E-6</v>
      </c>
      <c r="C291" s="12" t="str">
        <f>INDEX('ei names mapping'!$B$38:$BK$67,MATCH(B259,'ei names mapping'!$A$4:$A$33,0),MATCH(G291,'ei names mapping'!$B$3:$BK$3,0))</f>
        <v>RER</v>
      </c>
      <c r="D291" s="12" t="str">
        <f>INDEX('ei names mapping'!$B$104:$BK$133,MATCH(B259,'ei names mapping'!$A$4:$A$33,0),MATCH(G291,'ei names mapping'!$B$3:$BK$3,0))</f>
        <v>kilogram</v>
      </c>
      <c r="E291" s="12"/>
      <c r="F291" s="12" t="s">
        <v>91</v>
      </c>
      <c r="G291" t="s">
        <v>29</v>
      </c>
      <c r="H291" s="12" t="str">
        <f>INDEX('ei names mapping'!$B$71:$BK$100,MATCH(B259,'ei names mapping'!$A$4:$A$33,0),MATCH(G291,'ei names mapping'!$B$3:$BK$3,0))</f>
        <v>road wear emissions, passenger car</v>
      </c>
    </row>
    <row r="292" spans="1:8" x14ac:dyDescent="0.3">
      <c r="A292" s="12" t="str">
        <f>INDEX('ei names mapping'!$B$4:$BK$33,MATCH(B259,'ei names mapping'!$A$4:$A$33,0),MATCH(G292,'ei names mapping'!$B$3:$BK$3,0))</f>
        <v>treatment of tyre wear emissions, passenger car</v>
      </c>
      <c r="B292" s="16">
        <f>INDEX('vehicles specifications'!$B$3:$CK$86,MATCH(B262,'vehicles specifications'!$A$3:$A$86,0),MATCH(G292,'vehicles specifications'!$B$2:$CK$2,0))*INDEX('ei names mapping'!$B$137:$BK$220,MATCH(B262,'ei names mapping'!$A$137:$A$220,0),MATCH(G292,'ei names mapping'!$B$136:$BK$136,0))</f>
        <v>-7.3669999999999991E-6</v>
      </c>
      <c r="C292" s="12" t="str">
        <f>INDEX('ei names mapping'!$B$38:$BK$67,MATCH(B259,'ei names mapping'!$A$4:$A$33,0),MATCH(G292,'ei names mapping'!$B$3:$BK$3,0))</f>
        <v>RER</v>
      </c>
      <c r="D292" s="12" t="str">
        <f>INDEX('ei names mapping'!$B$104:$BK$133,MATCH(B259,'ei names mapping'!$A$4:$A$33,0),MATCH(G292,'ei names mapping'!$B$3:$BK$3,0))</f>
        <v>kilogram</v>
      </c>
      <c r="E292" s="12"/>
      <c r="F292" s="12" t="s">
        <v>91</v>
      </c>
      <c r="G292" t="s">
        <v>30</v>
      </c>
      <c r="H292" s="12" t="str">
        <f>INDEX('ei names mapping'!$B$71:$BK$100,MATCH(B259,'ei names mapping'!$A$4:$A$33,0),MATCH(G292,'ei names mapping'!$B$3:$BK$3,0))</f>
        <v>tyre wear emissions, passenger car</v>
      </c>
    </row>
    <row r="293" spans="1:8" x14ac:dyDescent="0.3">
      <c r="A293" s="12" t="str">
        <f>INDEX('ei names mapping'!$B$4:$BK$33,MATCH(B259,'ei names mapping'!$A$4:$A$33,0),MATCH(G293,'ei names mapping'!$B$3:$BK$3,0))</f>
        <v>treatment of brake wear emissions, passenger car</v>
      </c>
      <c r="B293" s="16">
        <f>INDEX('vehicles specifications'!$B$3:$CK$86,MATCH(B262,'vehicles specifications'!$A$3:$A$86,0),MATCH(G293,'vehicles specifications'!$B$2:$CK$2,0))*INDEX('ei names mapping'!$B$137:$BK$220,MATCH(B262,'ei names mapping'!$A$137:$A$220,0),MATCH(G293,'ei names mapping'!$B$136:$BK$136,0))</f>
        <v>-4.1749999999999998E-6</v>
      </c>
      <c r="C293" s="12" t="str">
        <f>INDEX('ei names mapping'!$B$38:$BK$67,MATCH(B259,'ei names mapping'!$A$4:$A$33,0),MATCH(G293,'ei names mapping'!$B$3:$BK$3,0))</f>
        <v>RER</v>
      </c>
      <c r="D293" s="12" t="str">
        <f>INDEX('ei names mapping'!$B$104:$BK$133,MATCH(B259,'ei names mapping'!$A$4:$A$33,0),MATCH(G293,'ei names mapping'!$B$3:$BK$3,0))</f>
        <v>kilogram</v>
      </c>
      <c r="E293" s="12"/>
      <c r="F293" s="12" t="s">
        <v>91</v>
      </c>
      <c r="G293" t="s">
        <v>31</v>
      </c>
      <c r="H293" s="12" t="str">
        <f>INDEX('ei names mapping'!$B$71:$BK$100,MATCH(B259,'ei names mapping'!$A$4:$A$33,0),MATCH(G293,'ei names mapping'!$B$3:$BK$3,0))</f>
        <v>brake wear emissions, passenger car</v>
      </c>
    </row>
    <row r="295" spans="1:8" ht="15.6" x14ac:dyDescent="0.3">
      <c r="A295" s="11" t="s">
        <v>72</v>
      </c>
      <c r="B295" s="9" t="str">
        <f>"transport, "&amp;B297&amp;", "&amp;B299</f>
        <v>transport, Motorbike, electric, &lt;4kW, 2050</v>
      </c>
    </row>
    <row r="296" spans="1:8" x14ac:dyDescent="0.3">
      <c r="A296" t="s">
        <v>73</v>
      </c>
      <c r="B296" t="s">
        <v>37</v>
      </c>
    </row>
    <row r="297" spans="1:8" x14ac:dyDescent="0.3">
      <c r="A297" t="s">
        <v>87</v>
      </c>
      <c r="B297" t="s">
        <v>520</v>
      </c>
    </row>
    <row r="298" spans="1:8" x14ac:dyDescent="0.3">
      <c r="A298" t="s">
        <v>88</v>
      </c>
      <c r="B298" s="12"/>
    </row>
    <row r="299" spans="1:8" x14ac:dyDescent="0.3">
      <c r="A299" t="s">
        <v>89</v>
      </c>
      <c r="B299" s="12">
        <v>2050</v>
      </c>
    </row>
    <row r="300" spans="1:8" x14ac:dyDescent="0.3">
      <c r="A300" t="s">
        <v>131</v>
      </c>
      <c r="B300" s="12" t="str">
        <f>B297&amp;" - "&amp;B299&amp;" - "&amp;B296</f>
        <v>Motorbike, electric, &lt;4kW - 2050 - CH</v>
      </c>
    </row>
    <row r="301" spans="1:8" x14ac:dyDescent="0.3">
      <c r="A301" t="s">
        <v>74</v>
      </c>
      <c r="B301" s="12" t="str">
        <f>"transport, "&amp;B297</f>
        <v>transport, Motorbike, electric, &lt;4kW</v>
      </c>
    </row>
    <row r="302" spans="1:8" x14ac:dyDescent="0.3">
      <c r="A302" t="s">
        <v>75</v>
      </c>
      <c r="B302" t="s">
        <v>76</v>
      </c>
    </row>
    <row r="303" spans="1:8" x14ac:dyDescent="0.3">
      <c r="A303" t="s">
        <v>77</v>
      </c>
      <c r="B303" t="s">
        <v>172</v>
      </c>
    </row>
    <row r="304" spans="1:8" x14ac:dyDescent="0.3">
      <c r="A304" t="s">
        <v>79</v>
      </c>
      <c r="B304" t="s">
        <v>90</v>
      </c>
    </row>
    <row r="305" spans="1:2" x14ac:dyDescent="0.3">
      <c r="A305" t="s">
        <v>132</v>
      </c>
      <c r="B305">
        <f>INDEX('vehicles specifications'!$B$3:$CK$86,MATCH(B300,'vehicles specifications'!$A$3:$A$86,0),MATCH("Lifetime [km]",'vehicles specifications'!$B$2:$CK$2,0))</f>
        <v>33400</v>
      </c>
    </row>
    <row r="306" spans="1:2" x14ac:dyDescent="0.3">
      <c r="A306" t="s">
        <v>133</v>
      </c>
      <c r="B306">
        <f>INDEX('vehicles specifications'!$B$3:$CK$86,MATCH(B300,'vehicles specifications'!$A$3:$A$86,0),MATCH("Passengers [unit]",'vehicles specifications'!$B$2:$CK$2,0))</f>
        <v>1.1000000000000001</v>
      </c>
    </row>
    <row r="307" spans="1:2" x14ac:dyDescent="0.3">
      <c r="A307" t="s">
        <v>134</v>
      </c>
      <c r="B307">
        <f>INDEX('vehicles specifications'!$B$3:$CK$86,MATCH(B300,'vehicles specifications'!$A$3:$A$86,0),MATCH("Servicing [unit]",'vehicles specifications'!$B$2:$CK$2,0))</f>
        <v>0.66800000000000004</v>
      </c>
    </row>
    <row r="308" spans="1:2" x14ac:dyDescent="0.3">
      <c r="A308" t="s">
        <v>135</v>
      </c>
      <c r="B308">
        <f>INDEX('vehicles specifications'!$B$3:$CK$86,MATCH(B300,'vehicles specifications'!$A$3:$A$86,0),MATCH("Energy battery replacement [unit]",'vehicles specifications'!$B$2:$CK$2,0))</f>
        <v>0</v>
      </c>
    </row>
    <row r="309" spans="1:2" x14ac:dyDescent="0.3">
      <c r="A309" t="s">
        <v>136</v>
      </c>
      <c r="B309">
        <f>INDEX('vehicles specifications'!$B$3:$CK$86,MATCH(B300,'vehicles specifications'!$A$3:$A$86,0),MATCH("Annual kilometers [km]",'vehicles specifications'!$B$2:$CK$2,0))</f>
        <v>2553</v>
      </c>
    </row>
    <row r="310" spans="1:2" x14ac:dyDescent="0.3">
      <c r="A310" t="s">
        <v>137</v>
      </c>
      <c r="B310" s="2">
        <f>INDEX('vehicles specifications'!$B$3:$CK$86,MATCH(B300,'vehicles specifications'!$A$3:$A$86,0),MATCH("Curb mass [kg]",'vehicles specifications'!$B$2:$CK$2,0))</f>
        <v>75.69</v>
      </c>
    </row>
    <row r="311" spans="1:2" x14ac:dyDescent="0.3">
      <c r="A311" t="s">
        <v>138</v>
      </c>
      <c r="B311">
        <f>INDEX('vehicles specifications'!$B$3:$CK$86,MATCH(B300,'vehicles specifications'!$A$3:$A$86,0),MATCH("Power [kW]",'vehicles specifications'!$B$2:$CK$2,0))</f>
        <v>2.5</v>
      </c>
    </row>
    <row r="312" spans="1:2" x14ac:dyDescent="0.3">
      <c r="A312" t="s">
        <v>139</v>
      </c>
      <c r="B312">
        <f>INDEX('vehicles specifications'!$B$3:$CK$86,MATCH(B300,'vehicles specifications'!$A$3:$A$86,0),MATCH("Energy battery mass [kg]",'vehicles specifications'!$B$2:$CK$2,0))</f>
        <v>14.4</v>
      </c>
    </row>
    <row r="313" spans="1:2" x14ac:dyDescent="0.3">
      <c r="A313" t="s">
        <v>140</v>
      </c>
      <c r="B313" s="21">
        <f>INDEX('vehicles specifications'!$B$3:$CK$86,MATCH(B300,'vehicles specifications'!$A$3:$A$86,0),MATCH("Electric energy stored [kWh]",'vehicles specifications'!$B$2:$CK$2,0))</f>
        <v>6</v>
      </c>
    </row>
    <row r="314" spans="1:2" s="21" customFormat="1" x14ac:dyDescent="0.3">
      <c r="A314" s="21" t="s">
        <v>654</v>
      </c>
      <c r="B314" s="21">
        <f>INDEX('vehicles specifications'!$B$3:$CK$86,MATCH(B300,'vehicles specifications'!$A$3:$A$86,0),MATCH("Electric energy available [kWh]",'vehicles specifications'!$B$2:$CK$2,0))</f>
        <v>4.8000000000000007</v>
      </c>
    </row>
    <row r="315" spans="1:2" x14ac:dyDescent="0.3">
      <c r="A315" t="s">
        <v>143</v>
      </c>
      <c r="B315" s="2">
        <f>INDEX('vehicles specifications'!$B$3:$CK$86,MATCH(B300,'vehicles specifications'!$A$3:$A$86,0),MATCH("Oxydation energy stored [kWh]",'vehicles specifications'!$B$2:$CK$2,0))</f>
        <v>0</v>
      </c>
    </row>
    <row r="316" spans="1:2" x14ac:dyDescent="0.3">
      <c r="A316" t="s">
        <v>145</v>
      </c>
      <c r="B316">
        <f>INDEX('vehicles specifications'!$B$3:$CK$86,MATCH(B300,'vehicles specifications'!$A$3:$A$86,0),MATCH("Fuel mass [kg]",'vehicles specifications'!$B$2:$CK$2,0))</f>
        <v>0</v>
      </c>
    </row>
    <row r="317" spans="1:2" x14ac:dyDescent="0.3">
      <c r="A317" t="s">
        <v>141</v>
      </c>
      <c r="B317" s="2">
        <f>INDEX('vehicles specifications'!$B$3:$CK$86,MATCH(B300,'vehicles specifications'!$A$3:$A$86,0),MATCH("Range [km]",'vehicles specifications'!$B$2:$CK$2,0))</f>
        <v>142.80991735537191</v>
      </c>
    </row>
    <row r="318" spans="1:2" x14ac:dyDescent="0.3">
      <c r="A318" t="s">
        <v>142</v>
      </c>
      <c r="B318" t="str">
        <f>INDEX('vehicles specifications'!$B$3:$CK$86,MATCH(B300,'vehicles specifications'!$A$3:$A$86,0),MATCH("Emission standard",'vehicles specifications'!$B$2:$CK$2,0))</f>
        <v>None</v>
      </c>
    </row>
    <row r="319" spans="1:2" x14ac:dyDescent="0.3">
      <c r="A319" t="s">
        <v>144</v>
      </c>
      <c r="B319" s="6">
        <f>INDEX('vehicles specifications'!$B$3:$CK$86,MATCH(B300,'vehicles specifications'!$A$3:$A$86,0),MATCH("Lightweighting rate [%]",'vehicles specifications'!$B$2:$CK$2,0))</f>
        <v>7.0000000000000007E-2</v>
      </c>
    </row>
    <row r="320" spans="1:2" x14ac:dyDescent="0.3">
      <c r="A320" t="s">
        <v>84</v>
      </c>
      <c r="B320" s="21" t="str">
        <f>"Power: "&amp;B311&amp;" kW. Lifetime: "&amp;B305&amp;" km. Annual kilometers: "&amp;B309&amp;" km. Number of passengers: "&amp;B306&amp;". Curb mass: "&amp;ROUND(B310,1)&amp;" kg. Lightweighting of glider: "&amp;ROUND(B319*100,0)&amp;"%. Emission standard: "&amp;B318&amp;". Service visits throughout lifetime: "&amp;ROUND(B307,1)&amp;". Range: "&amp;ROUND(B317,0)&amp;" km. Battery capacity: "&amp;ROUND(B313,1)&amp;" kWh. Available battery capacity: "&amp;B314&amp;" kWh. Battery mass: "&amp;ROUND(B312,1)&amp; " kg. Battery replacement throughout lifetime: "&amp;ROUND(B308,1)&amp;". Fuel tank capacity: "&amp;ROUND(B315,1)&amp;" kWh. Fuel mass: "&amp;ROUND(B316,1)&amp;" kg. Documentation: "&amp;Readmefirst!$B$2&amp;", "&amp;Readmefirst!$B$3&amp;". "&amp;'lci-kick scooter'!B259</f>
        <v>Power: 2.5 kW. Lifetime: 33400 km. Annual kilometers: 2553 km. Number of passengers: 1.1. Curb mass: 75.7 kg. Lightweighting of glider: 7%. Emission standard: None. Service visits throughout lifetime: 0.7. Range: 143 km. Battery capacity: 6 kWh. Available battery capacity: 4.8 kWh. Battery mass: 14.4 kg. Battery replacement throughout lifetime: 0. Fuel tank capacity: 0 kWh. Fuel mass: 0 kg. Documentation: 2021 UVEK life-cycle inventories update of on-road vehicles, Sacchi R. (PSI), Bauer C. (PSI), 2021. 1785</v>
      </c>
    </row>
    <row r="321" spans="1:8" ht="15.6" x14ac:dyDescent="0.3">
      <c r="A321" s="11" t="s">
        <v>80</v>
      </c>
    </row>
    <row r="322" spans="1:8" x14ac:dyDescent="0.3">
      <c r="A322" t="s">
        <v>81</v>
      </c>
      <c r="B322" t="s">
        <v>82</v>
      </c>
      <c r="C322" t="s">
        <v>73</v>
      </c>
      <c r="D322" t="s">
        <v>77</v>
      </c>
      <c r="E322" t="s">
        <v>83</v>
      </c>
      <c r="F322" t="s">
        <v>75</v>
      </c>
      <c r="G322" t="s">
        <v>84</v>
      </c>
      <c r="H322" t="s">
        <v>74</v>
      </c>
    </row>
    <row r="323" spans="1:8" x14ac:dyDescent="0.3">
      <c r="A323" s="12" t="str">
        <f>B295</f>
        <v>transport, Motorbike, electric, &lt;4kW, 2050</v>
      </c>
      <c r="B323" s="12">
        <v>1</v>
      </c>
      <c r="C323" s="12" t="str">
        <f>B296</f>
        <v>CH</v>
      </c>
      <c r="D323" s="12" t="s">
        <v>172</v>
      </c>
      <c r="E323" s="12"/>
      <c r="F323" s="12" t="s">
        <v>85</v>
      </c>
      <c r="G323" s="12" t="s">
        <v>86</v>
      </c>
      <c r="H323" s="12" t="str">
        <f>B301</f>
        <v>transport, Motorbike, electric, &lt;4kW</v>
      </c>
    </row>
    <row r="324" spans="1:8" x14ac:dyDescent="0.3">
      <c r="A324" s="12" t="str">
        <f>RIGHT(A323,LEN(A323)-11)</f>
        <v>Motorbike, electric, &lt;4kW, 2050</v>
      </c>
      <c r="B324" s="12">
        <f>1/B305</f>
        <v>2.9940119760479042E-5</v>
      </c>
      <c r="C324" s="12" t="str">
        <f>B296</f>
        <v>CH</v>
      </c>
      <c r="D324" s="12" t="s">
        <v>77</v>
      </c>
      <c r="E324" s="12"/>
      <c r="F324" s="12" t="s">
        <v>91</v>
      </c>
      <c r="G324" s="12"/>
      <c r="H324" s="12" t="str">
        <f>RIGHT(H323,LEN(H323)-11)</f>
        <v>Motorbike, electric, &lt;4kW</v>
      </c>
    </row>
    <row r="325" spans="1:8" x14ac:dyDescent="0.3">
      <c r="A325" s="12" t="str">
        <f>INDEX('ei names mapping'!$B$4:$R$33,MATCH(B297,'ei names mapping'!$A$4:$A$33,0),MATCH(G325,'ei names mapping'!$B$3:$R$3,0))</f>
        <v>road maintenance</v>
      </c>
      <c r="B325" s="16">
        <f>INDEX('vehicles specifications'!$B$3:$CK$86,MATCH(B300,'vehicles specifications'!$A$3:$A$86,0),MATCH(G325,'vehicles specifications'!$B$2:$CK$2,0))*INDEX('ei names mapping'!$B$137:$BK$220,MATCH(B300,'ei names mapping'!$A$137:$A$220,0),MATCH(G325,'ei names mapping'!$B$136:$BK$136,0))</f>
        <v>1.2899999999999999E-3</v>
      </c>
      <c r="C325" s="12" t="str">
        <f>INDEX('ei names mapping'!$B$38:$R$67,MATCH(B297,'ei names mapping'!$A$4:$A$33,0),MATCH(G325,'ei names mapping'!$B$3:$R$3,0))</f>
        <v>CH</v>
      </c>
      <c r="D325" s="12" t="str">
        <f>INDEX('ei names mapping'!$B$104:$BK$133,MATCH(B297,'ei names mapping'!$A$4:$A$33,0),MATCH(G325,'ei names mapping'!$B$3:$BK$3,0))</f>
        <v>meter-year</v>
      </c>
      <c r="E325" s="12"/>
      <c r="F325" s="12" t="s">
        <v>91</v>
      </c>
      <c r="G325" t="s">
        <v>117</v>
      </c>
      <c r="H325" s="12" t="str">
        <f>INDEX('ei names mapping'!$B$71:$BK$100,MATCH(B297,'ei names mapping'!$A$4:$A$33,0),MATCH(G325,'ei names mapping'!$B$3:$BK$3,0))</f>
        <v>road maintenance</v>
      </c>
    </row>
    <row r="326" spans="1:8" x14ac:dyDescent="0.3">
      <c r="A326" s="12" t="str">
        <f>INDEX('ei names mapping'!$B$4:$R$33,MATCH(B297,'ei names mapping'!$A$4:$A$33,0),MATCH(G326,'ei names mapping'!$B$3:$R$3,0))</f>
        <v>market for electricity, low voltage</v>
      </c>
      <c r="B326" s="14">
        <f>INDEX('vehicles specifications'!$B$3:$CK$86,MATCH(B300,'vehicles specifications'!$A$3:$A$86,0),MATCH(G326,'vehicles specifications'!$B$2:$CK$2,0))*INDEX('ei names mapping'!$B$137:$BK$220,MATCH(B300,'ei names mapping'!$A$137:$A$220,0),MATCH(G326,'ei names mapping'!$B$136:$BK$136,0))</f>
        <v>3.6972222222222226E-2</v>
      </c>
      <c r="C326" s="12" t="str">
        <f>INDEX('ei names mapping'!$B$38:$R$67,MATCH($B$3,'ei names mapping'!$A$4:$A$33,0),MATCH(G326,'ei names mapping'!$B$3:$R$3,0))</f>
        <v>CH</v>
      </c>
      <c r="D326" s="12" t="str">
        <f>INDEX('ei names mapping'!$B$104:$R$133,MATCH($B$3,'ei names mapping'!$A$4:$A$33,0),MATCH(G326,'ei names mapping'!$B$3:$R$3,0))</f>
        <v>kilowatt hour</v>
      </c>
      <c r="E326" s="12"/>
      <c r="F326" s="12" t="s">
        <v>91</v>
      </c>
      <c r="G326" t="s">
        <v>28</v>
      </c>
      <c r="H326" s="12" t="str">
        <f>INDEX('ei names mapping'!$B$71:$R$100,MATCH(B297,'ei names mapping'!$A$4:$A$33,0),MATCH(G326,'ei names mapping'!$B$3:$R$3,0))</f>
        <v>electricity, low voltage</v>
      </c>
    </row>
    <row r="327" spans="1:8" x14ac:dyDescent="0.3">
      <c r="A327" s="12" t="str">
        <f>INDEX('ei names mapping'!$B$4:$R$33,MATCH(B297,'ei names mapping'!$A$4:$A$33,0),MATCH(G327,'ei names mapping'!$B$3:$R$3,0))</f>
        <v>market for maintenance, electric scooter, without battery</v>
      </c>
      <c r="B327" s="16">
        <f>INDEX('vehicles specifications'!$B$3:$CK$86,MATCH(B300,'vehicles specifications'!$A$3:$A$86,0),MATCH(G327,'vehicles specifications'!$B$2:$CK$2,0))*INDEX('ei names mapping'!$B$137:$BK$220,MATCH(B300,'ei names mapping'!$A$137:$A$220,0),MATCH(G327,'ei names mapping'!$B$136:$BK$136,0))</f>
        <v>2.0000000000000002E-5</v>
      </c>
      <c r="C327" s="12" t="str">
        <f>INDEX('ei names mapping'!$B$38:$BK$67,MATCH(B297,'ei names mapping'!$A$4:$A$33,0),MATCH(G327,'ei names mapping'!$B$3:$BK$3,0))</f>
        <v>GLO</v>
      </c>
      <c r="D327" s="12" t="str">
        <f>INDEX('ei names mapping'!$B$104:$BK$133,MATCH(B297,'ei names mapping'!$A$4:$A$33,0),MATCH(G327,'ei names mapping'!$B$3:$BK$3,0))</f>
        <v>unit</v>
      </c>
      <c r="F327" s="12" t="s">
        <v>91</v>
      </c>
      <c r="G327" s="12" t="s">
        <v>123</v>
      </c>
      <c r="H327" s="12" t="str">
        <f>INDEX('ei names mapping'!$B$71:$BK$100,MATCH(B297,'ei names mapping'!$A$4:$A$33,0),MATCH(G327,'ei names mapping'!$B$3:$BK$3,0))</f>
        <v>maintenance, electric scooter, without battery</v>
      </c>
    </row>
    <row r="328" spans="1:8" s="21" customFormat="1" x14ac:dyDescent="0.3">
      <c r="A328" s="12" t="str">
        <f>INDEX('ei names mapping'!$B$4:$R$33,MATCH(B297,'ei names mapping'!$A$4:$A$33,0),MATCH(G328,'ei names mapping'!$B$3:$R$3,0))</f>
        <v>road construction</v>
      </c>
      <c r="B328" s="16">
        <f>INDEX('vehicles specifications'!$B$3:$CK$86,MATCH(B300,'vehicles specifications'!$A$3:$A$86,0),MATCH(G328,'vehicles specifications'!$B$2:$CK$2,0))*INDEX('ei names mapping'!$B$137:$BK$220,MATCH(B300,'ei names mapping'!$A$137:$A$220,0),MATCH(G328,'ei names mapping'!$B$136:$BK$136,0))</f>
        <v>8.5216530000000002E-5</v>
      </c>
      <c r="C328" s="12" t="str">
        <f>INDEX('ei names mapping'!$B$38:$R$67,MATCH(B297,'ei names mapping'!$A$4:$A$33,0),MATCH(G328,'ei names mapping'!$B$3:$R$3,0))</f>
        <v>CH</v>
      </c>
      <c r="D328" s="12" t="str">
        <f>INDEX('ei names mapping'!$B$104:$R$133,MATCH(B297,'ei names mapping'!$A$104:$A$133,0),MATCH(G328,'ei names mapping'!$B$3:$R$3,0))</f>
        <v>meter-year</v>
      </c>
      <c r="E328" s="12"/>
      <c r="F328" s="12" t="s">
        <v>91</v>
      </c>
      <c r="G328" s="21" t="s">
        <v>108</v>
      </c>
      <c r="H328" s="12" t="str">
        <f>INDEX('ei names mapping'!$B$71:$R$100,MATCH(B297,'ei names mapping'!$A$4:$A$33,0),MATCH(G328,'ei names mapping'!$B$3:$R$3,0))</f>
        <v>road</v>
      </c>
    </row>
    <row r="329" spans="1:8" x14ac:dyDescent="0.3">
      <c r="A329" s="12" t="str">
        <f>INDEX('ei names mapping'!$B$4:$BK$33,MATCH(B297,'ei names mapping'!$A$4:$A$33,0),MATCH(G329,'ei names mapping'!$B$3:$BK$3,0))</f>
        <v>treatment of road wear emissions, passenger car</v>
      </c>
      <c r="B329" s="16">
        <f>INDEX('vehicles specifications'!$B$3:$CK$86,MATCH(B300,'vehicles specifications'!$A$3:$A$86,0),MATCH(G329,'vehicles specifications'!$B$2:$CK$2,0))*INDEX('ei names mapping'!$B$137:$BK$220,MATCH(B300,'ei names mapping'!$A$137:$A$220,0),MATCH(G329,'ei names mapping'!$B$136:$BK$136,0))</f>
        <v>-6.0000000000000002E-6</v>
      </c>
      <c r="C329" s="12" t="str">
        <f>INDEX('ei names mapping'!$B$38:$BK$67,MATCH(B297,'ei names mapping'!$A$4:$A$33,0),MATCH(G329,'ei names mapping'!$B$3:$BK$3,0))</f>
        <v>RER</v>
      </c>
      <c r="D329" s="12" t="str">
        <f>INDEX('ei names mapping'!$B$104:$BK$133,MATCH(B297,'ei names mapping'!$A$4:$A$33,0),MATCH(G329,'ei names mapping'!$B$3:$BK$3,0))</f>
        <v>kilogram</v>
      </c>
      <c r="E329" s="12"/>
      <c r="F329" s="12" t="s">
        <v>91</v>
      </c>
      <c r="G329" t="s">
        <v>29</v>
      </c>
      <c r="H329" s="12" t="str">
        <f>INDEX('ei names mapping'!$B$71:$BK$100,MATCH(B297,'ei names mapping'!$A$4:$A$33,0),MATCH(G329,'ei names mapping'!$B$3:$BK$3,0))</f>
        <v>road wear emissions, passenger car</v>
      </c>
    </row>
    <row r="330" spans="1:8" x14ac:dyDescent="0.3">
      <c r="A330" s="12" t="str">
        <f>INDEX('ei names mapping'!$B$4:$BK$33,MATCH(B297,'ei names mapping'!$A$4:$A$33,0),MATCH(G330,'ei names mapping'!$B$3:$BK$3,0))</f>
        <v>treatment of tyre wear emissions, passenger car</v>
      </c>
      <c r="B330" s="16">
        <f>INDEX('vehicles specifications'!$B$3:$CK$86,MATCH(B300,'vehicles specifications'!$A$3:$A$86,0),MATCH(G330,'vehicles specifications'!$B$2:$CK$2,0))*INDEX('ei names mapping'!$B$137:$BK$220,MATCH(B300,'ei names mapping'!$A$137:$A$220,0),MATCH(G330,'ei names mapping'!$B$136:$BK$136,0))</f>
        <v>-7.3669999999999991E-6</v>
      </c>
      <c r="C330" s="12" t="str">
        <f>INDEX('ei names mapping'!$B$38:$BK$67,MATCH(B297,'ei names mapping'!$A$4:$A$33,0),MATCH(G330,'ei names mapping'!$B$3:$BK$3,0))</f>
        <v>RER</v>
      </c>
      <c r="D330" s="12" t="str">
        <f>INDEX('ei names mapping'!$B$104:$BK$133,MATCH(B297,'ei names mapping'!$A$4:$A$33,0),MATCH(G330,'ei names mapping'!$B$3:$BK$3,0))</f>
        <v>kilogram</v>
      </c>
      <c r="E330" s="12"/>
      <c r="F330" s="12" t="s">
        <v>91</v>
      </c>
      <c r="G330" t="s">
        <v>30</v>
      </c>
      <c r="H330" s="12" t="str">
        <f>INDEX('ei names mapping'!$B$71:$BK$100,MATCH(B297,'ei names mapping'!$A$4:$A$33,0),MATCH(G330,'ei names mapping'!$B$3:$BK$3,0))</f>
        <v>tyre wear emissions, passenger car</v>
      </c>
    </row>
    <row r="331" spans="1:8" x14ac:dyDescent="0.3">
      <c r="A331" s="12" t="str">
        <f>INDEX('ei names mapping'!$B$4:$BK$33,MATCH(B297,'ei names mapping'!$A$4:$A$33,0),MATCH(G331,'ei names mapping'!$B$3:$BK$3,0))</f>
        <v>treatment of brake wear emissions, passenger car</v>
      </c>
      <c r="B331" s="16">
        <f>INDEX('vehicles specifications'!$B$3:$CK$86,MATCH(B300,'vehicles specifications'!$A$3:$A$86,0),MATCH(G331,'vehicles specifications'!$B$2:$CK$2,0))*INDEX('ei names mapping'!$B$137:$BK$220,MATCH(B300,'ei names mapping'!$A$137:$A$220,0),MATCH(G331,'ei names mapping'!$B$136:$BK$136,0))</f>
        <v>-4.1749999999999998E-6</v>
      </c>
      <c r="C331" s="12" t="str">
        <f>INDEX('ei names mapping'!$B$38:$BK$67,MATCH(B297,'ei names mapping'!$A$4:$A$33,0),MATCH(G331,'ei names mapping'!$B$3:$BK$3,0))</f>
        <v>RER</v>
      </c>
      <c r="D331" s="12" t="str">
        <f>INDEX('ei names mapping'!$B$104:$BK$133,MATCH(B297,'ei names mapping'!$A$4:$A$33,0),MATCH(G331,'ei names mapping'!$B$3:$BK$3,0))</f>
        <v>kilogram</v>
      </c>
      <c r="E331" s="12"/>
      <c r="F331" s="12" t="s">
        <v>91</v>
      </c>
      <c r="G331" t="s">
        <v>31</v>
      </c>
      <c r="H331" s="12" t="str">
        <f>INDEX('ei names mapping'!$B$71:$BK$100,MATCH(B297,'ei names mapping'!$A$4:$A$33,0),MATCH(G331,'ei names mapping'!$B$3:$BK$3,0))</f>
        <v>brake wear emissions, passenger car</v>
      </c>
    </row>
    <row r="333" spans="1:8" ht="15.6" x14ac:dyDescent="0.3">
      <c r="A333" s="11" t="s">
        <v>72</v>
      </c>
      <c r="B333" s="9" t="str">
        <f>"transport, "&amp;B335&amp;", "&amp;B337&amp;", label-certified electricity"</f>
        <v>transport, Motorbike, electric, &lt;4kW, 2020, label-certified electricity</v>
      </c>
    </row>
    <row r="334" spans="1:8" x14ac:dyDescent="0.3">
      <c r="A334" t="s">
        <v>73</v>
      </c>
      <c r="B334" t="s">
        <v>37</v>
      </c>
    </row>
    <row r="335" spans="1:8" x14ac:dyDescent="0.3">
      <c r="A335" t="s">
        <v>87</v>
      </c>
      <c r="B335" s="21" t="s">
        <v>520</v>
      </c>
    </row>
    <row r="336" spans="1:8" x14ac:dyDescent="0.3">
      <c r="A336" t="s">
        <v>88</v>
      </c>
      <c r="B336" s="12"/>
    </row>
    <row r="337" spans="1:2" x14ac:dyDescent="0.3">
      <c r="A337" t="s">
        <v>89</v>
      </c>
      <c r="B337" s="12">
        <v>2020</v>
      </c>
    </row>
    <row r="338" spans="1:2" x14ac:dyDescent="0.3">
      <c r="A338" t="s">
        <v>131</v>
      </c>
      <c r="B338" s="12" t="str">
        <f>B335&amp;" - "&amp;B337&amp;" - "&amp;B334</f>
        <v>Motorbike, electric, &lt;4kW - 2020 - CH</v>
      </c>
    </row>
    <row r="339" spans="1:2" x14ac:dyDescent="0.3">
      <c r="A339" t="s">
        <v>74</v>
      </c>
      <c r="B339" s="12" t="str">
        <f>"transport, "&amp;B335</f>
        <v>transport, Motorbike, electric, &lt;4kW</v>
      </c>
    </row>
    <row r="340" spans="1:2" x14ac:dyDescent="0.3">
      <c r="A340" t="s">
        <v>75</v>
      </c>
      <c r="B340" t="s">
        <v>76</v>
      </c>
    </row>
    <row r="341" spans="1:2" x14ac:dyDescent="0.3">
      <c r="A341" t="s">
        <v>77</v>
      </c>
      <c r="B341" t="s">
        <v>172</v>
      </c>
    </row>
    <row r="342" spans="1:2" x14ac:dyDescent="0.3">
      <c r="A342" t="s">
        <v>79</v>
      </c>
      <c r="B342" t="s">
        <v>90</v>
      </c>
    </row>
    <row r="343" spans="1:2" x14ac:dyDescent="0.3">
      <c r="A343" t="s">
        <v>132</v>
      </c>
      <c r="B343">
        <f>INDEX('vehicles specifications'!$B$3:$CK$86,MATCH(B338,'vehicles specifications'!$A$3:$A$86,0),MATCH("Lifetime [km]",'vehicles specifications'!$B$2:$CK$2,0))</f>
        <v>33400</v>
      </c>
    </row>
    <row r="344" spans="1:2" x14ac:dyDescent="0.3">
      <c r="A344" t="s">
        <v>133</v>
      </c>
      <c r="B344">
        <f>INDEX('vehicles specifications'!$B$3:$CK$86,MATCH(B338,'vehicles specifications'!$A$3:$A$86,0),MATCH("Passengers [unit]",'vehicles specifications'!$B$2:$CK$2,0))</f>
        <v>1.1000000000000001</v>
      </c>
    </row>
    <row r="345" spans="1:2" x14ac:dyDescent="0.3">
      <c r="A345" t="s">
        <v>134</v>
      </c>
      <c r="B345">
        <f>INDEX('vehicles specifications'!$B$3:$CK$86,MATCH(B338,'vehicles specifications'!$A$3:$A$86,0),MATCH("Servicing [unit]",'vehicles specifications'!$B$2:$CK$2,0))</f>
        <v>0.66800000000000004</v>
      </c>
    </row>
    <row r="346" spans="1:2" x14ac:dyDescent="0.3">
      <c r="A346" t="s">
        <v>135</v>
      </c>
      <c r="B346">
        <f>INDEX('vehicles specifications'!$B$3:$CK$86,MATCH(B338,'vehicles specifications'!$A$3:$A$86,0),MATCH("Energy battery replacement [unit]",'vehicles specifications'!$B$2:$CK$2,0))</f>
        <v>1</v>
      </c>
    </row>
    <row r="347" spans="1:2" x14ac:dyDescent="0.3">
      <c r="A347" t="s">
        <v>136</v>
      </c>
      <c r="B347">
        <f>INDEX('vehicles specifications'!$B$3:$CK$86,MATCH(B338,'vehicles specifications'!$A$3:$A$86,0),MATCH("Annual kilometers [km]",'vehicles specifications'!$B$2:$CK$2,0))</f>
        <v>2553</v>
      </c>
    </row>
    <row r="348" spans="1:2" x14ac:dyDescent="0.3">
      <c r="A348" t="s">
        <v>137</v>
      </c>
      <c r="B348" s="2">
        <f>INDEX('vehicles specifications'!$B$3:$CK$86,MATCH(B338,'vehicles specifications'!$A$3:$A$86,0),MATCH("Curb mass [kg]",'vehicles specifications'!$B$2:$CK$2,0))</f>
        <v>75.8</v>
      </c>
    </row>
    <row r="349" spans="1:2" x14ac:dyDescent="0.3">
      <c r="A349" t="s">
        <v>138</v>
      </c>
      <c r="B349">
        <f>INDEX('vehicles specifications'!$B$3:$CK$86,MATCH(B338,'vehicles specifications'!$A$3:$A$86,0),MATCH("Power [kW]",'vehicles specifications'!$B$2:$CK$2,0))</f>
        <v>2.5</v>
      </c>
    </row>
    <row r="350" spans="1:2" x14ac:dyDescent="0.3">
      <c r="A350" t="s">
        <v>139</v>
      </c>
      <c r="B350">
        <f>INDEX('vehicles specifications'!$B$3:$CK$86,MATCH(B338,'vehicles specifications'!$A$3:$A$86,0),MATCH("Energy battery mass [kg]",'vehicles specifications'!$B$2:$CK$2,0))</f>
        <v>10.8</v>
      </c>
    </row>
    <row r="351" spans="1:2" x14ac:dyDescent="0.3">
      <c r="A351" t="s">
        <v>140</v>
      </c>
      <c r="B351" s="21">
        <f>INDEX('vehicles specifications'!$B$3:$CK$86,MATCH(B338,'vehicles specifications'!$A$3:$A$86,0),MATCH("Electric energy stored [kWh]",'vehicles specifications'!$B$2:$CK$2,0))</f>
        <v>1.8</v>
      </c>
    </row>
    <row r="352" spans="1:2" s="21" customFormat="1" x14ac:dyDescent="0.3">
      <c r="A352" s="21" t="s">
        <v>654</v>
      </c>
      <c r="B352" s="21">
        <f>INDEX('vehicles specifications'!$B$3:$CK$86,MATCH(B338,'vehicles specifications'!$A$3:$A$86,0),MATCH("Electric energy available [kWh]",'vehicles specifications'!$B$2:$CK$2,0))</f>
        <v>1.4400000000000002</v>
      </c>
    </row>
    <row r="353" spans="1:8" x14ac:dyDescent="0.3">
      <c r="A353" t="s">
        <v>143</v>
      </c>
      <c r="B353" s="2">
        <f>INDEX('vehicles specifications'!$B$3:$CK$86,MATCH(B338,'vehicles specifications'!$A$3:$A$86,0),MATCH("Oxydation energy stored [kWh]",'vehicles specifications'!$B$2:$CK$2,0))</f>
        <v>0</v>
      </c>
    </row>
    <row r="354" spans="1:8" x14ac:dyDescent="0.3">
      <c r="A354" t="s">
        <v>145</v>
      </c>
      <c r="B354">
        <f>INDEX('vehicles specifications'!$B$3:$CK$86,MATCH(B338,'vehicles specifications'!$A$3:$A$86,0),MATCH("Fuel mass [kg]",'vehicles specifications'!$B$2:$CK$2,0))</f>
        <v>0</v>
      </c>
    </row>
    <row r="355" spans="1:8" x14ac:dyDescent="0.3">
      <c r="A355" t="s">
        <v>141</v>
      </c>
      <c r="B355" s="2">
        <f>INDEX('vehicles specifications'!$B$3:$CK$86,MATCH(B338,'vehicles specifications'!$A$3:$A$86,0),MATCH("Range [km]",'vehicles specifications'!$B$2:$CK$2,0))</f>
        <v>42.842975206611577</v>
      </c>
    </row>
    <row r="356" spans="1:8" x14ac:dyDescent="0.3">
      <c r="A356" t="s">
        <v>142</v>
      </c>
      <c r="B356" t="str">
        <f>INDEX('vehicles specifications'!$B$3:$CK$86,MATCH(B338,'vehicles specifications'!$A$3:$A$86,0),MATCH("Emission standard",'vehicles specifications'!$B$2:$CK$2,0))</f>
        <v>None</v>
      </c>
    </row>
    <row r="357" spans="1:8" x14ac:dyDescent="0.3">
      <c r="A357" t="s">
        <v>144</v>
      </c>
      <c r="B357" s="6">
        <f>INDEX('vehicles specifications'!$B$3:$CK$86,MATCH(B338,'vehicles specifications'!$A$3:$A$86,0),MATCH("Lightweighting rate [%]",'vehicles specifications'!$B$2:$CK$2,0))</f>
        <v>0</v>
      </c>
    </row>
    <row r="358" spans="1:8" x14ac:dyDescent="0.3">
      <c r="A358" t="s">
        <v>84</v>
      </c>
      <c r="B358" s="21" t="str">
        <f>"Power: "&amp;B349&amp;" kW. Lifetime: "&amp;B343&amp;" km. Annual kilometers: "&amp;B347&amp;" km. Number of passengers: "&amp;B344&amp;". Curb mass: "&amp;ROUND(B348,1)&amp;" kg. Lightweighting of glider: "&amp;ROUND(B357*100,0)&amp;"%. Emission standard: "&amp;B356&amp;". Service visits throughout lifetime: "&amp;ROUND(B345,1)&amp;". Range: "&amp;ROUND(B355,0)&amp;" km. Battery capacity: "&amp;ROUND(B351,1)&amp;" kWh. Available battery capacity: "&amp;B352&amp;" kWh. Battery mass: "&amp;ROUND(B350,1)&amp; " kg. Battery replacement throughout lifetime: "&amp;ROUND(B346,1)&amp;". Fuel tank capacity: "&amp;ROUND(B353,1)&amp;" kWh. Fuel mass: "&amp;ROUND(B354,1)&amp;" kg. Documentation: "&amp;Readmefirst!$B$2&amp;", "&amp;Readmefirst!$B$3&amp;". "&amp;'lci-kick scooter'!B297</f>
        <v>Power: 2.5 kW. Lifetime: 33400 km. Annual kilometers: 2553 km. Number of passengers: 1.1. Curb mass: 75.8 kg. Lightweighting of glider: 0%. Emission standard: None. Service visits throughout lifetime: 0.7. Range: 43 km. Battery capacity: 1.8 kWh. Available battery capacity: 1.44 kWh. Battery mass: 10.8 kg. Battery replacement throughout lifetime: 1. Fuel tank capacity: 0 kWh. Fuel mass: 0 kg. Documentation: 2021 UVEK life-cycle inventories update of on-road vehicles, Sacchi R. (PSI), Bauer C. (PSI), 2021. 1</v>
      </c>
    </row>
    <row r="359" spans="1:8" ht="15.6" x14ac:dyDescent="0.3">
      <c r="A359" s="11" t="s">
        <v>80</v>
      </c>
    </row>
    <row r="360" spans="1:8" x14ac:dyDescent="0.3">
      <c r="A360" t="s">
        <v>81</v>
      </c>
      <c r="B360" t="s">
        <v>82</v>
      </c>
      <c r="C360" t="s">
        <v>73</v>
      </c>
      <c r="D360" t="s">
        <v>77</v>
      </c>
      <c r="E360" t="s">
        <v>83</v>
      </c>
      <c r="F360" t="s">
        <v>75</v>
      </c>
      <c r="G360" t="s">
        <v>84</v>
      </c>
      <c r="H360" t="s">
        <v>74</v>
      </c>
    </row>
    <row r="361" spans="1:8" x14ac:dyDescent="0.3">
      <c r="A361" s="12" t="str">
        <f>B333</f>
        <v>transport, Motorbike, electric, &lt;4kW, 2020, label-certified electricity</v>
      </c>
      <c r="B361" s="12">
        <v>1</v>
      </c>
      <c r="C361" s="12" t="str">
        <f>B334</f>
        <v>CH</v>
      </c>
      <c r="D361" s="12" t="s">
        <v>172</v>
      </c>
      <c r="E361" s="12"/>
      <c r="F361" s="12" t="s">
        <v>85</v>
      </c>
      <c r="G361" s="12" t="s">
        <v>86</v>
      </c>
      <c r="H361" s="12" t="str">
        <f>B339</f>
        <v>transport, Motorbike, electric, &lt;4kW</v>
      </c>
    </row>
    <row r="362" spans="1:8" x14ac:dyDescent="0.3">
      <c r="A362" s="12" t="str">
        <f>B335&amp;", "&amp;B337</f>
        <v>Motorbike, electric, &lt;4kW, 2020</v>
      </c>
      <c r="B362" s="15">
        <f>1/B343</f>
        <v>2.9940119760479042E-5</v>
      </c>
      <c r="C362" s="12" t="str">
        <f>B334</f>
        <v>CH</v>
      </c>
      <c r="D362" s="12" t="s">
        <v>77</v>
      </c>
      <c r="E362" s="12"/>
      <c r="F362" s="12" t="s">
        <v>91</v>
      </c>
      <c r="G362" s="12"/>
      <c r="H362" s="12" t="str">
        <f>RIGHT(H361,LEN(H361)-11)</f>
        <v>Motorbike, electric, &lt;4kW</v>
      </c>
    </row>
    <row r="363" spans="1:8" x14ac:dyDescent="0.3">
      <c r="A363" s="12" t="str">
        <f>INDEX('ei names mapping'!$B$4:$R$33,MATCH(B335,'ei names mapping'!$A$4:$A$33,0),MATCH(G363,'ei names mapping'!$B$3:$R$3,0))</f>
        <v>road maintenance</v>
      </c>
      <c r="B363" s="16">
        <f>INDEX('vehicles specifications'!$B$3:$CK$86,MATCH(B338,'vehicles specifications'!$A$3:$A$86,0),MATCH(G363,'vehicles specifications'!$B$2:$CK$2,0))*INDEX('ei names mapping'!$B$137:$BK$220,MATCH(B338,'ei names mapping'!$A$137:$A$220,0),MATCH(G363,'ei names mapping'!$B$136:$BK$136,0))</f>
        <v>1.2899999999999999E-3</v>
      </c>
      <c r="C363" s="12" t="str">
        <f>INDEX('ei names mapping'!$B$38:$R$67,MATCH(B335,'ei names mapping'!$A$4:$A$33,0),MATCH(G363,'ei names mapping'!$B$3:$R$3,0))</f>
        <v>CH</v>
      </c>
      <c r="D363" s="12" t="str">
        <f>INDEX('ei names mapping'!$B$104:$BK$133,MATCH(B335,'ei names mapping'!$A$4:$A$33,0),MATCH(G363,'ei names mapping'!$B$3:$BK$3,0))</f>
        <v>meter-year</v>
      </c>
      <c r="E363" s="12"/>
      <c r="F363" s="12" t="s">
        <v>91</v>
      </c>
      <c r="G363" t="s">
        <v>117</v>
      </c>
      <c r="H363" s="12" t="str">
        <f>INDEX('ei names mapping'!$B$71:$BK$100,MATCH(B335,'ei names mapping'!$A$4:$A$33,0),MATCH(G363,'ei names mapping'!$B$3:$BK$3,0))</f>
        <v>road maintenance</v>
      </c>
    </row>
    <row r="364" spans="1:8" x14ac:dyDescent="0.3">
      <c r="A364" s="12" t="s">
        <v>114</v>
      </c>
      <c r="B364" s="14">
        <f>INDEX('vehicles specifications'!$B$3:$CK$86,MATCH(B338,'vehicles specifications'!$A$3:$A$86,0),MATCH(G364,'vehicles specifications'!$B$2:$CK$2,0))*INDEX('ei names mapping'!$B$137:$BK$220,MATCH(B338,'ei names mapping'!$A$137:$A$220,0),MATCH(G364,'ei names mapping'!$B$136:$BK$136,0))</f>
        <v>3.6972222222222226E-2</v>
      </c>
      <c r="C364" s="12" t="str">
        <f>INDEX('ei names mapping'!$B$38:$R$67,MATCH($B$3,'ei names mapping'!$A$4:$A$33,0),MATCH(G364,'ei names mapping'!$B$3:$R$3,0))</f>
        <v>CH</v>
      </c>
      <c r="D364" s="12" t="str">
        <f>INDEX('ei names mapping'!$B$104:$R$133,MATCH($B$335,'ei names mapping'!$A$4:$A$33,0),MATCH(G364,'ei names mapping'!$B$3:$R$3,0))</f>
        <v>kilowatt hour</v>
      </c>
      <c r="E364" s="12"/>
      <c r="F364" s="12" t="s">
        <v>91</v>
      </c>
      <c r="G364" t="s">
        <v>28</v>
      </c>
      <c r="H364" s="12" t="s">
        <v>116</v>
      </c>
    </row>
    <row r="365" spans="1:8" x14ac:dyDescent="0.3">
      <c r="A365" s="12" t="str">
        <f>INDEX('ei names mapping'!$B$4:$R$33,MATCH(B335,'ei names mapping'!$A$4:$A$33,0),MATCH(G365,'ei names mapping'!$B$3:$R$3,0))</f>
        <v>market for maintenance, electric scooter, without battery</v>
      </c>
      <c r="B365" s="16">
        <f>INDEX('vehicles specifications'!$B$3:$CK$86,MATCH(B338,'vehicles specifications'!$A$3:$A$86,0),MATCH(G365,'vehicles specifications'!$B$2:$CK$2,0))*INDEX('ei names mapping'!$B$137:$BK$220,MATCH(B338,'ei names mapping'!$A$137:$A$220,0),MATCH(G365,'ei names mapping'!$B$136:$BK$136,0))</f>
        <v>2.0000000000000002E-5</v>
      </c>
      <c r="C365" s="12" t="str">
        <f>INDEX('ei names mapping'!$B$38:$BK$67,MATCH(B335,'ei names mapping'!$A$4:$A$33,0),MATCH(G365,'ei names mapping'!$B$3:$BK$3,0))</f>
        <v>GLO</v>
      </c>
      <c r="D365" s="12" t="str">
        <f>INDEX('ei names mapping'!$B$104:$BK$133,MATCH(B335,'ei names mapping'!$A$4:$A$33,0),MATCH(G365,'ei names mapping'!$B$3:$BK$3,0))</f>
        <v>unit</v>
      </c>
      <c r="F365" s="12" t="s">
        <v>91</v>
      </c>
      <c r="G365" s="12" t="s">
        <v>123</v>
      </c>
      <c r="H365" s="12" t="str">
        <f>INDEX('ei names mapping'!$B$71:$BK$100,MATCH(B335,'ei names mapping'!$A$4:$A$33,0),MATCH(G365,'ei names mapping'!$B$3:$BK$3,0))</f>
        <v>maintenance, electric scooter, without battery</v>
      </c>
    </row>
    <row r="366" spans="1:8" s="21" customFormat="1" x14ac:dyDescent="0.3">
      <c r="A366" s="12" t="str">
        <f>INDEX('ei names mapping'!$B$4:$R$33,MATCH(B335,'ei names mapping'!$A$4:$A$33,0),MATCH(G366,'ei names mapping'!$B$3:$R$3,0))</f>
        <v>road construction</v>
      </c>
      <c r="B366" s="16">
        <f>INDEX('vehicles specifications'!$B$3:$CK$86,MATCH(B338,'vehicles specifications'!$A$3:$A$86,0),MATCH(G366,'vehicles specifications'!$B$2:$CK$2,0))*INDEX('ei names mapping'!$B$137:$BK$220,MATCH(B338,'ei names mapping'!$A$137:$A$220,0),MATCH(G366,'ei names mapping'!$B$136:$BK$136,0))</f>
        <v>8.5275600000000001E-5</v>
      </c>
      <c r="C366" s="12" t="str">
        <f>INDEX('ei names mapping'!$B$38:$R$67,MATCH(B335,'ei names mapping'!$A$4:$A$33,0),MATCH(G366,'ei names mapping'!$B$3:$R$3,0))</f>
        <v>CH</v>
      </c>
      <c r="D366" s="12" t="str">
        <f>INDEX('ei names mapping'!$B$104:$R$133,MATCH(B335,'ei names mapping'!$A$104:$A$133,0),MATCH(G366,'ei names mapping'!$B$3:$R$3,0))</f>
        <v>meter-year</v>
      </c>
      <c r="E366" s="12"/>
      <c r="F366" s="12" t="s">
        <v>91</v>
      </c>
      <c r="G366" s="21" t="s">
        <v>108</v>
      </c>
      <c r="H366" s="12" t="str">
        <f>INDEX('ei names mapping'!$B$71:$R$100,MATCH(B335,'ei names mapping'!$A$4:$A$33,0),MATCH(G366,'ei names mapping'!$B$3:$R$3,0))</f>
        <v>road</v>
      </c>
    </row>
    <row r="367" spans="1:8" x14ac:dyDescent="0.3">
      <c r="A367" s="12" t="str">
        <f>INDEX('ei names mapping'!$B$4:$BK$33,MATCH(B335,'ei names mapping'!$A$4:$A$33,0),MATCH(G367,'ei names mapping'!$B$3:$BK$3,0))</f>
        <v>treatment of road wear emissions, passenger car</v>
      </c>
      <c r="B367" s="16">
        <f>INDEX('vehicles specifications'!$B$3:$CK$86,MATCH(B338,'vehicles specifications'!$A$3:$A$86,0),MATCH(G367,'vehicles specifications'!$B$2:$CK$2,0))*INDEX('ei names mapping'!$B$137:$BK$220,MATCH(B338,'ei names mapping'!$A$137:$A$220,0),MATCH(G367,'ei names mapping'!$B$136:$BK$136,0))</f>
        <v>-6.0000000000000002E-6</v>
      </c>
      <c r="C367" s="12" t="str">
        <f>INDEX('ei names mapping'!$B$38:$BK$67,MATCH(B335,'ei names mapping'!$A$4:$A$33,0),MATCH(G367,'ei names mapping'!$B$3:$BK$3,0))</f>
        <v>RER</v>
      </c>
      <c r="D367" s="12" t="str">
        <f>INDEX('ei names mapping'!$B$104:$BK$133,MATCH(B335,'ei names mapping'!$A$4:$A$33,0),MATCH(G367,'ei names mapping'!$B$3:$BK$3,0))</f>
        <v>kilogram</v>
      </c>
      <c r="E367" s="12"/>
      <c r="F367" s="12" t="s">
        <v>91</v>
      </c>
      <c r="G367" t="s">
        <v>29</v>
      </c>
      <c r="H367" s="12" t="str">
        <f>INDEX('ei names mapping'!$B$71:$BK$100,MATCH(B335,'ei names mapping'!$A$4:$A$33,0),MATCH(G367,'ei names mapping'!$B$3:$BK$3,0))</f>
        <v>road wear emissions, passenger car</v>
      </c>
    </row>
    <row r="368" spans="1:8" x14ac:dyDescent="0.3">
      <c r="A368" s="12" t="str">
        <f>INDEX('ei names mapping'!$B$4:$BK$33,MATCH(B335,'ei names mapping'!$A$4:$A$33,0),MATCH(G368,'ei names mapping'!$B$3:$BK$3,0))</f>
        <v>treatment of tyre wear emissions, passenger car</v>
      </c>
      <c r="B368" s="16">
        <f>INDEX('vehicles specifications'!$B$3:$CK$86,MATCH(B338,'vehicles specifications'!$A$3:$A$86,0),MATCH(G368,'vehicles specifications'!$B$2:$CK$2,0))*INDEX('ei names mapping'!$B$137:$BK$220,MATCH(B338,'ei names mapping'!$A$137:$A$220,0),MATCH(G368,'ei names mapping'!$B$136:$BK$136,0))</f>
        <v>-7.3669999999999991E-6</v>
      </c>
      <c r="C368" s="12" t="str">
        <f>INDEX('ei names mapping'!$B$38:$BK$67,MATCH(B335,'ei names mapping'!$A$4:$A$33,0),MATCH(G368,'ei names mapping'!$B$3:$BK$3,0))</f>
        <v>RER</v>
      </c>
      <c r="D368" s="12" t="str">
        <f>INDEX('ei names mapping'!$B$104:$BK$133,MATCH(B335,'ei names mapping'!$A$4:$A$33,0),MATCH(G368,'ei names mapping'!$B$3:$BK$3,0))</f>
        <v>kilogram</v>
      </c>
      <c r="E368" s="12"/>
      <c r="F368" s="12" t="s">
        <v>91</v>
      </c>
      <c r="G368" t="s">
        <v>30</v>
      </c>
      <c r="H368" s="12" t="str">
        <f>INDEX('ei names mapping'!$B$71:$BK$100,MATCH(B335,'ei names mapping'!$A$4:$A$33,0),MATCH(G368,'ei names mapping'!$B$3:$BK$3,0))</f>
        <v>tyre wear emissions, passenger car</v>
      </c>
    </row>
    <row r="369" spans="1:8" x14ac:dyDescent="0.3">
      <c r="A369" s="12" t="str">
        <f>INDEX('ei names mapping'!$B$4:$BK$33,MATCH(B335,'ei names mapping'!$A$4:$A$33,0),MATCH(G369,'ei names mapping'!$B$3:$BK$3,0))</f>
        <v>treatment of brake wear emissions, passenger car</v>
      </c>
      <c r="B369" s="16">
        <f>INDEX('vehicles specifications'!$B$3:$CK$86,MATCH(B338,'vehicles specifications'!$A$3:$A$86,0),MATCH(G369,'vehicles specifications'!$B$2:$CK$2,0))*INDEX('ei names mapping'!$B$137:$BK$220,MATCH(B338,'ei names mapping'!$A$137:$A$220,0),MATCH(G369,'ei names mapping'!$B$136:$BK$136,0))</f>
        <v>-4.1749999999999998E-6</v>
      </c>
      <c r="C369" s="12" t="str">
        <f>INDEX('ei names mapping'!$B$38:$BK$67,MATCH(B335,'ei names mapping'!$A$4:$A$33,0),MATCH(G369,'ei names mapping'!$B$3:$BK$3,0))</f>
        <v>RER</v>
      </c>
      <c r="D369" s="12" t="str">
        <f>INDEX('ei names mapping'!$B$104:$BK$133,MATCH(B335,'ei names mapping'!$A$4:$A$33,0),MATCH(G369,'ei names mapping'!$B$3:$BK$3,0))</f>
        <v>kilogram</v>
      </c>
      <c r="E369" s="12"/>
      <c r="F369" s="12" t="s">
        <v>91</v>
      </c>
      <c r="G369" t="s">
        <v>31</v>
      </c>
      <c r="H369" s="12" t="str">
        <f>INDEX('ei names mapping'!$B$71:$BK$100,MATCH(B335,'ei names mapping'!$A$4:$A$33,0),MATCH(G369,'ei names mapping'!$B$3:$BK$3,0))</f>
        <v>brake wear emissions, passenger car</v>
      </c>
    </row>
    <row r="370" spans="1:8" x14ac:dyDescent="0.3">
      <c r="B370" s="6"/>
    </row>
    <row r="371" spans="1:8" ht="15.6" x14ac:dyDescent="0.3">
      <c r="A371" s="11" t="s">
        <v>72</v>
      </c>
      <c r="B371" s="9" t="str">
        <f>"transport, "&amp;B373&amp;", "&amp;B375&amp;", label-certified electricity"</f>
        <v>transport, Motorbike, electric, &lt;4kW, 2030, label-certified electricity</v>
      </c>
    </row>
    <row r="372" spans="1:8" x14ac:dyDescent="0.3">
      <c r="A372" t="s">
        <v>73</v>
      </c>
      <c r="B372" t="s">
        <v>37</v>
      </c>
    </row>
    <row r="373" spans="1:8" x14ac:dyDescent="0.3">
      <c r="A373" t="s">
        <v>87</v>
      </c>
      <c r="B373" s="21" t="s">
        <v>520</v>
      </c>
    </row>
    <row r="374" spans="1:8" x14ac:dyDescent="0.3">
      <c r="A374" t="s">
        <v>88</v>
      </c>
      <c r="B374" s="12"/>
    </row>
    <row r="375" spans="1:8" x14ac:dyDescent="0.3">
      <c r="A375" t="s">
        <v>89</v>
      </c>
      <c r="B375" s="12">
        <v>2030</v>
      </c>
    </row>
    <row r="376" spans="1:8" x14ac:dyDescent="0.3">
      <c r="A376" t="s">
        <v>131</v>
      </c>
      <c r="B376" s="12" t="str">
        <f>B373&amp;" - "&amp;B375&amp;" - "&amp;B372</f>
        <v>Motorbike, electric, &lt;4kW - 2030 - CH</v>
      </c>
    </row>
    <row r="377" spans="1:8" x14ac:dyDescent="0.3">
      <c r="A377" t="s">
        <v>74</v>
      </c>
      <c r="B377" s="12" t="str">
        <f>"transport, "&amp;B373</f>
        <v>transport, Motorbike, electric, &lt;4kW</v>
      </c>
    </row>
    <row r="378" spans="1:8" x14ac:dyDescent="0.3">
      <c r="A378" t="s">
        <v>75</v>
      </c>
      <c r="B378" t="s">
        <v>76</v>
      </c>
    </row>
    <row r="379" spans="1:8" x14ac:dyDescent="0.3">
      <c r="A379" t="s">
        <v>77</v>
      </c>
      <c r="B379" t="s">
        <v>172</v>
      </c>
    </row>
    <row r="380" spans="1:8" x14ac:dyDescent="0.3">
      <c r="A380" t="s">
        <v>79</v>
      </c>
      <c r="B380" t="s">
        <v>90</v>
      </c>
    </row>
    <row r="381" spans="1:8" x14ac:dyDescent="0.3">
      <c r="A381" t="s">
        <v>132</v>
      </c>
      <c r="B381">
        <f>INDEX('vehicles specifications'!$B$3:$CK$86,MATCH(B376,'vehicles specifications'!$A$3:$A$86,0),MATCH("Lifetime [km]",'vehicles specifications'!$B$2:$CK$2,0))</f>
        <v>33400</v>
      </c>
    </row>
    <row r="382" spans="1:8" x14ac:dyDescent="0.3">
      <c r="A382" t="s">
        <v>133</v>
      </c>
      <c r="B382">
        <f>INDEX('vehicles specifications'!$B$3:$CK$86,MATCH(B376,'vehicles specifications'!$A$3:$A$86,0),MATCH("Passengers [unit]",'vehicles specifications'!$B$2:$CK$2,0))</f>
        <v>1.1000000000000001</v>
      </c>
    </row>
    <row r="383" spans="1:8" x14ac:dyDescent="0.3">
      <c r="A383" t="s">
        <v>134</v>
      </c>
      <c r="B383">
        <f>INDEX('vehicles specifications'!$B$3:$CK$86,MATCH(B376,'vehicles specifications'!$A$3:$A$86,0),MATCH("Servicing [unit]",'vehicles specifications'!$B$2:$CK$2,0))</f>
        <v>0.66800000000000004</v>
      </c>
    </row>
    <row r="384" spans="1:8" x14ac:dyDescent="0.3">
      <c r="A384" t="s">
        <v>135</v>
      </c>
      <c r="B384">
        <f>INDEX('vehicles specifications'!$B$3:$CK$86,MATCH(B376,'vehicles specifications'!$A$3:$A$86,0),MATCH("Energy battery replacement [unit]",'vehicles specifications'!$B$2:$CK$2,0))</f>
        <v>0.5</v>
      </c>
    </row>
    <row r="385" spans="1:8" x14ac:dyDescent="0.3">
      <c r="A385" t="s">
        <v>136</v>
      </c>
      <c r="B385">
        <f>INDEX('vehicles specifications'!$B$3:$CK$86,MATCH(B376,'vehicles specifications'!$A$3:$A$86,0),MATCH("Annual kilometers [km]",'vehicles specifications'!$B$2:$CK$2,0))</f>
        <v>2553</v>
      </c>
    </row>
    <row r="386" spans="1:8" x14ac:dyDescent="0.3">
      <c r="A386" t="s">
        <v>137</v>
      </c>
      <c r="B386" s="2">
        <f>INDEX('vehicles specifications'!$B$3:$CK$86,MATCH(B376,'vehicles specifications'!$A$3:$A$86,0),MATCH("Curb mass [kg]",'vehicles specifications'!$B$2:$CK$2,0))</f>
        <v>76.209999999999994</v>
      </c>
    </row>
    <row r="387" spans="1:8" x14ac:dyDescent="0.3">
      <c r="A387" t="s">
        <v>138</v>
      </c>
      <c r="B387">
        <f>INDEX('vehicles specifications'!$B$3:$CK$86,MATCH(B376,'vehicles specifications'!$A$3:$A$86,0),MATCH("Power [kW]",'vehicles specifications'!$B$2:$CK$2,0))</f>
        <v>2.5</v>
      </c>
    </row>
    <row r="388" spans="1:8" x14ac:dyDescent="0.3">
      <c r="A388" t="s">
        <v>139</v>
      </c>
      <c r="B388">
        <f>INDEX('vehicles specifications'!$B$3:$CK$86,MATCH(B376,'vehicles specifications'!$A$3:$A$86,0),MATCH("Energy battery mass [kg]",'vehicles specifications'!$B$2:$CK$2,0))</f>
        <v>12.8</v>
      </c>
    </row>
    <row r="389" spans="1:8" x14ac:dyDescent="0.3">
      <c r="A389" t="s">
        <v>140</v>
      </c>
      <c r="B389" s="21">
        <f>INDEX('vehicles specifications'!$B$3:$CK$86,MATCH(B376,'vehicles specifications'!$A$3:$A$86,0),MATCH("Electric energy stored [kWh]",'vehicles specifications'!$B$2:$CK$2,0))</f>
        <v>3.2</v>
      </c>
    </row>
    <row r="390" spans="1:8" s="21" customFormat="1" x14ac:dyDescent="0.3">
      <c r="A390" s="21" t="s">
        <v>654</v>
      </c>
      <c r="B390" s="21">
        <f>INDEX('vehicles specifications'!$B$3:$CK$86,MATCH(B376,'vehicles specifications'!$A$3:$A$86,0),MATCH("Electric energy available [kWh]",'vehicles specifications'!$B$2:$CK$2,0))</f>
        <v>2.5600000000000005</v>
      </c>
    </row>
    <row r="391" spans="1:8" x14ac:dyDescent="0.3">
      <c r="A391" t="s">
        <v>143</v>
      </c>
      <c r="B391" s="2">
        <f>INDEX('vehicles specifications'!$B$3:$CK$86,MATCH(B376,'vehicles specifications'!$A$3:$A$86,0),MATCH("Oxydation energy stored [kWh]",'vehicles specifications'!$B$2:$CK$2,0))</f>
        <v>0</v>
      </c>
    </row>
    <row r="392" spans="1:8" x14ac:dyDescent="0.3">
      <c r="A392" t="s">
        <v>145</v>
      </c>
      <c r="B392">
        <f>INDEX('vehicles specifications'!$B$3:$CK$86,MATCH(B376,'vehicles specifications'!$A$3:$A$86,0),MATCH("Fuel mass [kg]",'vehicles specifications'!$B$2:$CK$2,0))</f>
        <v>0</v>
      </c>
    </row>
    <row r="393" spans="1:8" x14ac:dyDescent="0.3">
      <c r="A393" t="s">
        <v>141</v>
      </c>
      <c r="B393" s="2">
        <f>INDEX('vehicles specifications'!$B$3:$CK$86,MATCH(B376,'vehicles specifications'!$A$3:$A$86,0),MATCH("Range [km]",'vehicles specifications'!$B$2:$CK$2,0))</f>
        <v>76.165289256198363</v>
      </c>
    </row>
    <row r="394" spans="1:8" x14ac:dyDescent="0.3">
      <c r="A394" t="s">
        <v>142</v>
      </c>
      <c r="B394" t="str">
        <f>INDEX('vehicles specifications'!$B$3:$CK$86,MATCH(B376,'vehicles specifications'!$A$3:$A$86,0),MATCH("Emission standard",'vehicles specifications'!$B$2:$CK$2,0))</f>
        <v>None</v>
      </c>
    </row>
    <row r="395" spans="1:8" x14ac:dyDescent="0.3">
      <c r="A395" t="s">
        <v>144</v>
      </c>
      <c r="B395" s="6">
        <f>INDEX('vehicles specifications'!$B$3:$CK$86,MATCH(B376,'vehicles specifications'!$A$3:$A$86,0),MATCH("Lightweighting rate [%]",'vehicles specifications'!$B$2:$CK$2,0))</f>
        <v>0.03</v>
      </c>
    </row>
    <row r="396" spans="1:8" x14ac:dyDescent="0.3">
      <c r="A396" t="s">
        <v>84</v>
      </c>
      <c r="B396" s="21" t="str">
        <f>"Power: "&amp;B387&amp;" kW. Lifetime: "&amp;B381&amp;" km. Annual kilometers: "&amp;B385&amp;" km. Number of passengers: "&amp;B382&amp;". Curb mass: "&amp;ROUND(B386,1)&amp;" kg. Lightweighting of glider: "&amp;ROUND(B395*100,0)&amp;"%. Emission standard: "&amp;B394&amp;". Service visits throughout lifetime: "&amp;ROUND(B383,1)&amp;". Range: "&amp;ROUND(B393,0)&amp;" km. Battery capacity: "&amp;ROUND(B389,1)&amp;" kWh. Available battery capacity: "&amp;B390&amp;" kWh. Battery mass: "&amp;ROUND(B388,1)&amp; " kg. Battery replacement throughout lifetime: "&amp;ROUND(B384,1)&amp;". Fuel tank capacity: "&amp;ROUND(B391,1)&amp;" kWh. Fuel mass: "&amp;ROUND(B392,1)&amp;" kg. Documentation: "&amp;Readmefirst!$B$2&amp;", "&amp;Readmefirst!$B$3&amp;". "&amp;'lci-kick scooter'!B335</f>
        <v xml:space="preserve">Power: 2.5 kW. Lifetime: 33400 km. Annual kilometers: 2553 km. Number of passengers: 1.1. Curb mass: 76.2 kg. Lightweighting of glider: 3%. Emission standard: None. Service visits throughout lifetime: 0.7. Range: 76 km. Battery capacity: 3.2 kWh. Available battery capacity: 2.56 kWh. Battery mass: 12.8 kg. Battery replacement throughout lifetime: 0.5. Fuel tank capacity: 0 kWh. Fuel mass: 0 kg. Documentation: 2021 UVEK life-cycle inventories update of on-road vehicles, Sacchi R. (PSI), Bauer C. (PSI), 2021. </v>
      </c>
    </row>
    <row r="397" spans="1:8" ht="15.6" x14ac:dyDescent="0.3">
      <c r="A397" s="11" t="s">
        <v>80</v>
      </c>
    </row>
    <row r="398" spans="1:8" x14ac:dyDescent="0.3">
      <c r="A398" t="s">
        <v>81</v>
      </c>
      <c r="B398" t="s">
        <v>82</v>
      </c>
      <c r="C398" t="s">
        <v>73</v>
      </c>
      <c r="D398" t="s">
        <v>77</v>
      </c>
      <c r="E398" t="s">
        <v>83</v>
      </c>
      <c r="F398" t="s">
        <v>75</v>
      </c>
      <c r="G398" t="s">
        <v>84</v>
      </c>
      <c r="H398" t="s">
        <v>74</v>
      </c>
    </row>
    <row r="399" spans="1:8" x14ac:dyDescent="0.3">
      <c r="A399" s="12" t="str">
        <f>B371</f>
        <v>transport, Motorbike, electric, &lt;4kW, 2030, label-certified electricity</v>
      </c>
      <c r="B399" s="12">
        <v>1</v>
      </c>
      <c r="C399" s="12" t="str">
        <f>B372</f>
        <v>CH</v>
      </c>
      <c r="D399" s="12" t="s">
        <v>172</v>
      </c>
      <c r="E399" s="12"/>
      <c r="F399" s="12" t="s">
        <v>85</v>
      </c>
      <c r="G399" s="12" t="s">
        <v>86</v>
      </c>
      <c r="H399" s="12" t="str">
        <f>B377</f>
        <v>transport, Motorbike, electric, &lt;4kW</v>
      </c>
    </row>
    <row r="400" spans="1:8" x14ac:dyDescent="0.3">
      <c r="A400" s="12" t="str">
        <f>B373&amp;", "&amp;B375</f>
        <v>Motorbike, electric, &lt;4kW, 2030</v>
      </c>
      <c r="B400" s="12">
        <f>1/B381</f>
        <v>2.9940119760479042E-5</v>
      </c>
      <c r="C400" s="12" t="str">
        <f>B372</f>
        <v>CH</v>
      </c>
      <c r="D400" s="12" t="s">
        <v>77</v>
      </c>
      <c r="E400" s="12"/>
      <c r="F400" s="12" t="s">
        <v>91</v>
      </c>
      <c r="G400" s="12"/>
      <c r="H400" s="12" t="str">
        <f>RIGHT(H399,LEN(H399)-11)</f>
        <v>Motorbike, electric, &lt;4kW</v>
      </c>
    </row>
    <row r="401" spans="1:8" x14ac:dyDescent="0.3">
      <c r="A401" s="12" t="str">
        <f>INDEX('ei names mapping'!$B$4:$R$33,MATCH(B373,'ei names mapping'!$A$4:$A$33,0),MATCH(G401,'ei names mapping'!$B$3:$R$3,0))</f>
        <v>road maintenance</v>
      </c>
      <c r="B401" s="16">
        <f>INDEX('vehicles specifications'!$B$3:$CK$86,MATCH(B376,'vehicles specifications'!$A$3:$A$86,0),MATCH(G401,'vehicles specifications'!$B$2:$CK$2,0))*INDEX('ei names mapping'!$B$137:$BK$220,MATCH(B376,'ei names mapping'!$A$137:$A$220,0),MATCH(G401,'ei names mapping'!$B$136:$BK$136,0))</f>
        <v>1.2899999999999999E-3</v>
      </c>
      <c r="C401" s="12" t="str">
        <f>INDEX('ei names mapping'!$B$38:$R$67,MATCH(B373,'ei names mapping'!$A$4:$A$33,0),MATCH(G401,'ei names mapping'!$B$3:$R$3,0))</f>
        <v>CH</v>
      </c>
      <c r="D401" s="12" t="str">
        <f>INDEX('ei names mapping'!$B$104:$BK$133,MATCH(B373,'ei names mapping'!$A$4:$A$33,0),MATCH(G401,'ei names mapping'!$B$3:$BK$3,0))</f>
        <v>meter-year</v>
      </c>
      <c r="E401" s="12"/>
      <c r="F401" s="12" t="s">
        <v>91</v>
      </c>
      <c r="G401" t="s">
        <v>117</v>
      </c>
      <c r="H401" s="12" t="str">
        <f>INDEX('ei names mapping'!$B$71:$BK$100,MATCH(B373,'ei names mapping'!$A$4:$A$33,0),MATCH(G401,'ei names mapping'!$B$3:$BK$3,0))</f>
        <v>road maintenance</v>
      </c>
    </row>
    <row r="402" spans="1:8" x14ac:dyDescent="0.3">
      <c r="A402" s="12" t="s">
        <v>114</v>
      </c>
      <c r="B402" s="14">
        <f>INDEX('vehicles specifications'!$B$3:$CK$86,MATCH(B376,'vehicles specifications'!$A$3:$A$86,0),MATCH(G402,'vehicles specifications'!$B$2:$CK$2,0))*INDEX('ei names mapping'!$B$137:$BK$220,MATCH(B376,'ei names mapping'!$A$137:$A$220,0),MATCH(G402,'ei names mapping'!$B$136:$BK$136,0))</f>
        <v>3.6972222222222226E-2</v>
      </c>
      <c r="C402" s="12" t="str">
        <f>INDEX('ei names mapping'!$B$38:$R$67,MATCH($B$3,'ei names mapping'!$A$4:$A$33,0),MATCH(G402,'ei names mapping'!$B$3:$R$3,0))</f>
        <v>CH</v>
      </c>
      <c r="D402" s="12" t="str">
        <f>INDEX('ei names mapping'!$B$104:$R$133,MATCH($B$3,'ei names mapping'!$A$4:$A$33,0),MATCH(G402,'ei names mapping'!$B$3:$R$3,0))</f>
        <v>kilowatt hour</v>
      </c>
      <c r="E402" s="12"/>
      <c r="F402" s="12" t="s">
        <v>91</v>
      </c>
      <c r="G402" t="s">
        <v>28</v>
      </c>
      <c r="H402" s="12" t="s">
        <v>116</v>
      </c>
    </row>
    <row r="403" spans="1:8" x14ac:dyDescent="0.3">
      <c r="A403" s="12" t="str">
        <f>INDEX('ei names mapping'!$B$4:$R$33,MATCH(B373,'ei names mapping'!$A$4:$A$33,0),MATCH(G403,'ei names mapping'!$B$3:$R$3,0))</f>
        <v>market for maintenance, electric scooter, without battery</v>
      </c>
      <c r="B403" s="16">
        <f>INDEX('vehicles specifications'!$B$3:$CK$86,MATCH(B376,'vehicles specifications'!$A$3:$A$86,0),MATCH(G403,'vehicles specifications'!$B$2:$CK$2,0))*INDEX('ei names mapping'!$B$137:$BK$220,MATCH(B376,'ei names mapping'!$A$137:$A$220,0),MATCH(G403,'ei names mapping'!$B$136:$BK$136,0))</f>
        <v>2.0000000000000002E-5</v>
      </c>
      <c r="C403" s="12" t="str">
        <f>INDEX('ei names mapping'!$B$38:$BK$67,MATCH(B373,'ei names mapping'!$A$4:$A$33,0),MATCH(G403,'ei names mapping'!$B$3:$BK$3,0))</f>
        <v>GLO</v>
      </c>
      <c r="D403" s="12" t="str">
        <f>INDEX('ei names mapping'!$B$104:$BK$133,MATCH(B373,'ei names mapping'!$A$4:$A$33,0),MATCH(G403,'ei names mapping'!$B$3:$BK$3,0))</f>
        <v>unit</v>
      </c>
      <c r="F403" s="12" t="s">
        <v>91</v>
      </c>
      <c r="G403" s="12" t="s">
        <v>123</v>
      </c>
      <c r="H403" s="12" t="str">
        <f>INDEX('ei names mapping'!$B$71:$BK$100,MATCH(B373,'ei names mapping'!$A$4:$A$33,0),MATCH(G403,'ei names mapping'!$B$3:$BK$3,0))</f>
        <v>maintenance, electric scooter, without battery</v>
      </c>
    </row>
    <row r="404" spans="1:8" s="21" customFormat="1" x14ac:dyDescent="0.3">
      <c r="A404" s="12" t="str">
        <f>INDEX('ei names mapping'!$B$4:$R$33,MATCH(B373,'ei names mapping'!$A$4:$A$33,0),MATCH(G404,'ei names mapping'!$B$3:$R$3,0))</f>
        <v>road construction</v>
      </c>
      <c r="B404" s="16">
        <f>INDEX('vehicles specifications'!$B$3:$CK$86,MATCH(B376,'vehicles specifications'!$A$3:$A$86,0),MATCH(G404,'vehicles specifications'!$B$2:$CK$2,0))*INDEX('ei names mapping'!$B$137:$BK$220,MATCH(B376,'ei names mapping'!$A$137:$A$220,0),MATCH(G404,'ei names mapping'!$B$136:$BK$136,0))</f>
        <v>8.5495769999999993E-5</v>
      </c>
      <c r="C404" s="12" t="str">
        <f>INDEX('ei names mapping'!$B$38:$R$67,MATCH(B373,'ei names mapping'!$A$4:$A$33,0),MATCH(G404,'ei names mapping'!$B$3:$R$3,0))</f>
        <v>CH</v>
      </c>
      <c r="D404" s="12" t="str">
        <f>INDEX('ei names mapping'!$B$104:$R$133,MATCH(B373,'ei names mapping'!$A$104:$A$133,0),MATCH(G404,'ei names mapping'!$B$3:$R$3,0))</f>
        <v>meter-year</v>
      </c>
      <c r="E404" s="12"/>
      <c r="F404" s="12" t="s">
        <v>91</v>
      </c>
      <c r="G404" s="21" t="s">
        <v>108</v>
      </c>
      <c r="H404" s="12" t="str">
        <f>INDEX('ei names mapping'!$B$71:$R$100,MATCH(B373,'ei names mapping'!$A$4:$A$33,0),MATCH(G404,'ei names mapping'!$B$3:$R$3,0))</f>
        <v>road</v>
      </c>
    </row>
    <row r="405" spans="1:8" x14ac:dyDescent="0.3">
      <c r="A405" s="12" t="str">
        <f>INDEX('ei names mapping'!$B$4:$BK$33,MATCH(B373,'ei names mapping'!$A$4:$A$33,0),MATCH(G405,'ei names mapping'!$B$3:$BK$3,0))</f>
        <v>treatment of road wear emissions, passenger car</v>
      </c>
      <c r="B405" s="16">
        <f>INDEX('vehicles specifications'!$B$3:$CK$86,MATCH(B376,'vehicles specifications'!$A$3:$A$86,0),MATCH(G405,'vehicles specifications'!$B$2:$CK$2,0))*INDEX('ei names mapping'!$B$137:$BK$220,MATCH(B376,'ei names mapping'!$A$137:$A$220,0),MATCH(G405,'ei names mapping'!$B$136:$BK$136,0))</f>
        <v>-6.0000000000000002E-6</v>
      </c>
      <c r="C405" s="12" t="str">
        <f>INDEX('ei names mapping'!$B$38:$BK$67,MATCH(B373,'ei names mapping'!$A$4:$A$33,0),MATCH(G405,'ei names mapping'!$B$3:$BK$3,0))</f>
        <v>RER</v>
      </c>
      <c r="D405" s="12" t="str">
        <f>INDEX('ei names mapping'!$B$104:$BK$133,MATCH(B373,'ei names mapping'!$A$4:$A$33,0),MATCH(G405,'ei names mapping'!$B$3:$BK$3,0))</f>
        <v>kilogram</v>
      </c>
      <c r="E405" s="12"/>
      <c r="F405" s="12" t="s">
        <v>91</v>
      </c>
      <c r="G405" t="s">
        <v>29</v>
      </c>
      <c r="H405" s="12" t="str">
        <f>INDEX('ei names mapping'!$B$71:$BK$100,MATCH(B373,'ei names mapping'!$A$4:$A$33,0),MATCH(G405,'ei names mapping'!$B$3:$BK$3,0))</f>
        <v>road wear emissions, passenger car</v>
      </c>
    </row>
    <row r="406" spans="1:8" x14ac:dyDescent="0.3">
      <c r="A406" s="12" t="str">
        <f>INDEX('ei names mapping'!$B$4:$BK$33,MATCH(B373,'ei names mapping'!$A$4:$A$33,0),MATCH(G406,'ei names mapping'!$B$3:$BK$3,0))</f>
        <v>treatment of tyre wear emissions, passenger car</v>
      </c>
      <c r="B406" s="16">
        <f>INDEX('vehicles specifications'!$B$3:$CK$86,MATCH(B376,'vehicles specifications'!$A$3:$A$86,0),MATCH(G406,'vehicles specifications'!$B$2:$CK$2,0))*INDEX('ei names mapping'!$B$137:$BK$220,MATCH(B376,'ei names mapping'!$A$137:$A$220,0),MATCH(G406,'ei names mapping'!$B$136:$BK$136,0))</f>
        <v>-7.3669999999999991E-6</v>
      </c>
      <c r="C406" s="12" t="str">
        <f>INDEX('ei names mapping'!$B$38:$BK$67,MATCH(B373,'ei names mapping'!$A$4:$A$33,0),MATCH(G406,'ei names mapping'!$B$3:$BK$3,0))</f>
        <v>RER</v>
      </c>
      <c r="D406" s="12" t="str">
        <f>INDEX('ei names mapping'!$B$104:$BK$133,MATCH(B373,'ei names mapping'!$A$4:$A$33,0),MATCH(G406,'ei names mapping'!$B$3:$BK$3,0))</f>
        <v>kilogram</v>
      </c>
      <c r="E406" s="12"/>
      <c r="F406" s="12" t="s">
        <v>91</v>
      </c>
      <c r="G406" t="s">
        <v>30</v>
      </c>
      <c r="H406" s="12" t="str">
        <f>INDEX('ei names mapping'!$B$71:$BK$100,MATCH(B373,'ei names mapping'!$A$4:$A$33,0),MATCH(G406,'ei names mapping'!$B$3:$BK$3,0))</f>
        <v>tyre wear emissions, passenger car</v>
      </c>
    </row>
    <row r="407" spans="1:8" x14ac:dyDescent="0.3">
      <c r="A407" s="12" t="str">
        <f>INDEX('ei names mapping'!$B$4:$BK$33,MATCH(B373,'ei names mapping'!$A$4:$A$33,0),MATCH(G407,'ei names mapping'!$B$3:$BK$3,0))</f>
        <v>treatment of brake wear emissions, passenger car</v>
      </c>
      <c r="B407" s="16">
        <f>INDEX('vehicles specifications'!$B$3:$CK$86,MATCH(B376,'vehicles specifications'!$A$3:$A$86,0),MATCH(G407,'vehicles specifications'!$B$2:$CK$2,0))*INDEX('ei names mapping'!$B$137:$BK$220,MATCH(B376,'ei names mapping'!$A$137:$A$220,0),MATCH(G407,'ei names mapping'!$B$136:$BK$136,0))</f>
        <v>-4.1749999999999998E-6</v>
      </c>
      <c r="C407" s="12" t="str">
        <f>INDEX('ei names mapping'!$B$38:$BK$67,MATCH(B373,'ei names mapping'!$A$4:$A$33,0),MATCH(G407,'ei names mapping'!$B$3:$BK$3,0))</f>
        <v>RER</v>
      </c>
      <c r="D407" s="12" t="str">
        <f>INDEX('ei names mapping'!$B$104:$BK$133,MATCH(B373,'ei names mapping'!$A$4:$A$33,0),MATCH(G407,'ei names mapping'!$B$3:$BK$3,0))</f>
        <v>kilogram</v>
      </c>
      <c r="E407" s="12"/>
      <c r="F407" s="12" t="s">
        <v>91</v>
      </c>
      <c r="G407" t="s">
        <v>31</v>
      </c>
      <c r="H407" s="12" t="str">
        <f>INDEX('ei names mapping'!$B$71:$BK$100,MATCH(B373,'ei names mapping'!$A$4:$A$33,0),MATCH(G407,'ei names mapping'!$B$3:$BK$3,0))</f>
        <v>brake wear emissions, passenger car</v>
      </c>
    </row>
    <row r="409" spans="1:8" ht="15.6" x14ac:dyDescent="0.3">
      <c r="A409" s="11" t="s">
        <v>72</v>
      </c>
      <c r="B409" s="9" t="str">
        <f>"transport, "&amp;B411&amp;", "&amp;B413&amp;", label-certified electricity"</f>
        <v>transport, Motorbike, electric, &lt;4kW, 2040, label-certified electricity</v>
      </c>
    </row>
    <row r="410" spans="1:8" x14ac:dyDescent="0.3">
      <c r="A410" t="s">
        <v>73</v>
      </c>
      <c r="B410" t="s">
        <v>37</v>
      </c>
    </row>
    <row r="411" spans="1:8" x14ac:dyDescent="0.3">
      <c r="A411" t="s">
        <v>87</v>
      </c>
      <c r="B411" s="21" t="s">
        <v>520</v>
      </c>
    </row>
    <row r="412" spans="1:8" x14ac:dyDescent="0.3">
      <c r="A412" t="s">
        <v>88</v>
      </c>
      <c r="B412" s="12"/>
    </row>
    <row r="413" spans="1:8" x14ac:dyDescent="0.3">
      <c r="A413" t="s">
        <v>89</v>
      </c>
      <c r="B413" s="12">
        <v>2040</v>
      </c>
    </row>
    <row r="414" spans="1:8" x14ac:dyDescent="0.3">
      <c r="A414" t="s">
        <v>131</v>
      </c>
      <c r="B414" s="12" t="str">
        <f>B411&amp;" - "&amp;B413&amp;" - "&amp;B410</f>
        <v>Motorbike, electric, &lt;4kW - 2040 - CH</v>
      </c>
    </row>
    <row r="415" spans="1:8" x14ac:dyDescent="0.3">
      <c r="A415" t="s">
        <v>74</v>
      </c>
      <c r="B415" s="12" t="str">
        <f>"transport, "&amp;B411</f>
        <v>transport, Motorbike, electric, &lt;4kW</v>
      </c>
    </row>
    <row r="416" spans="1:8" x14ac:dyDescent="0.3">
      <c r="A416" t="s">
        <v>75</v>
      </c>
      <c r="B416" t="s">
        <v>76</v>
      </c>
    </row>
    <row r="417" spans="1:2" x14ac:dyDescent="0.3">
      <c r="A417" t="s">
        <v>77</v>
      </c>
      <c r="B417" t="s">
        <v>172</v>
      </c>
    </row>
    <row r="418" spans="1:2" x14ac:dyDescent="0.3">
      <c r="A418" t="s">
        <v>79</v>
      </c>
      <c r="B418" t="s">
        <v>90</v>
      </c>
    </row>
    <row r="419" spans="1:2" x14ac:dyDescent="0.3">
      <c r="A419" t="s">
        <v>132</v>
      </c>
      <c r="B419">
        <f>INDEX('vehicles specifications'!$B$3:$CK$86,MATCH(B414,'vehicles specifications'!$A$3:$A$86,0),MATCH("Lifetime [km]",'vehicles specifications'!$B$2:$CK$2,0))</f>
        <v>33400</v>
      </c>
    </row>
    <row r="420" spans="1:2" x14ac:dyDescent="0.3">
      <c r="A420" t="s">
        <v>133</v>
      </c>
      <c r="B420">
        <f>INDEX('vehicles specifications'!$B$3:$CK$86,MATCH(B414,'vehicles specifications'!$A$3:$A$86,0),MATCH("Passengers [unit]",'vehicles specifications'!$B$2:$CK$2,0))</f>
        <v>1.1000000000000001</v>
      </c>
    </row>
    <row r="421" spans="1:2" x14ac:dyDescent="0.3">
      <c r="A421" t="s">
        <v>134</v>
      </c>
      <c r="B421">
        <f>INDEX('vehicles specifications'!$B$3:$CK$86,MATCH(B414,'vehicles specifications'!$A$3:$A$86,0),MATCH("Servicing [unit]",'vehicles specifications'!$B$2:$CK$2,0))</f>
        <v>0.66800000000000004</v>
      </c>
    </row>
    <row r="422" spans="1:2" x14ac:dyDescent="0.3">
      <c r="A422" t="s">
        <v>135</v>
      </c>
      <c r="B422">
        <f>INDEX('vehicles specifications'!$B$3:$CK$86,MATCH(B414,'vehicles specifications'!$A$3:$A$86,0),MATCH("Energy battery replacement [unit]",'vehicles specifications'!$B$2:$CK$2,0))</f>
        <v>0.25</v>
      </c>
    </row>
    <row r="423" spans="1:2" x14ac:dyDescent="0.3">
      <c r="A423" t="s">
        <v>136</v>
      </c>
      <c r="B423">
        <f>INDEX('vehicles specifications'!$B$3:$CK$86,MATCH(B414,'vehicles specifications'!$A$3:$A$86,0),MATCH("Annual kilometers [km]",'vehicles specifications'!$B$2:$CK$2,0))</f>
        <v>2553</v>
      </c>
    </row>
    <row r="424" spans="1:2" x14ac:dyDescent="0.3">
      <c r="A424" t="s">
        <v>137</v>
      </c>
      <c r="B424" s="2">
        <f>INDEX('vehicles specifications'!$B$3:$CK$86,MATCH(B414,'vehicles specifications'!$A$3:$A$86,0),MATCH("Curb mass [kg]",'vehicles specifications'!$B$2:$CK$2,0))</f>
        <v>75.849999999999994</v>
      </c>
    </row>
    <row r="425" spans="1:2" x14ac:dyDescent="0.3">
      <c r="A425" t="s">
        <v>138</v>
      </c>
      <c r="B425">
        <f>INDEX('vehicles specifications'!$B$3:$CK$86,MATCH(B414,'vehicles specifications'!$A$3:$A$86,0),MATCH("Power [kW]",'vehicles specifications'!$B$2:$CK$2,0))</f>
        <v>2.5</v>
      </c>
    </row>
    <row r="426" spans="1:2" x14ac:dyDescent="0.3">
      <c r="A426" t="s">
        <v>139</v>
      </c>
      <c r="B426">
        <f>INDEX('vehicles specifications'!$B$3:$CK$86,MATCH(B414,'vehicles specifications'!$A$3:$A$86,0),MATCH("Energy battery mass [kg]",'vehicles specifications'!$B$2:$CK$2,0))</f>
        <v>13.5</v>
      </c>
    </row>
    <row r="427" spans="1:2" x14ac:dyDescent="0.3">
      <c r="A427" t="s">
        <v>140</v>
      </c>
      <c r="B427" s="21">
        <f>INDEX('vehicles specifications'!$B$3:$CK$86,MATCH(B414,'vehicles specifications'!$A$3:$A$86,0),MATCH("Electric energy stored [kWh]",'vehicles specifications'!$B$2:$CK$2,0))</f>
        <v>4.5</v>
      </c>
    </row>
    <row r="428" spans="1:2" s="21" customFormat="1" x14ac:dyDescent="0.3">
      <c r="A428" s="21" t="s">
        <v>654</v>
      </c>
      <c r="B428" s="21">
        <f>INDEX('vehicles specifications'!$B$3:$CK$86,MATCH(B414,'vehicles specifications'!$A$3:$A$86,0),MATCH("Electric energy available [kWh]",'vehicles specifications'!$B$2:$CK$2,0))</f>
        <v>3.6</v>
      </c>
    </row>
    <row r="429" spans="1:2" x14ac:dyDescent="0.3">
      <c r="A429" t="s">
        <v>143</v>
      </c>
      <c r="B429" s="2">
        <f>INDEX('vehicles specifications'!$B$3:$CK$86,MATCH(B414,'vehicles specifications'!$A$3:$A$86,0),MATCH("Oxydation energy stored [kWh]",'vehicles specifications'!$B$2:$CK$2,0))</f>
        <v>0</v>
      </c>
    </row>
    <row r="430" spans="1:2" x14ac:dyDescent="0.3">
      <c r="A430" t="s">
        <v>145</v>
      </c>
      <c r="B430">
        <f>INDEX('vehicles specifications'!$B$3:$CK$86,MATCH(B414,'vehicles specifications'!$A$3:$A$86,0),MATCH("Fuel mass [kg]",'vehicles specifications'!$B$2:$CK$2,0))</f>
        <v>0</v>
      </c>
    </row>
    <row r="431" spans="1:2" x14ac:dyDescent="0.3">
      <c r="A431" t="s">
        <v>141</v>
      </c>
      <c r="B431" s="2">
        <f>INDEX('vehicles specifications'!$B$3:$CK$86,MATCH(B414,'vehicles specifications'!$A$3:$A$86,0),MATCH("Range [km]",'vehicles specifications'!$B$2:$CK$2,0))</f>
        <v>107.10743801652892</v>
      </c>
    </row>
    <row r="432" spans="1:2" x14ac:dyDescent="0.3">
      <c r="A432" t="s">
        <v>142</v>
      </c>
      <c r="B432" t="str">
        <f>INDEX('vehicles specifications'!$B$3:$CK$86,MATCH(B414,'vehicles specifications'!$A$3:$A$86,0),MATCH("Emission standard",'vehicles specifications'!$B$2:$CK$2,0))</f>
        <v>None</v>
      </c>
    </row>
    <row r="433" spans="1:8" x14ac:dyDescent="0.3">
      <c r="A433" t="s">
        <v>144</v>
      </c>
      <c r="B433" s="6">
        <f>INDEX('vehicles specifications'!$B$3:$CK$86,MATCH(B414,'vehicles specifications'!$A$3:$A$86,0),MATCH("Lightweighting rate [%]",'vehicles specifications'!$B$2:$CK$2,0))</f>
        <v>0.05</v>
      </c>
    </row>
    <row r="434" spans="1:8" x14ac:dyDescent="0.3">
      <c r="A434" t="s">
        <v>84</v>
      </c>
      <c r="B434" s="21" t="str">
        <f>"Power: "&amp;B425&amp;" kW. Lifetime: "&amp;B419&amp;" km. Annual kilometers: "&amp;B423&amp;" km. Number of passengers: "&amp;B420&amp;". Curb mass: "&amp;ROUND(B424,1)&amp;" kg. Lightweighting of glider: "&amp;ROUND(B433*100,0)&amp;"%. Emission standard: "&amp;B432&amp;". Service visits throughout lifetime: "&amp;ROUND(B421,1)&amp;". Range: "&amp;ROUND(B431,0)&amp;" km. Battery capacity: "&amp;ROUND(B427,1)&amp;" kWh. Available battery capacity: "&amp;B428&amp;" kWh. Battery mass: "&amp;ROUND(B426,1)&amp; " kg. Battery replacement throughout lifetime: "&amp;ROUND(B422,1)&amp;". Fuel tank capacity: "&amp;ROUND(B429,1)&amp;" kWh. Fuel mass: "&amp;ROUND(B430,1)&amp;" kg. Documentation: "&amp;Readmefirst!$B$2&amp;", "&amp;Readmefirst!$B$3&amp;". "&amp;'lci-kick scooter'!B373</f>
        <v xml:space="preserve">Power: 2.5 kW. Lifetime: 33400 km. Annual kilometers: 2553 km. Number of passengers: 1.1. Curb mass: 75.9 kg. Lightweighting of glider: 5%. Emission standard: None. Service visits throughout lifetime: 0.7. Range: 107 km. Battery capacity: 4.5 kWh. Available battery capacity: 3.6 kWh. Battery mass: 13.5 kg. Battery replacement throughout lifetime: 0.3. Fuel tank capacity: 0 kWh. Fuel mass: 0 kg. Documentation: 2021 UVEK life-cycle inventories update of on-road vehicles, Sacchi R. (PSI), Bauer C. (PSI), 2021. </v>
      </c>
    </row>
    <row r="435" spans="1:8" ht="15.6" x14ac:dyDescent="0.3">
      <c r="A435" s="11" t="s">
        <v>80</v>
      </c>
    </row>
    <row r="436" spans="1:8" x14ac:dyDescent="0.3">
      <c r="A436" t="s">
        <v>81</v>
      </c>
      <c r="B436" t="s">
        <v>82</v>
      </c>
      <c r="C436" t="s">
        <v>73</v>
      </c>
      <c r="D436" t="s">
        <v>77</v>
      </c>
      <c r="E436" t="s">
        <v>83</v>
      </c>
      <c r="F436" t="s">
        <v>75</v>
      </c>
      <c r="G436" t="s">
        <v>84</v>
      </c>
      <c r="H436" t="s">
        <v>74</v>
      </c>
    </row>
    <row r="437" spans="1:8" x14ac:dyDescent="0.3">
      <c r="A437" s="12" t="str">
        <f>B409</f>
        <v>transport, Motorbike, electric, &lt;4kW, 2040, label-certified electricity</v>
      </c>
      <c r="B437" s="12">
        <v>1</v>
      </c>
      <c r="C437" s="12" t="str">
        <f>B410</f>
        <v>CH</v>
      </c>
      <c r="D437" s="12" t="s">
        <v>172</v>
      </c>
      <c r="E437" s="12"/>
      <c r="F437" s="12" t="s">
        <v>85</v>
      </c>
      <c r="G437" s="12" t="s">
        <v>86</v>
      </c>
      <c r="H437" s="12" t="str">
        <f>B415</f>
        <v>transport, Motorbike, electric, &lt;4kW</v>
      </c>
    </row>
    <row r="438" spans="1:8" x14ac:dyDescent="0.3">
      <c r="A438" s="12" t="str">
        <f>B411&amp;", "&amp;B413</f>
        <v>Motorbike, electric, &lt;4kW, 2040</v>
      </c>
      <c r="B438" s="12">
        <f>1/B419</f>
        <v>2.9940119760479042E-5</v>
      </c>
      <c r="C438" s="12" t="str">
        <f>B410</f>
        <v>CH</v>
      </c>
      <c r="D438" s="12" t="s">
        <v>77</v>
      </c>
      <c r="E438" s="12"/>
      <c r="F438" s="12" t="s">
        <v>91</v>
      </c>
      <c r="G438" s="12"/>
      <c r="H438" s="12" t="str">
        <f>RIGHT(H437,LEN(H437)-11)</f>
        <v>Motorbike, electric, &lt;4kW</v>
      </c>
    </row>
    <row r="439" spans="1:8" x14ac:dyDescent="0.3">
      <c r="A439" s="12" t="str">
        <f>INDEX('ei names mapping'!$B$4:$R$33,MATCH(B411,'ei names mapping'!$A$4:$A$33,0),MATCH(G439,'ei names mapping'!$B$3:$R$3,0))</f>
        <v>road maintenance</v>
      </c>
      <c r="B439" s="16">
        <f>INDEX('vehicles specifications'!$B$3:$CK$86,MATCH(B414,'vehicles specifications'!$A$3:$A$86,0),MATCH(G439,'vehicles specifications'!$B$2:$CK$2,0))*INDEX('ei names mapping'!$B$137:$BK$220,MATCH(B414,'ei names mapping'!$A$137:$A$220,0),MATCH(G439,'ei names mapping'!$B$136:$BK$136,0))</f>
        <v>1.2899999999999999E-3</v>
      </c>
      <c r="C439" s="12" t="str">
        <f>INDEX('ei names mapping'!$B$38:$R$67,MATCH(B411,'ei names mapping'!$A$4:$A$33,0),MATCH(G439,'ei names mapping'!$B$3:$R$3,0))</f>
        <v>CH</v>
      </c>
      <c r="D439" s="12" t="str">
        <f>INDEX('ei names mapping'!$B$104:$BK$133,MATCH(B411,'ei names mapping'!$A$4:$A$33,0),MATCH(G439,'ei names mapping'!$B$3:$BK$3,0))</f>
        <v>meter-year</v>
      </c>
      <c r="E439" s="12"/>
      <c r="F439" s="12" t="s">
        <v>91</v>
      </c>
      <c r="G439" t="s">
        <v>117</v>
      </c>
      <c r="H439" s="12" t="str">
        <f>INDEX('ei names mapping'!$B$71:$BK$100,MATCH(B411,'ei names mapping'!$A$4:$A$33,0),MATCH(G439,'ei names mapping'!$B$3:$BK$3,0))</f>
        <v>road maintenance</v>
      </c>
    </row>
    <row r="440" spans="1:8" x14ac:dyDescent="0.3">
      <c r="A440" s="12" t="s">
        <v>114</v>
      </c>
      <c r="B440" s="14">
        <f>INDEX('vehicles specifications'!$B$3:$CK$86,MATCH(B414,'vehicles specifications'!$A$3:$A$86,0),MATCH(G440,'vehicles specifications'!$B$2:$CK$2,0))*INDEX('ei names mapping'!$B$137:$BK$220,MATCH(B414,'ei names mapping'!$A$137:$A$220,0),MATCH(G440,'ei names mapping'!$B$136:$BK$136,0))</f>
        <v>3.6972222222222226E-2</v>
      </c>
      <c r="C440" s="12" t="str">
        <f>INDEX('ei names mapping'!$B$38:$R$67,MATCH($B$3,'ei names mapping'!$A$4:$A$33,0),MATCH(G440,'ei names mapping'!$B$3:$R$3,0))</f>
        <v>CH</v>
      </c>
      <c r="D440" s="12" t="str">
        <f>INDEX('ei names mapping'!$B$104:$R$133,MATCH($B$3,'ei names mapping'!$A$4:$A$33,0),MATCH(G440,'ei names mapping'!$B$3:$R$3,0))</f>
        <v>kilowatt hour</v>
      </c>
      <c r="E440" s="12"/>
      <c r="F440" s="12" t="s">
        <v>91</v>
      </c>
      <c r="G440" t="s">
        <v>28</v>
      </c>
      <c r="H440" s="12" t="s">
        <v>116</v>
      </c>
    </row>
    <row r="441" spans="1:8" x14ac:dyDescent="0.3">
      <c r="A441" s="12" t="str">
        <f>INDEX('ei names mapping'!$B$4:$R$33,MATCH(B411,'ei names mapping'!$A$4:$A$33,0),MATCH(G441,'ei names mapping'!$B$3:$R$3,0))</f>
        <v>market for maintenance, electric scooter, without battery</v>
      </c>
      <c r="B441" s="16">
        <f>INDEX('vehicles specifications'!$B$3:$CK$86,MATCH(B414,'vehicles specifications'!$A$3:$A$86,0),MATCH(G441,'vehicles specifications'!$B$2:$CK$2,0))*INDEX('ei names mapping'!$B$137:$BK$220,MATCH(B414,'ei names mapping'!$A$137:$A$220,0),MATCH(G441,'ei names mapping'!$B$136:$BK$136,0))</f>
        <v>2.0000000000000002E-5</v>
      </c>
      <c r="C441" s="12" t="str">
        <f>INDEX('ei names mapping'!$B$38:$BK$67,MATCH(B411,'ei names mapping'!$A$4:$A$33,0),MATCH(G441,'ei names mapping'!$B$3:$BK$3,0))</f>
        <v>GLO</v>
      </c>
      <c r="D441" s="12" t="str">
        <f>INDEX('ei names mapping'!$B$104:$BK$133,MATCH(B411,'ei names mapping'!$A$4:$A$33,0),MATCH(G441,'ei names mapping'!$B$3:$BK$3,0))</f>
        <v>unit</v>
      </c>
      <c r="F441" s="12" t="s">
        <v>91</v>
      </c>
      <c r="G441" s="12" t="s">
        <v>123</v>
      </c>
      <c r="H441" s="12" t="str">
        <f>INDEX('ei names mapping'!$B$71:$BK$100,MATCH(B411,'ei names mapping'!$A$4:$A$33,0),MATCH(G441,'ei names mapping'!$B$3:$BK$3,0))</f>
        <v>maintenance, electric scooter, without battery</v>
      </c>
    </row>
    <row r="442" spans="1:8" s="21" customFormat="1" x14ac:dyDescent="0.3">
      <c r="A442" s="12" t="str">
        <f>INDEX('ei names mapping'!$B$4:$R$33,MATCH(B411,'ei names mapping'!$A$4:$A$33,0),MATCH(G442,'ei names mapping'!$B$3:$R$3,0))</f>
        <v>road construction</v>
      </c>
      <c r="B442" s="16">
        <f>INDEX('vehicles specifications'!$B$3:$CK$86,MATCH(B414,'vehicles specifications'!$A$3:$A$86,0),MATCH(G442,'vehicles specifications'!$B$2:$CK$2,0))*INDEX('ei names mapping'!$B$137:$BK$220,MATCH(B414,'ei names mapping'!$A$137:$A$220,0),MATCH(G442,'ei names mapping'!$B$136:$BK$136,0))</f>
        <v>8.5302449999999995E-5</v>
      </c>
      <c r="C442" s="12" t="str">
        <f>INDEX('ei names mapping'!$B$38:$R$67,MATCH(B411,'ei names mapping'!$A$4:$A$33,0),MATCH(G442,'ei names mapping'!$B$3:$R$3,0))</f>
        <v>CH</v>
      </c>
      <c r="D442" s="12" t="str">
        <f>INDEX('ei names mapping'!$B$104:$R$133,MATCH(B411,'ei names mapping'!$A$104:$A$133,0),MATCH(G442,'ei names mapping'!$B$3:$R$3,0))</f>
        <v>meter-year</v>
      </c>
      <c r="E442" s="12"/>
      <c r="F442" s="12" t="s">
        <v>91</v>
      </c>
      <c r="G442" s="21" t="s">
        <v>108</v>
      </c>
      <c r="H442" s="12" t="str">
        <f>INDEX('ei names mapping'!$B$71:$R$100,MATCH(B411,'ei names mapping'!$A$4:$A$33,0),MATCH(G442,'ei names mapping'!$B$3:$R$3,0))</f>
        <v>road</v>
      </c>
    </row>
    <row r="443" spans="1:8" x14ac:dyDescent="0.3">
      <c r="A443" s="12" t="str">
        <f>INDEX('ei names mapping'!$B$4:$BK$33,MATCH(B411,'ei names mapping'!$A$4:$A$33,0),MATCH(G443,'ei names mapping'!$B$3:$BK$3,0))</f>
        <v>treatment of road wear emissions, passenger car</v>
      </c>
      <c r="B443" s="16">
        <f>INDEX('vehicles specifications'!$B$3:$CK$86,MATCH(B414,'vehicles specifications'!$A$3:$A$86,0),MATCH(G443,'vehicles specifications'!$B$2:$CK$2,0))*INDEX('ei names mapping'!$B$137:$BK$220,MATCH(B414,'ei names mapping'!$A$137:$A$220,0),MATCH(G443,'ei names mapping'!$B$136:$BK$136,0))</f>
        <v>-6.0000000000000002E-6</v>
      </c>
      <c r="C443" s="12" t="str">
        <f>INDEX('ei names mapping'!$B$38:$BK$67,MATCH(B411,'ei names mapping'!$A$4:$A$33,0),MATCH(G443,'ei names mapping'!$B$3:$BK$3,0))</f>
        <v>RER</v>
      </c>
      <c r="D443" s="12" t="str">
        <f>INDEX('ei names mapping'!$B$104:$BK$133,MATCH(B411,'ei names mapping'!$A$4:$A$33,0),MATCH(G443,'ei names mapping'!$B$3:$BK$3,0))</f>
        <v>kilogram</v>
      </c>
      <c r="E443" s="12"/>
      <c r="F443" s="12" t="s">
        <v>91</v>
      </c>
      <c r="G443" t="s">
        <v>29</v>
      </c>
      <c r="H443" s="12" t="str">
        <f>INDEX('ei names mapping'!$B$71:$BK$100,MATCH(B411,'ei names mapping'!$A$4:$A$33,0),MATCH(G443,'ei names mapping'!$B$3:$BK$3,0))</f>
        <v>road wear emissions, passenger car</v>
      </c>
    </row>
    <row r="444" spans="1:8" x14ac:dyDescent="0.3">
      <c r="A444" s="12" t="str">
        <f>INDEX('ei names mapping'!$B$4:$BK$33,MATCH(B411,'ei names mapping'!$A$4:$A$33,0),MATCH(G444,'ei names mapping'!$B$3:$BK$3,0))</f>
        <v>treatment of tyre wear emissions, passenger car</v>
      </c>
      <c r="B444" s="16">
        <f>INDEX('vehicles specifications'!$B$3:$CK$86,MATCH(B414,'vehicles specifications'!$A$3:$A$86,0),MATCH(G444,'vehicles specifications'!$B$2:$CK$2,0))*INDEX('ei names mapping'!$B$137:$BK$220,MATCH(B414,'ei names mapping'!$A$137:$A$220,0),MATCH(G444,'ei names mapping'!$B$136:$BK$136,0))</f>
        <v>-7.3669999999999991E-6</v>
      </c>
      <c r="C444" s="12" t="str">
        <f>INDEX('ei names mapping'!$B$38:$BK$67,MATCH(B411,'ei names mapping'!$A$4:$A$33,0),MATCH(G444,'ei names mapping'!$B$3:$BK$3,0))</f>
        <v>RER</v>
      </c>
      <c r="D444" s="12" t="str">
        <f>INDEX('ei names mapping'!$B$104:$BK$133,MATCH(B411,'ei names mapping'!$A$4:$A$33,0),MATCH(G444,'ei names mapping'!$B$3:$BK$3,0))</f>
        <v>kilogram</v>
      </c>
      <c r="E444" s="12"/>
      <c r="F444" s="12" t="s">
        <v>91</v>
      </c>
      <c r="G444" t="s">
        <v>30</v>
      </c>
      <c r="H444" s="12" t="str">
        <f>INDEX('ei names mapping'!$B$71:$BK$100,MATCH(B411,'ei names mapping'!$A$4:$A$33,0),MATCH(G444,'ei names mapping'!$B$3:$BK$3,0))</f>
        <v>tyre wear emissions, passenger car</v>
      </c>
    </row>
    <row r="445" spans="1:8" x14ac:dyDescent="0.3">
      <c r="A445" s="12" t="str">
        <f>INDEX('ei names mapping'!$B$4:$BK$33,MATCH(B411,'ei names mapping'!$A$4:$A$33,0),MATCH(G445,'ei names mapping'!$B$3:$BK$3,0))</f>
        <v>treatment of brake wear emissions, passenger car</v>
      </c>
      <c r="B445" s="16">
        <f>INDEX('vehicles specifications'!$B$3:$CK$86,MATCH(B414,'vehicles specifications'!$A$3:$A$86,0),MATCH(G445,'vehicles specifications'!$B$2:$CK$2,0))*INDEX('ei names mapping'!$B$137:$BK$220,MATCH(B414,'ei names mapping'!$A$137:$A$220,0),MATCH(G445,'ei names mapping'!$B$136:$BK$136,0))</f>
        <v>-4.1749999999999998E-6</v>
      </c>
      <c r="C445" s="12" t="str">
        <f>INDEX('ei names mapping'!$B$38:$BK$67,MATCH(B411,'ei names mapping'!$A$4:$A$33,0),MATCH(G445,'ei names mapping'!$B$3:$BK$3,0))</f>
        <v>RER</v>
      </c>
      <c r="D445" s="12" t="str">
        <f>INDEX('ei names mapping'!$B$104:$BK$133,MATCH(B411,'ei names mapping'!$A$4:$A$33,0),MATCH(G445,'ei names mapping'!$B$3:$BK$3,0))</f>
        <v>kilogram</v>
      </c>
      <c r="E445" s="12"/>
      <c r="F445" s="12" t="s">
        <v>91</v>
      </c>
      <c r="G445" t="s">
        <v>31</v>
      </c>
      <c r="H445" s="12" t="str">
        <f>INDEX('ei names mapping'!$B$71:$BK$100,MATCH(B411,'ei names mapping'!$A$4:$A$33,0),MATCH(G445,'ei names mapping'!$B$3:$BK$3,0))</f>
        <v>brake wear emissions, passenger car</v>
      </c>
    </row>
    <row r="447" spans="1:8" ht="15.6" x14ac:dyDescent="0.3">
      <c r="A447" s="11" t="s">
        <v>72</v>
      </c>
      <c r="B447" s="9" t="str">
        <f>"transport, "&amp;B449&amp;", "&amp;B451&amp;", label-certified electricity"</f>
        <v>transport, Motorbike, electric, &lt;4kW, 2050, label-certified electricity</v>
      </c>
    </row>
    <row r="448" spans="1:8" x14ac:dyDescent="0.3">
      <c r="A448" t="s">
        <v>73</v>
      </c>
      <c r="B448" t="s">
        <v>37</v>
      </c>
    </row>
    <row r="449" spans="1:2" x14ac:dyDescent="0.3">
      <c r="A449" t="s">
        <v>87</v>
      </c>
      <c r="B449" s="21" t="s">
        <v>520</v>
      </c>
    </row>
    <row r="450" spans="1:2" x14ac:dyDescent="0.3">
      <c r="A450" t="s">
        <v>88</v>
      </c>
      <c r="B450" s="12"/>
    </row>
    <row r="451" spans="1:2" x14ac:dyDescent="0.3">
      <c r="A451" t="s">
        <v>89</v>
      </c>
      <c r="B451" s="12">
        <v>2050</v>
      </c>
    </row>
    <row r="452" spans="1:2" x14ac:dyDescent="0.3">
      <c r="A452" t="s">
        <v>131</v>
      </c>
      <c r="B452" s="12" t="str">
        <f>B449&amp;" - "&amp;B451&amp;" - "&amp;B448</f>
        <v>Motorbike, electric, &lt;4kW - 2050 - CH</v>
      </c>
    </row>
    <row r="453" spans="1:2" x14ac:dyDescent="0.3">
      <c r="A453" t="s">
        <v>74</v>
      </c>
      <c r="B453" s="12" t="str">
        <f>"transport, "&amp;B449</f>
        <v>transport, Motorbike, electric, &lt;4kW</v>
      </c>
    </row>
    <row r="454" spans="1:2" x14ac:dyDescent="0.3">
      <c r="A454" t="s">
        <v>75</v>
      </c>
      <c r="B454" t="s">
        <v>76</v>
      </c>
    </row>
    <row r="455" spans="1:2" x14ac:dyDescent="0.3">
      <c r="A455" t="s">
        <v>77</v>
      </c>
      <c r="B455" t="s">
        <v>172</v>
      </c>
    </row>
    <row r="456" spans="1:2" x14ac:dyDescent="0.3">
      <c r="A456" t="s">
        <v>79</v>
      </c>
      <c r="B456" t="s">
        <v>90</v>
      </c>
    </row>
    <row r="457" spans="1:2" x14ac:dyDescent="0.3">
      <c r="A457" t="s">
        <v>132</v>
      </c>
      <c r="B457">
        <f>INDEX('vehicles specifications'!$B$3:$CK$86,MATCH(B452,'vehicles specifications'!$A$3:$A$86,0),MATCH("Lifetime [km]",'vehicles specifications'!$B$2:$CK$2,0))</f>
        <v>33400</v>
      </c>
    </row>
    <row r="458" spans="1:2" x14ac:dyDescent="0.3">
      <c r="A458" t="s">
        <v>133</v>
      </c>
      <c r="B458">
        <f>INDEX('vehicles specifications'!$B$3:$CK$86,MATCH(B452,'vehicles specifications'!$A$3:$A$86,0),MATCH("Passengers [unit]",'vehicles specifications'!$B$2:$CK$2,0))</f>
        <v>1.1000000000000001</v>
      </c>
    </row>
    <row r="459" spans="1:2" x14ac:dyDescent="0.3">
      <c r="A459" t="s">
        <v>134</v>
      </c>
      <c r="B459">
        <f>INDEX('vehicles specifications'!$B$3:$CK$86,MATCH(B452,'vehicles specifications'!$A$3:$A$86,0),MATCH("Servicing [unit]",'vehicles specifications'!$B$2:$CK$2,0))</f>
        <v>0.66800000000000004</v>
      </c>
    </row>
    <row r="460" spans="1:2" x14ac:dyDescent="0.3">
      <c r="A460" t="s">
        <v>135</v>
      </c>
      <c r="B460">
        <f>INDEX('vehicles specifications'!$B$3:$CK$86,MATCH(B452,'vehicles specifications'!$A$3:$A$86,0),MATCH("Energy battery replacement [unit]",'vehicles specifications'!$B$2:$CK$2,0))</f>
        <v>0</v>
      </c>
    </row>
    <row r="461" spans="1:2" x14ac:dyDescent="0.3">
      <c r="A461" t="s">
        <v>136</v>
      </c>
      <c r="B461">
        <f>INDEX('vehicles specifications'!$B$3:$CK$86,MATCH(B452,'vehicles specifications'!$A$3:$A$86,0),MATCH("Annual kilometers [km]",'vehicles specifications'!$B$2:$CK$2,0))</f>
        <v>2553</v>
      </c>
    </row>
    <row r="462" spans="1:2" x14ac:dyDescent="0.3">
      <c r="A462" t="s">
        <v>137</v>
      </c>
      <c r="B462" s="2">
        <f>INDEX('vehicles specifications'!$B$3:$CK$86,MATCH(B452,'vehicles specifications'!$A$3:$A$86,0),MATCH("Curb mass [kg]",'vehicles specifications'!$B$2:$CK$2,0))</f>
        <v>75.69</v>
      </c>
    </row>
    <row r="463" spans="1:2" x14ac:dyDescent="0.3">
      <c r="A463" t="s">
        <v>138</v>
      </c>
      <c r="B463">
        <f>INDEX('vehicles specifications'!$B$3:$CK$86,MATCH(B452,'vehicles specifications'!$A$3:$A$86,0),MATCH("Power [kW]",'vehicles specifications'!$B$2:$CK$2,0))</f>
        <v>2.5</v>
      </c>
    </row>
    <row r="464" spans="1:2" x14ac:dyDescent="0.3">
      <c r="A464" t="s">
        <v>139</v>
      </c>
      <c r="B464">
        <f>INDEX('vehicles specifications'!$B$3:$CK$86,MATCH(B452,'vehicles specifications'!$A$3:$A$86,0),MATCH("Energy battery mass [kg]",'vehicles specifications'!$B$2:$CK$2,0))</f>
        <v>14.4</v>
      </c>
    </row>
    <row r="465" spans="1:8" x14ac:dyDescent="0.3">
      <c r="A465" t="s">
        <v>140</v>
      </c>
      <c r="B465">
        <f>INDEX('vehicles specifications'!$B$3:$CK$86,MATCH(B452,'vehicles specifications'!$A$3:$A$86,0),MATCH("Electric energy stored [kWh]",'vehicles specifications'!$B$2:$CK$2,0))</f>
        <v>6</v>
      </c>
    </row>
    <row r="466" spans="1:8" s="21" customFormat="1" x14ac:dyDescent="0.3">
      <c r="A466" s="21" t="s">
        <v>654</v>
      </c>
      <c r="B466" s="21">
        <f>INDEX('vehicles specifications'!$B$3:$CK$86,MATCH(B452,'vehicles specifications'!$A$3:$A$86,0),MATCH("Electric energy available [kWh]",'vehicles specifications'!$B$2:$CK$2,0))</f>
        <v>4.8000000000000007</v>
      </c>
    </row>
    <row r="467" spans="1:8" x14ac:dyDescent="0.3">
      <c r="A467" t="s">
        <v>143</v>
      </c>
      <c r="B467" s="2">
        <f>INDEX('vehicles specifications'!$B$3:$CK$86,MATCH(B452,'vehicles specifications'!$A$3:$A$86,0),MATCH("Oxydation energy stored [kWh]",'vehicles specifications'!$B$2:$CK$2,0))</f>
        <v>0</v>
      </c>
    </row>
    <row r="468" spans="1:8" x14ac:dyDescent="0.3">
      <c r="A468" t="s">
        <v>145</v>
      </c>
      <c r="B468">
        <f>INDEX('vehicles specifications'!$B$3:$CK$86,MATCH(B452,'vehicles specifications'!$A$3:$A$86,0),MATCH("Fuel mass [kg]",'vehicles specifications'!$B$2:$CK$2,0))</f>
        <v>0</v>
      </c>
    </row>
    <row r="469" spans="1:8" x14ac:dyDescent="0.3">
      <c r="A469" t="s">
        <v>141</v>
      </c>
      <c r="B469" s="2">
        <f>INDEX('vehicles specifications'!$B$3:$CK$86,MATCH(B452,'vehicles specifications'!$A$3:$A$86,0),MATCH("Range [km]",'vehicles specifications'!$B$2:$CK$2,0))</f>
        <v>142.80991735537191</v>
      </c>
    </row>
    <row r="470" spans="1:8" x14ac:dyDescent="0.3">
      <c r="A470" t="s">
        <v>142</v>
      </c>
      <c r="B470" t="str">
        <f>INDEX('vehicles specifications'!$B$3:$CK$86,MATCH(B452,'vehicles specifications'!$A$3:$A$86,0),MATCH("Emission standard",'vehicles specifications'!$B$2:$CK$2,0))</f>
        <v>None</v>
      </c>
    </row>
    <row r="471" spans="1:8" x14ac:dyDescent="0.3">
      <c r="A471" t="s">
        <v>144</v>
      </c>
      <c r="B471" s="6">
        <f>INDEX('vehicles specifications'!$B$3:$CK$86,MATCH(B452,'vehicles specifications'!$A$3:$A$86,0),MATCH("Lightweighting rate [%]",'vehicles specifications'!$B$2:$CK$2,0))</f>
        <v>7.0000000000000007E-2</v>
      </c>
    </row>
    <row r="472" spans="1:8" x14ac:dyDescent="0.3">
      <c r="A472" t="s">
        <v>84</v>
      </c>
      <c r="B472" s="21" t="str">
        <f>"Power: "&amp;B463&amp;" kW. Lifetime: "&amp;B457&amp;" km. Annual kilometers: "&amp;B461&amp;" km. Number of passengers: "&amp;B458&amp;". Curb mass: "&amp;ROUND(B462,1)&amp;" kg. Lightweighting of glider: "&amp;ROUND(B471*100,0)&amp;"%. Emission standard: "&amp;B470&amp;". Service visits throughout lifetime: "&amp;ROUND(B459,1)&amp;". Range: "&amp;ROUND(B469,0)&amp;" km. Battery capacity: "&amp;ROUND(B465,1)&amp;" kWh. Available battery capacity: "&amp;B466&amp;" kWh. Battery mass: "&amp;ROUND(B464,1)&amp; " kg. Battery replacement throughout lifetime: "&amp;ROUND(B460,1)&amp;". Fuel tank capacity: "&amp;ROUND(B467,1)&amp;" kWh. Fuel mass: "&amp;ROUND(B468,1)&amp;" kg. Documentation: "&amp;Readmefirst!$B$2&amp;", "&amp;Readmefirst!$B$3&amp;". "&amp;'lci-kick scooter'!B411</f>
        <v xml:space="preserve">Power: 2.5 kW. Lifetime: 33400 km. Annual kilometers: 2553 km. Number of passengers: 1.1. Curb mass: 75.7 kg. Lightweighting of glider: 7%. Emission standard: None. Service visits throughout lifetime: 0.7. Range: 143 km. Battery capacity: 6 kWh. Available battery capacity: 4.8 kWh. Battery mass: 14.4 kg. Battery replacement throughout lifetime: 0. Fuel tank capacity: 0 kWh. Fuel mass: 0 kg. Documentation: 2021 UVEK life-cycle inventories update of on-road vehicles, Sacchi R. (PSI), Bauer C. (PSI), 2021. </v>
      </c>
    </row>
    <row r="473" spans="1:8" ht="15.6" x14ac:dyDescent="0.3">
      <c r="A473" s="11" t="s">
        <v>80</v>
      </c>
    </row>
    <row r="474" spans="1:8" x14ac:dyDescent="0.3">
      <c r="A474" t="s">
        <v>81</v>
      </c>
      <c r="B474" t="s">
        <v>82</v>
      </c>
      <c r="C474" t="s">
        <v>73</v>
      </c>
      <c r="D474" t="s">
        <v>77</v>
      </c>
      <c r="E474" t="s">
        <v>83</v>
      </c>
      <c r="F474" t="s">
        <v>75</v>
      </c>
      <c r="G474" t="s">
        <v>84</v>
      </c>
      <c r="H474" t="s">
        <v>74</v>
      </c>
    </row>
    <row r="475" spans="1:8" x14ac:dyDescent="0.3">
      <c r="A475" s="12" t="str">
        <f>B447</f>
        <v>transport, Motorbike, electric, &lt;4kW, 2050, label-certified electricity</v>
      </c>
      <c r="B475" s="12">
        <v>1</v>
      </c>
      <c r="C475" s="12" t="str">
        <f>B448</f>
        <v>CH</v>
      </c>
      <c r="D475" s="12" t="s">
        <v>172</v>
      </c>
      <c r="E475" s="12"/>
      <c r="F475" s="12" t="s">
        <v>85</v>
      </c>
      <c r="G475" s="12" t="s">
        <v>86</v>
      </c>
      <c r="H475" s="12" t="str">
        <f>B453</f>
        <v>transport, Motorbike, electric, &lt;4kW</v>
      </c>
    </row>
    <row r="476" spans="1:8" x14ac:dyDescent="0.3">
      <c r="A476" s="12" t="str">
        <f>B449&amp;", "&amp;B451</f>
        <v>Motorbike, electric, &lt;4kW, 2050</v>
      </c>
      <c r="B476" s="12">
        <f>1/B457</f>
        <v>2.9940119760479042E-5</v>
      </c>
      <c r="C476" s="12" t="str">
        <f>B448</f>
        <v>CH</v>
      </c>
      <c r="D476" s="12" t="s">
        <v>77</v>
      </c>
      <c r="E476" s="12"/>
      <c r="F476" s="12" t="s">
        <v>91</v>
      </c>
      <c r="G476" s="12"/>
      <c r="H476" s="12" t="str">
        <f>RIGHT(H475,LEN(H475)-11)</f>
        <v>Motorbike, electric, &lt;4kW</v>
      </c>
    </row>
    <row r="477" spans="1:8" x14ac:dyDescent="0.3">
      <c r="A477" s="12" t="str">
        <f>INDEX('ei names mapping'!$B$4:$R$33,MATCH(B449,'ei names mapping'!$A$4:$A$33,0),MATCH(G477,'ei names mapping'!$B$3:$R$3,0))</f>
        <v>road maintenance</v>
      </c>
      <c r="B477" s="16">
        <f>INDEX('vehicles specifications'!$B$3:$CK$86,MATCH(B452,'vehicles specifications'!$A$3:$A$86,0),MATCH(G477,'vehicles specifications'!$B$2:$CK$2,0))*INDEX('ei names mapping'!$B$137:$BK$220,MATCH(B452,'ei names mapping'!$A$137:$A$220,0),MATCH(G477,'ei names mapping'!$B$136:$BK$136,0))</f>
        <v>1.2899999999999999E-3</v>
      </c>
      <c r="C477" s="12" t="str">
        <f>INDEX('ei names mapping'!$B$38:$R$67,MATCH(B449,'ei names mapping'!$A$4:$A$33,0),MATCH(G477,'ei names mapping'!$B$3:$R$3,0))</f>
        <v>CH</v>
      </c>
      <c r="D477" s="12" t="str">
        <f>INDEX('ei names mapping'!$B$104:$BK$133,MATCH(B449,'ei names mapping'!$A$4:$A$33,0),MATCH(G477,'ei names mapping'!$B$3:$BK$3,0))</f>
        <v>meter-year</v>
      </c>
      <c r="E477" s="12"/>
      <c r="F477" s="12" t="s">
        <v>91</v>
      </c>
      <c r="G477" t="s">
        <v>117</v>
      </c>
      <c r="H477" s="12" t="str">
        <f>INDEX('ei names mapping'!$B$71:$BK$100,MATCH(B449,'ei names mapping'!$A$4:$A$33,0),MATCH(G477,'ei names mapping'!$B$3:$BK$3,0))</f>
        <v>road maintenance</v>
      </c>
    </row>
    <row r="478" spans="1:8" x14ac:dyDescent="0.3">
      <c r="A478" s="12" t="s">
        <v>114</v>
      </c>
      <c r="B478" s="14">
        <f>INDEX('vehicles specifications'!$B$3:$CK$86,MATCH(B452,'vehicles specifications'!$A$3:$A$86,0),MATCH(G478,'vehicles specifications'!$B$2:$CK$2,0))*INDEX('ei names mapping'!$B$137:$BK$220,MATCH(B452,'ei names mapping'!$A$137:$A$220,0),MATCH(G478,'ei names mapping'!$B$136:$BK$136,0))</f>
        <v>3.6972222222222226E-2</v>
      </c>
      <c r="C478" s="12" t="str">
        <f>INDEX('ei names mapping'!$B$38:$R$67,MATCH($B$3,'ei names mapping'!$A$4:$A$33,0),MATCH(G478,'ei names mapping'!$B$3:$R$3,0))</f>
        <v>CH</v>
      </c>
      <c r="D478" s="12" t="str">
        <f>INDEX('ei names mapping'!$B$104:$R$133,MATCH($B$3,'ei names mapping'!$A$4:$A$33,0),MATCH(G478,'ei names mapping'!$B$3:$R$3,0))</f>
        <v>kilowatt hour</v>
      </c>
      <c r="E478" s="12"/>
      <c r="F478" s="12" t="s">
        <v>91</v>
      </c>
      <c r="G478" t="s">
        <v>28</v>
      </c>
      <c r="H478" s="12" t="s">
        <v>116</v>
      </c>
    </row>
    <row r="479" spans="1:8" x14ac:dyDescent="0.3">
      <c r="A479" s="12" t="str">
        <f>INDEX('ei names mapping'!$B$4:$R$33,MATCH(B449,'ei names mapping'!$A$4:$A$33,0),MATCH(G479,'ei names mapping'!$B$3:$R$3,0))</f>
        <v>market for maintenance, electric scooter, without battery</v>
      </c>
      <c r="B479" s="16">
        <f>INDEX('vehicles specifications'!$B$3:$CK$86,MATCH(B452,'vehicles specifications'!$A$3:$A$86,0),MATCH(G479,'vehicles specifications'!$B$2:$CK$2,0))*INDEX('ei names mapping'!$B$137:$BK$220,MATCH(B452,'ei names mapping'!$A$137:$A$220,0),MATCH(G479,'ei names mapping'!$B$136:$BK$136,0))</f>
        <v>2.0000000000000002E-5</v>
      </c>
      <c r="C479" s="12" t="str">
        <f>INDEX('ei names mapping'!$B$38:$BK$67,MATCH(B449,'ei names mapping'!$A$4:$A$33,0),MATCH(G479,'ei names mapping'!$B$3:$BK$3,0))</f>
        <v>GLO</v>
      </c>
      <c r="D479" s="12" t="str">
        <f>INDEX('ei names mapping'!$B$104:$BK$133,MATCH(B449,'ei names mapping'!$A$4:$A$33,0),MATCH(G479,'ei names mapping'!$B$3:$BK$3,0))</f>
        <v>unit</v>
      </c>
      <c r="F479" s="12" t="s">
        <v>91</v>
      </c>
      <c r="G479" s="12" t="s">
        <v>123</v>
      </c>
      <c r="H479" s="12" t="str">
        <f>INDEX('ei names mapping'!$B$71:$BK$100,MATCH(B449,'ei names mapping'!$A$4:$A$33,0),MATCH(G479,'ei names mapping'!$B$3:$BK$3,0))</f>
        <v>maintenance, electric scooter, without battery</v>
      </c>
    </row>
    <row r="480" spans="1:8" s="21" customFormat="1" x14ac:dyDescent="0.3">
      <c r="A480" s="12" t="str">
        <f>INDEX('ei names mapping'!$B$4:$R$33,MATCH(B449,'ei names mapping'!$A$4:$A$33,0),MATCH(G480,'ei names mapping'!$B$3:$R$3,0))</f>
        <v>road construction</v>
      </c>
      <c r="B480" s="16">
        <f>INDEX('vehicles specifications'!$B$3:$CK$86,MATCH(B452,'vehicles specifications'!$A$3:$A$86,0),MATCH(G480,'vehicles specifications'!$B$2:$CK$2,0))*INDEX('ei names mapping'!$B$137:$BK$220,MATCH(B452,'ei names mapping'!$A$137:$A$220,0),MATCH(G480,'ei names mapping'!$B$136:$BK$136,0))</f>
        <v>8.5216530000000002E-5</v>
      </c>
      <c r="C480" s="12" t="str">
        <f>INDEX('ei names mapping'!$B$38:$R$67,MATCH(B449,'ei names mapping'!$A$4:$A$33,0),MATCH(G480,'ei names mapping'!$B$3:$R$3,0))</f>
        <v>CH</v>
      </c>
      <c r="D480" s="12" t="str">
        <f>INDEX('ei names mapping'!$B$104:$R$133,MATCH(B449,'ei names mapping'!$A$104:$A$133,0),MATCH(G480,'ei names mapping'!$B$3:$R$3,0))</f>
        <v>meter-year</v>
      </c>
      <c r="E480" s="12"/>
      <c r="F480" s="12" t="s">
        <v>91</v>
      </c>
      <c r="G480" s="21" t="s">
        <v>108</v>
      </c>
      <c r="H480" s="12" t="str">
        <f>INDEX('ei names mapping'!$B$71:$R$100,MATCH(B449,'ei names mapping'!$A$4:$A$33,0),MATCH(G480,'ei names mapping'!$B$3:$R$3,0))</f>
        <v>road</v>
      </c>
    </row>
    <row r="481" spans="1:8" x14ac:dyDescent="0.3">
      <c r="A481" s="12" t="str">
        <f>INDEX('ei names mapping'!$B$4:$BK$33,MATCH(B449,'ei names mapping'!$A$4:$A$33,0),MATCH(G481,'ei names mapping'!$B$3:$BK$3,0))</f>
        <v>treatment of road wear emissions, passenger car</v>
      </c>
      <c r="B481" s="16">
        <f>INDEX('vehicles specifications'!$B$3:$CK$86,MATCH(B452,'vehicles specifications'!$A$3:$A$86,0),MATCH(G481,'vehicles specifications'!$B$2:$CK$2,0))*INDEX('ei names mapping'!$B$137:$BK$220,MATCH(B452,'ei names mapping'!$A$137:$A$220,0),MATCH(G481,'ei names mapping'!$B$136:$BK$136,0))</f>
        <v>-6.0000000000000002E-6</v>
      </c>
      <c r="C481" s="12" t="str">
        <f>INDEX('ei names mapping'!$B$38:$BK$67,MATCH(B449,'ei names mapping'!$A$4:$A$33,0),MATCH(G481,'ei names mapping'!$B$3:$BK$3,0))</f>
        <v>RER</v>
      </c>
      <c r="D481" s="12" t="str">
        <f>INDEX('ei names mapping'!$B$104:$BK$133,MATCH(B449,'ei names mapping'!$A$4:$A$33,0),MATCH(G481,'ei names mapping'!$B$3:$BK$3,0))</f>
        <v>kilogram</v>
      </c>
      <c r="E481" s="12"/>
      <c r="F481" s="12" t="s">
        <v>91</v>
      </c>
      <c r="G481" t="s">
        <v>29</v>
      </c>
      <c r="H481" s="12" t="str">
        <f>INDEX('ei names mapping'!$B$71:$BK$100,MATCH(B449,'ei names mapping'!$A$4:$A$33,0),MATCH(G481,'ei names mapping'!$B$3:$BK$3,0))</f>
        <v>road wear emissions, passenger car</v>
      </c>
    </row>
    <row r="482" spans="1:8" x14ac:dyDescent="0.3">
      <c r="A482" s="12" t="str">
        <f>INDEX('ei names mapping'!$B$4:$BK$33,MATCH(B449,'ei names mapping'!$A$4:$A$33,0),MATCH(G482,'ei names mapping'!$B$3:$BK$3,0))</f>
        <v>treatment of tyre wear emissions, passenger car</v>
      </c>
      <c r="B482" s="16">
        <f>INDEX('vehicles specifications'!$B$3:$CK$86,MATCH(B452,'vehicles specifications'!$A$3:$A$86,0),MATCH(G482,'vehicles specifications'!$B$2:$CK$2,0))*INDEX('ei names mapping'!$B$137:$BK$220,MATCH(B452,'ei names mapping'!$A$137:$A$220,0),MATCH(G482,'ei names mapping'!$B$136:$BK$136,0))</f>
        <v>-7.3669999999999991E-6</v>
      </c>
      <c r="C482" s="12" t="str">
        <f>INDEX('ei names mapping'!$B$38:$BK$67,MATCH(B449,'ei names mapping'!$A$4:$A$33,0),MATCH(G482,'ei names mapping'!$B$3:$BK$3,0))</f>
        <v>RER</v>
      </c>
      <c r="D482" s="12" t="str">
        <f>INDEX('ei names mapping'!$B$104:$BK$133,MATCH(B449,'ei names mapping'!$A$4:$A$33,0),MATCH(G482,'ei names mapping'!$B$3:$BK$3,0))</f>
        <v>kilogram</v>
      </c>
      <c r="E482" s="12"/>
      <c r="F482" s="12" t="s">
        <v>91</v>
      </c>
      <c r="G482" t="s">
        <v>30</v>
      </c>
      <c r="H482" s="12" t="str">
        <f>INDEX('ei names mapping'!$B$71:$BK$100,MATCH(B449,'ei names mapping'!$A$4:$A$33,0),MATCH(G482,'ei names mapping'!$B$3:$BK$3,0))</f>
        <v>tyre wear emissions, passenger car</v>
      </c>
    </row>
    <row r="483" spans="1:8" x14ac:dyDescent="0.3">
      <c r="A483" s="12" t="str">
        <f>INDEX('ei names mapping'!$B$4:$BK$33,MATCH(B449,'ei names mapping'!$A$4:$A$33,0),MATCH(G483,'ei names mapping'!$B$3:$BK$3,0))</f>
        <v>treatment of brake wear emissions, passenger car</v>
      </c>
      <c r="B483" s="16">
        <f>INDEX('vehicles specifications'!$B$3:$CK$86,MATCH(B452,'vehicles specifications'!$A$3:$A$86,0),MATCH(G483,'vehicles specifications'!$B$2:$CK$2,0))*INDEX('ei names mapping'!$B$137:$BK$220,MATCH(B452,'ei names mapping'!$A$137:$A$220,0),MATCH(G483,'ei names mapping'!$B$136:$BK$136,0))</f>
        <v>-4.1749999999999998E-6</v>
      </c>
      <c r="C483" s="12" t="str">
        <f>INDEX('ei names mapping'!$B$38:$BK$67,MATCH(B449,'ei names mapping'!$A$4:$A$33,0),MATCH(G483,'ei names mapping'!$B$3:$BK$3,0))</f>
        <v>RER</v>
      </c>
      <c r="D483" s="12" t="str">
        <f>INDEX('ei names mapping'!$B$104:$BK$133,MATCH(B449,'ei names mapping'!$A$4:$A$33,0),MATCH(G483,'ei names mapping'!$B$3:$BK$3,0))</f>
        <v>kilogram</v>
      </c>
      <c r="E483" s="12"/>
      <c r="F483" s="12" t="s">
        <v>91</v>
      </c>
      <c r="G483" t="s">
        <v>31</v>
      </c>
      <c r="H483" s="12" t="str">
        <f>INDEX('ei names mapping'!$B$71:$BK$100,MATCH(B449,'ei names mapping'!$A$4:$A$33,0),MATCH(G483,'ei names mapping'!$B$3:$BK$3,0))</f>
        <v>brake wear emissions, passenger car</v>
      </c>
    </row>
    <row r="485" spans="1:8" ht="15.6" x14ac:dyDescent="0.3">
      <c r="A485" s="11"/>
      <c r="B485" s="9"/>
    </row>
    <row r="488" spans="1:8" x14ac:dyDescent="0.3">
      <c r="B488" s="12"/>
    </row>
    <row r="489" spans="1:8" x14ac:dyDescent="0.3">
      <c r="B489" s="12"/>
    </row>
    <row r="490" spans="1:8" x14ac:dyDescent="0.3">
      <c r="B490" s="12"/>
    </row>
    <row r="500" spans="1:8" x14ac:dyDescent="0.3">
      <c r="B500" s="2"/>
    </row>
    <row r="504" spans="1:8" x14ac:dyDescent="0.3">
      <c r="B504" s="2"/>
    </row>
    <row r="506" spans="1:8" x14ac:dyDescent="0.3">
      <c r="B506" s="2"/>
    </row>
    <row r="508" spans="1:8" x14ac:dyDescent="0.3">
      <c r="B508" s="6"/>
    </row>
    <row r="510" spans="1:8" ht="15.6" x14ac:dyDescent="0.3">
      <c r="A510" s="11"/>
    </row>
    <row r="512" spans="1:8" x14ac:dyDescent="0.3">
      <c r="A512" s="12"/>
      <c r="B512" s="12"/>
      <c r="C512" s="12"/>
      <c r="D512" s="12"/>
      <c r="E512" s="12"/>
      <c r="F512" s="12"/>
      <c r="G512" s="12"/>
      <c r="H512" s="12"/>
    </row>
    <row r="513" spans="1:8" x14ac:dyDescent="0.3">
      <c r="A513" s="12"/>
      <c r="B513" s="16"/>
      <c r="C513" s="12"/>
      <c r="D513" s="12"/>
      <c r="E513" s="12"/>
      <c r="F513" s="12"/>
      <c r="G513" s="12"/>
      <c r="H513" s="12"/>
    </row>
    <row r="514" spans="1:8" x14ac:dyDescent="0.3">
      <c r="A514" s="12"/>
      <c r="B514" s="16"/>
      <c r="C514" s="12"/>
      <c r="D514" s="12"/>
      <c r="E514" s="12"/>
      <c r="F514" s="12"/>
      <c r="H514" s="12"/>
    </row>
    <row r="515" spans="1:8" x14ac:dyDescent="0.3">
      <c r="A515" s="12"/>
      <c r="B515" s="16"/>
      <c r="C515" s="12"/>
      <c r="D515" s="12"/>
      <c r="E515" s="12"/>
      <c r="F515" s="12"/>
      <c r="H515" s="12"/>
    </row>
    <row r="516" spans="1:8" x14ac:dyDescent="0.3">
      <c r="A516" s="12"/>
      <c r="B516" s="16"/>
      <c r="C516" s="12"/>
      <c r="D516" s="12"/>
      <c r="E516" s="12"/>
      <c r="F516" s="12"/>
      <c r="H516" s="12"/>
    </row>
    <row r="517" spans="1:8" x14ac:dyDescent="0.3">
      <c r="A517" s="12"/>
      <c r="B517" s="16"/>
      <c r="C517" s="12"/>
      <c r="D517" s="12"/>
      <c r="E517" s="12"/>
      <c r="F517" s="12"/>
      <c r="H517" s="12"/>
    </row>
    <row r="518" spans="1:8" x14ac:dyDescent="0.3">
      <c r="A518" s="12"/>
      <c r="B518" s="16"/>
      <c r="C518" s="12"/>
      <c r="D518" s="12"/>
      <c r="E518" s="12"/>
      <c r="F518" s="12"/>
      <c r="H518" s="12"/>
    </row>
    <row r="519" spans="1:8" x14ac:dyDescent="0.3">
      <c r="A519" s="12"/>
      <c r="B519" s="16"/>
      <c r="C519" s="12"/>
      <c r="D519" s="12"/>
      <c r="E519" s="12"/>
      <c r="F519" s="12"/>
      <c r="H519" s="12"/>
    </row>
    <row r="520" spans="1:8" x14ac:dyDescent="0.3">
      <c r="A520" s="12"/>
      <c r="B520" s="16"/>
      <c r="C520" s="12"/>
      <c r="D520" s="12"/>
      <c r="E520" s="12"/>
      <c r="F520" s="12"/>
      <c r="H520" s="12"/>
    </row>
    <row r="521" spans="1:8" x14ac:dyDescent="0.3">
      <c r="A521" s="12"/>
      <c r="B521" s="16"/>
      <c r="C521" s="12"/>
      <c r="D521" s="12"/>
      <c r="E521" s="12"/>
      <c r="F521" s="12"/>
      <c r="H521" s="12"/>
    </row>
    <row r="522" spans="1:8" x14ac:dyDescent="0.3">
      <c r="A522" s="12"/>
      <c r="B522" s="16"/>
      <c r="C522" s="12"/>
      <c r="D522" s="12"/>
      <c r="E522" s="12"/>
      <c r="F522" s="12"/>
      <c r="H522" s="12"/>
    </row>
    <row r="523" spans="1:8" x14ac:dyDescent="0.3">
      <c r="A523" s="12"/>
      <c r="B523" s="16"/>
      <c r="C523" s="12"/>
      <c r="D523" s="12"/>
      <c r="E523" s="12"/>
      <c r="F523" s="12"/>
      <c r="H523" s="12"/>
    </row>
    <row r="524" spans="1:8" ht="15.6" x14ac:dyDescent="0.3">
      <c r="A524" s="11"/>
      <c r="B524" s="9"/>
    </row>
    <row r="527" spans="1:8" x14ac:dyDescent="0.3">
      <c r="B527" s="12"/>
    </row>
    <row r="528" spans="1:8" x14ac:dyDescent="0.3">
      <c r="B528" s="12"/>
    </row>
    <row r="529" spans="2:2" x14ac:dyDescent="0.3">
      <c r="B529" s="12"/>
    </row>
    <row r="539" spans="2:2" x14ac:dyDescent="0.3">
      <c r="B539" s="2"/>
    </row>
    <row r="543" spans="2:2" x14ac:dyDescent="0.3">
      <c r="B543" s="2"/>
    </row>
    <row r="545" spans="1:8" x14ac:dyDescent="0.3">
      <c r="B545" s="2"/>
    </row>
    <row r="547" spans="1:8" x14ac:dyDescent="0.3">
      <c r="B547" s="6"/>
    </row>
    <row r="549" spans="1:8" ht="15.6" x14ac:dyDescent="0.3">
      <c r="A549" s="11"/>
    </row>
    <row r="551" spans="1:8" x14ac:dyDescent="0.3">
      <c r="A551" s="12"/>
      <c r="B551" s="12"/>
      <c r="C551" s="12"/>
      <c r="D551" s="12"/>
      <c r="E551" s="12"/>
      <c r="F551" s="12"/>
      <c r="G551" s="12"/>
      <c r="H551" s="12"/>
    </row>
    <row r="552" spans="1:8" x14ac:dyDescent="0.3">
      <c r="A552" s="12"/>
      <c r="B552" s="16"/>
      <c r="C552" s="12"/>
      <c r="D552" s="12"/>
      <c r="E552" s="12"/>
      <c r="F552" s="12"/>
      <c r="G552" s="12"/>
      <c r="H552" s="12"/>
    </row>
    <row r="553" spans="1:8" x14ac:dyDescent="0.3">
      <c r="A553" s="12"/>
      <c r="B553" s="16"/>
      <c r="C553" s="12"/>
      <c r="D553" s="12"/>
      <c r="E553" s="12"/>
      <c r="F553" s="12"/>
      <c r="H553" s="12"/>
    </row>
    <row r="554" spans="1:8" x14ac:dyDescent="0.3">
      <c r="A554" s="12"/>
      <c r="B554" s="16"/>
      <c r="C554" s="12"/>
      <c r="D554" s="12"/>
      <c r="E554" s="12"/>
      <c r="F554" s="12"/>
      <c r="H554" s="12"/>
    </row>
    <row r="555" spans="1:8" x14ac:dyDescent="0.3">
      <c r="A555" s="12"/>
      <c r="B555" s="16"/>
      <c r="C555" s="12"/>
      <c r="D555" s="12"/>
      <c r="E555" s="12"/>
      <c r="F555" s="12"/>
      <c r="H555" s="12"/>
    </row>
    <row r="556" spans="1:8" x14ac:dyDescent="0.3">
      <c r="A556" s="12"/>
      <c r="B556" s="16"/>
      <c r="C556" s="12"/>
      <c r="D556" s="12"/>
      <c r="E556" s="12"/>
      <c r="F556" s="12"/>
      <c r="H556" s="12"/>
    </row>
    <row r="557" spans="1:8" x14ac:dyDescent="0.3">
      <c r="A557" s="12"/>
      <c r="B557" s="16"/>
      <c r="C557" s="12"/>
      <c r="D557" s="12"/>
      <c r="E557" s="12"/>
      <c r="F557" s="12"/>
      <c r="H557" s="12"/>
    </row>
    <row r="558" spans="1:8" x14ac:dyDescent="0.3">
      <c r="A558" s="12"/>
      <c r="B558" s="16"/>
      <c r="C558" s="12"/>
      <c r="D558" s="12"/>
      <c r="E558" s="12"/>
      <c r="F558" s="12"/>
      <c r="H558" s="12"/>
    </row>
    <row r="559" spans="1:8" x14ac:dyDescent="0.3">
      <c r="A559" s="12"/>
      <c r="B559" s="16"/>
      <c r="C559" s="12"/>
      <c r="D559" s="12"/>
      <c r="E559" s="12"/>
      <c r="F559" s="12"/>
      <c r="H559" s="12"/>
    </row>
    <row r="560" spans="1:8" x14ac:dyDescent="0.3">
      <c r="A560" s="12"/>
      <c r="B560" s="16"/>
      <c r="C560" s="12"/>
      <c r="D560" s="12"/>
      <c r="E560" s="12"/>
      <c r="F560" s="12"/>
      <c r="H560" s="12"/>
    </row>
    <row r="561" spans="1:8" x14ac:dyDescent="0.3">
      <c r="A561" s="12"/>
      <c r="B561" s="16"/>
      <c r="C561" s="12"/>
      <c r="D561" s="12"/>
      <c r="E561" s="12"/>
      <c r="F561" s="12"/>
      <c r="H561" s="12"/>
    </row>
    <row r="562" spans="1:8" x14ac:dyDescent="0.3">
      <c r="B562" s="12"/>
    </row>
    <row r="563" spans="1:8" ht="15.6" x14ac:dyDescent="0.3">
      <c r="A563" s="11"/>
      <c r="B563" s="9"/>
    </row>
    <row r="566" spans="1:8" x14ac:dyDescent="0.3">
      <c r="B566" s="12"/>
    </row>
    <row r="567" spans="1:8" x14ac:dyDescent="0.3">
      <c r="B567" s="12"/>
    </row>
    <row r="568" spans="1:8" x14ac:dyDescent="0.3">
      <c r="B568" s="12"/>
    </row>
    <row r="578" spans="1:8" x14ac:dyDescent="0.3">
      <c r="B578" s="2"/>
    </row>
    <row r="582" spans="1:8" x14ac:dyDescent="0.3">
      <c r="B582" s="2"/>
    </row>
    <row r="584" spans="1:8" x14ac:dyDescent="0.3">
      <c r="B584" s="2"/>
    </row>
    <row r="586" spans="1:8" x14ac:dyDescent="0.3">
      <c r="B586" s="6"/>
    </row>
    <row r="588" spans="1:8" ht="15.6" x14ac:dyDescent="0.3">
      <c r="A588" s="11"/>
    </row>
    <row r="590" spans="1:8" x14ac:dyDescent="0.3">
      <c r="A590" s="12"/>
      <c r="B590" s="12"/>
      <c r="C590" s="12"/>
      <c r="D590" s="12"/>
      <c r="E590" s="12"/>
      <c r="F590" s="12"/>
      <c r="G590" s="12"/>
      <c r="H590" s="12"/>
    </row>
    <row r="591" spans="1:8" x14ac:dyDescent="0.3">
      <c r="A591" s="12"/>
      <c r="B591" s="16"/>
      <c r="C591" s="12"/>
      <c r="D591" s="12"/>
      <c r="E591" s="12"/>
      <c r="F591" s="12"/>
      <c r="G591" s="12"/>
      <c r="H591" s="12"/>
    </row>
    <row r="592" spans="1:8" x14ac:dyDescent="0.3">
      <c r="A592" s="12"/>
      <c r="B592" s="16"/>
      <c r="C592" s="12"/>
      <c r="D592" s="12"/>
      <c r="E592" s="12"/>
      <c r="F592" s="12"/>
      <c r="H592" s="12"/>
    </row>
    <row r="593" spans="1:8" x14ac:dyDescent="0.3">
      <c r="A593" s="12"/>
      <c r="B593" s="16"/>
      <c r="C593" s="12"/>
      <c r="D593" s="12"/>
      <c r="E593" s="12"/>
      <c r="F593" s="12"/>
      <c r="H593" s="12"/>
    </row>
    <row r="594" spans="1:8" x14ac:dyDescent="0.3">
      <c r="A594" s="12"/>
      <c r="B594" s="16"/>
      <c r="C594" s="12"/>
      <c r="D594" s="12"/>
      <c r="E594" s="12"/>
      <c r="F594" s="12"/>
      <c r="H594" s="12"/>
    </row>
    <row r="595" spans="1:8" x14ac:dyDescent="0.3">
      <c r="A595" s="12"/>
      <c r="B595" s="16"/>
      <c r="C595" s="12"/>
      <c r="D595" s="12"/>
      <c r="E595" s="12"/>
      <c r="F595" s="12"/>
      <c r="H595" s="12"/>
    </row>
    <row r="596" spans="1:8" x14ac:dyDescent="0.3">
      <c r="A596" s="12"/>
      <c r="B596" s="16"/>
      <c r="C596" s="12"/>
      <c r="D596" s="12"/>
      <c r="E596" s="12"/>
      <c r="F596" s="12"/>
      <c r="H596" s="12"/>
    </row>
    <row r="597" spans="1:8" x14ac:dyDescent="0.3">
      <c r="A597" s="12"/>
      <c r="B597" s="16"/>
      <c r="C597" s="12"/>
      <c r="D597" s="12"/>
      <c r="E597" s="12"/>
      <c r="F597" s="12"/>
      <c r="H597" s="12"/>
    </row>
    <row r="598" spans="1:8" x14ac:dyDescent="0.3">
      <c r="A598" s="12"/>
      <c r="B598" s="16"/>
      <c r="C598" s="12"/>
      <c r="D598" s="12"/>
      <c r="E598" s="12"/>
      <c r="F598" s="12"/>
      <c r="H598" s="12"/>
    </row>
    <row r="599" spans="1:8" x14ac:dyDescent="0.3">
      <c r="A599" s="12"/>
      <c r="B599" s="16"/>
      <c r="C599" s="12"/>
      <c r="D599" s="12"/>
      <c r="E599" s="12"/>
      <c r="F599" s="12"/>
      <c r="H599" s="12"/>
    </row>
    <row r="600" spans="1:8" x14ac:dyDescent="0.3">
      <c r="A600" s="12"/>
      <c r="B600" s="16"/>
      <c r="C600" s="12"/>
      <c r="D600" s="12"/>
      <c r="E600" s="12"/>
      <c r="F600" s="12"/>
      <c r="H600" s="12"/>
    </row>
    <row r="602" spans="1:8" ht="15.6" x14ac:dyDescent="0.3">
      <c r="A602" s="11"/>
      <c r="B602" s="9"/>
    </row>
    <row r="605" spans="1:8" x14ac:dyDescent="0.3">
      <c r="B605" s="12"/>
    </row>
    <row r="606" spans="1:8" x14ac:dyDescent="0.3">
      <c r="B606" s="12"/>
    </row>
    <row r="607" spans="1:8" x14ac:dyDescent="0.3">
      <c r="B607" s="12"/>
    </row>
    <row r="617" spans="2:2" x14ac:dyDescent="0.3">
      <c r="B617" s="2"/>
    </row>
    <row r="621" spans="2:2" x14ac:dyDescent="0.3">
      <c r="B621" s="2"/>
    </row>
    <row r="623" spans="2:2" x14ac:dyDescent="0.3">
      <c r="B623" s="2"/>
    </row>
    <row r="625" spans="1:8" x14ac:dyDescent="0.3">
      <c r="B625" s="6"/>
    </row>
    <row r="627" spans="1:8" ht="15.6" x14ac:dyDescent="0.3">
      <c r="A627" s="11"/>
    </row>
    <row r="629" spans="1:8" x14ac:dyDescent="0.3">
      <c r="A629" s="12"/>
      <c r="B629" s="12"/>
      <c r="C629" s="12"/>
      <c r="D629" s="12"/>
      <c r="E629" s="12"/>
      <c r="F629" s="12"/>
      <c r="G629" s="12"/>
      <c r="H629" s="12"/>
    </row>
    <row r="630" spans="1:8" x14ac:dyDescent="0.3">
      <c r="A630" s="12"/>
      <c r="B630" s="16"/>
      <c r="C630" s="12"/>
      <c r="D630" s="12"/>
      <c r="E630" s="12"/>
      <c r="F630" s="12"/>
      <c r="G630" s="12"/>
      <c r="H630" s="12"/>
    </row>
    <row r="631" spans="1:8" x14ac:dyDescent="0.3">
      <c r="A631" s="12"/>
      <c r="B631" s="16"/>
      <c r="C631" s="12"/>
      <c r="D631" s="12"/>
      <c r="E631" s="12"/>
      <c r="F631" s="12"/>
      <c r="H631" s="12"/>
    </row>
    <row r="632" spans="1:8" x14ac:dyDescent="0.3">
      <c r="A632" s="12"/>
      <c r="B632" s="16"/>
      <c r="C632" s="12"/>
      <c r="D632" s="12"/>
      <c r="E632" s="12"/>
      <c r="F632" s="12"/>
      <c r="H632" s="12"/>
    </row>
    <row r="633" spans="1:8" x14ac:dyDescent="0.3">
      <c r="A633" s="12"/>
      <c r="B633" s="16"/>
      <c r="C633" s="12"/>
      <c r="D633" s="12"/>
      <c r="E633" s="12"/>
      <c r="F633" s="12"/>
      <c r="H633" s="12"/>
    </row>
    <row r="634" spans="1:8" x14ac:dyDescent="0.3">
      <c r="A634" s="12"/>
      <c r="B634" s="16"/>
      <c r="C634" s="12"/>
      <c r="D634" s="12"/>
      <c r="E634" s="12"/>
      <c r="F634" s="12"/>
      <c r="H634" s="12"/>
    </row>
    <row r="635" spans="1:8" x14ac:dyDescent="0.3">
      <c r="A635" s="12"/>
      <c r="B635" s="16"/>
      <c r="C635" s="12"/>
      <c r="D635" s="12"/>
      <c r="E635" s="12"/>
      <c r="F635" s="12"/>
      <c r="H635" s="12"/>
    </row>
    <row r="636" spans="1:8" x14ac:dyDescent="0.3">
      <c r="A636" s="12"/>
      <c r="B636" s="16"/>
      <c r="C636" s="12"/>
      <c r="D636" s="12"/>
      <c r="E636" s="12"/>
      <c r="F636" s="12"/>
      <c r="H636" s="12"/>
    </row>
    <row r="637" spans="1:8" x14ac:dyDescent="0.3">
      <c r="A637" s="12"/>
      <c r="B637" s="16"/>
      <c r="C637" s="12"/>
      <c r="D637" s="12"/>
      <c r="E637" s="12"/>
      <c r="F637" s="12"/>
      <c r="H637" s="12"/>
    </row>
    <row r="638" spans="1:8" x14ac:dyDescent="0.3">
      <c r="A638" s="12"/>
      <c r="B638" s="16"/>
      <c r="C638" s="12"/>
      <c r="D638" s="12"/>
      <c r="E638" s="12"/>
      <c r="F638" s="12"/>
      <c r="H638" s="12"/>
    </row>
    <row r="639" spans="1:8" x14ac:dyDescent="0.3">
      <c r="A639" s="12"/>
      <c r="B639" s="16"/>
      <c r="C639" s="12"/>
      <c r="D639" s="12"/>
      <c r="E639" s="12"/>
      <c r="F639" s="12"/>
      <c r="H639" s="12"/>
    </row>
    <row r="640" spans="1:8" x14ac:dyDescent="0.3">
      <c r="B640" s="2"/>
    </row>
    <row r="641" spans="1:2" ht="15.6" x14ac:dyDescent="0.3">
      <c r="A641" s="11"/>
      <c r="B641" s="9"/>
    </row>
    <row r="644" spans="1:2" x14ac:dyDescent="0.3">
      <c r="B644" s="12"/>
    </row>
    <row r="645" spans="1:2" x14ac:dyDescent="0.3">
      <c r="B645" s="12"/>
    </row>
    <row r="646" spans="1:2" x14ac:dyDescent="0.3">
      <c r="B646" s="12"/>
    </row>
    <row r="647" spans="1:2" x14ac:dyDescent="0.3">
      <c r="B647" s="12"/>
    </row>
    <row r="656" spans="1:2" x14ac:dyDescent="0.3">
      <c r="B656" s="2"/>
    </row>
    <row r="660" spans="1:8" x14ac:dyDescent="0.3">
      <c r="B660" s="2"/>
    </row>
    <row r="662" spans="1:8" x14ac:dyDescent="0.3">
      <c r="B662" s="2"/>
    </row>
    <row r="664" spans="1:8" x14ac:dyDescent="0.3">
      <c r="B664" s="6"/>
    </row>
    <row r="666" spans="1:8" ht="15.6" x14ac:dyDescent="0.3">
      <c r="A666" s="11"/>
    </row>
    <row r="668" spans="1:8" x14ac:dyDescent="0.3">
      <c r="A668" s="12"/>
      <c r="B668" s="12"/>
      <c r="C668" s="12"/>
      <c r="D668" s="12"/>
      <c r="E668" s="12"/>
      <c r="F668" s="12"/>
      <c r="G668" s="12"/>
      <c r="H668" s="12"/>
    </row>
    <row r="669" spans="1:8" x14ac:dyDescent="0.3">
      <c r="A669" s="12"/>
      <c r="B669" s="15"/>
      <c r="C669" s="12"/>
      <c r="D669" s="12"/>
      <c r="E669" s="12"/>
      <c r="F669" s="12"/>
      <c r="G669" s="12"/>
      <c r="H669" s="12"/>
    </row>
    <row r="670" spans="1:8" x14ac:dyDescent="0.3">
      <c r="A670" s="12"/>
      <c r="B670" s="16"/>
      <c r="C670" s="12"/>
      <c r="D670" s="12"/>
      <c r="E670" s="12"/>
      <c r="F670" s="12"/>
      <c r="H670" s="12"/>
    </row>
    <row r="671" spans="1:8" x14ac:dyDescent="0.3">
      <c r="A671" s="12"/>
      <c r="B671" s="14"/>
      <c r="C671" s="12"/>
      <c r="D671" s="12"/>
      <c r="E671" s="12"/>
      <c r="F671" s="12"/>
      <c r="H671" s="12"/>
    </row>
    <row r="672" spans="1:8" x14ac:dyDescent="0.3">
      <c r="A672" s="12"/>
      <c r="B672" s="16"/>
      <c r="C672" s="12"/>
      <c r="D672" s="12"/>
      <c r="F672" s="12"/>
      <c r="G672" s="12"/>
      <c r="H672" s="12"/>
    </row>
    <row r="673" spans="1:8" x14ac:dyDescent="0.3">
      <c r="A673" s="12"/>
      <c r="B673" s="16"/>
      <c r="C673" s="12"/>
      <c r="D673" s="12"/>
      <c r="E673" s="12"/>
      <c r="F673" s="12"/>
      <c r="H673" s="12"/>
    </row>
    <row r="674" spans="1:8" x14ac:dyDescent="0.3">
      <c r="A674" s="12"/>
      <c r="B674" s="16"/>
      <c r="C674" s="12"/>
      <c r="D674" s="12"/>
      <c r="E674" s="12"/>
      <c r="F674" s="12"/>
      <c r="H674" s="12"/>
    </row>
    <row r="675" spans="1:8" x14ac:dyDescent="0.3">
      <c r="A675" s="12"/>
      <c r="B675" s="16"/>
      <c r="C675" s="12"/>
      <c r="D675" s="12"/>
      <c r="E675" s="12"/>
      <c r="F675" s="12"/>
      <c r="H675" s="12"/>
    </row>
    <row r="676" spans="1:8" x14ac:dyDescent="0.3">
      <c r="B676" s="6"/>
    </row>
    <row r="677" spans="1:8" ht="15.6" x14ac:dyDescent="0.3">
      <c r="A677" s="11"/>
      <c r="B677" s="9"/>
    </row>
    <row r="680" spans="1:8" x14ac:dyDescent="0.3">
      <c r="B680" s="12"/>
    </row>
    <row r="681" spans="1:8" x14ac:dyDescent="0.3">
      <c r="B681" s="12"/>
    </row>
    <row r="682" spans="1:8" x14ac:dyDescent="0.3">
      <c r="B682" s="12"/>
    </row>
    <row r="683" spans="1:8" x14ac:dyDescent="0.3">
      <c r="B683" s="12"/>
    </row>
    <row r="692" spans="1:8" x14ac:dyDescent="0.3">
      <c r="B692" s="2"/>
    </row>
    <row r="696" spans="1:8" x14ac:dyDescent="0.3">
      <c r="B696" s="2"/>
    </row>
    <row r="698" spans="1:8" x14ac:dyDescent="0.3">
      <c r="B698" s="2"/>
    </row>
    <row r="700" spans="1:8" x14ac:dyDescent="0.3">
      <c r="B700" s="6"/>
    </row>
    <row r="702" spans="1:8" ht="15.6" x14ac:dyDescent="0.3">
      <c r="A702" s="11"/>
    </row>
    <row r="704" spans="1:8" x14ac:dyDescent="0.3">
      <c r="A704" s="12"/>
      <c r="B704" s="12"/>
      <c r="C704" s="12"/>
      <c r="D704" s="12"/>
      <c r="E704" s="12"/>
      <c r="F704" s="12"/>
      <c r="G704" s="12"/>
      <c r="H704" s="12"/>
    </row>
    <row r="705" spans="1:8" x14ac:dyDescent="0.3">
      <c r="A705" s="12"/>
      <c r="B705" s="12"/>
      <c r="C705" s="12"/>
      <c r="D705" s="12"/>
      <c r="E705" s="12"/>
      <c r="F705" s="12"/>
      <c r="G705" s="12"/>
      <c r="H705" s="12"/>
    </row>
    <row r="706" spans="1:8" x14ac:dyDescent="0.3">
      <c r="A706" s="12"/>
      <c r="B706" s="16"/>
      <c r="C706" s="12"/>
      <c r="D706" s="12"/>
      <c r="E706" s="12"/>
      <c r="F706" s="12"/>
      <c r="H706" s="12"/>
    </row>
    <row r="707" spans="1:8" x14ac:dyDescent="0.3">
      <c r="A707" s="12"/>
      <c r="B707" s="14"/>
      <c r="C707" s="12"/>
      <c r="D707" s="12"/>
      <c r="E707" s="12"/>
      <c r="F707" s="12"/>
      <c r="H707" s="12"/>
    </row>
    <row r="708" spans="1:8" x14ac:dyDescent="0.3">
      <c r="A708" s="12"/>
      <c r="B708" s="16"/>
      <c r="C708" s="12"/>
      <c r="D708" s="12"/>
      <c r="F708" s="12"/>
      <c r="G708" s="12"/>
      <c r="H708" s="12"/>
    </row>
    <row r="709" spans="1:8" x14ac:dyDescent="0.3">
      <c r="A709" s="12"/>
      <c r="B709" s="16"/>
      <c r="C709" s="12"/>
      <c r="D709" s="12"/>
      <c r="E709" s="12"/>
      <c r="F709" s="12"/>
      <c r="H709" s="12"/>
    </row>
    <row r="710" spans="1:8" x14ac:dyDescent="0.3">
      <c r="A710" s="12"/>
      <c r="B710" s="16"/>
      <c r="C710" s="12"/>
      <c r="D710" s="12"/>
      <c r="E710" s="12"/>
      <c r="F710" s="12"/>
      <c r="H710" s="12"/>
    </row>
    <row r="711" spans="1:8" x14ac:dyDescent="0.3">
      <c r="A711" s="12"/>
      <c r="B711" s="16"/>
      <c r="C711" s="12"/>
      <c r="D711" s="12"/>
      <c r="E711" s="12"/>
      <c r="F711" s="12"/>
      <c r="H711" s="12"/>
    </row>
    <row r="713" spans="1:8" ht="15.6" x14ac:dyDescent="0.3">
      <c r="A713" s="11"/>
      <c r="B713" s="9"/>
    </row>
    <row r="716" spans="1:8" x14ac:dyDescent="0.3">
      <c r="B716" s="12"/>
    </row>
    <row r="717" spans="1:8" x14ac:dyDescent="0.3">
      <c r="B717" s="12"/>
    </row>
    <row r="718" spans="1:8" x14ac:dyDescent="0.3">
      <c r="B718" s="12"/>
    </row>
    <row r="719" spans="1:8" x14ac:dyDescent="0.3">
      <c r="B719" s="12"/>
    </row>
    <row r="728" spans="2:2" x14ac:dyDescent="0.3">
      <c r="B728" s="2"/>
    </row>
    <row r="732" spans="2:2" x14ac:dyDescent="0.3">
      <c r="B732" s="2"/>
    </row>
    <row r="734" spans="2:2" x14ac:dyDescent="0.3">
      <c r="B734" s="2"/>
    </row>
    <row r="736" spans="2:2" x14ac:dyDescent="0.3">
      <c r="B736" s="6"/>
    </row>
    <row r="738" spans="1:8" ht="15.6" x14ac:dyDescent="0.3">
      <c r="A738" s="11"/>
    </row>
    <row r="740" spans="1:8" x14ac:dyDescent="0.3">
      <c r="A740" s="12"/>
      <c r="B740" s="12"/>
      <c r="C740" s="12"/>
      <c r="D740" s="12"/>
      <c r="E740" s="12"/>
      <c r="F740" s="12"/>
      <c r="G740" s="12"/>
      <c r="H740" s="12"/>
    </row>
    <row r="741" spans="1:8" x14ac:dyDescent="0.3">
      <c r="A741" s="12"/>
      <c r="B741" s="12"/>
      <c r="C741" s="12"/>
      <c r="D741" s="12"/>
      <c r="E741" s="12"/>
      <c r="F741" s="12"/>
      <c r="G741" s="12"/>
      <c r="H741" s="12"/>
    </row>
    <row r="742" spans="1:8" x14ac:dyDescent="0.3">
      <c r="A742" s="12"/>
      <c r="B742" s="16"/>
      <c r="C742" s="12"/>
      <c r="D742" s="12"/>
      <c r="E742" s="12"/>
      <c r="F742" s="12"/>
      <c r="H742" s="12"/>
    </row>
    <row r="743" spans="1:8" x14ac:dyDescent="0.3">
      <c r="A743" s="12"/>
      <c r="B743" s="14"/>
      <c r="C743" s="12"/>
      <c r="D743" s="12"/>
      <c r="E743" s="12"/>
      <c r="F743" s="12"/>
      <c r="H743" s="12"/>
    </row>
    <row r="744" spans="1:8" x14ac:dyDescent="0.3">
      <c r="A744" s="12"/>
      <c r="B744" s="16"/>
      <c r="C744" s="12"/>
      <c r="D744" s="12"/>
      <c r="F744" s="12"/>
      <c r="G744" s="12"/>
      <c r="H744" s="12"/>
    </row>
    <row r="745" spans="1:8" x14ac:dyDescent="0.3">
      <c r="A745" s="12"/>
      <c r="B745" s="16"/>
      <c r="C745" s="12"/>
      <c r="D745" s="12"/>
      <c r="E745" s="12"/>
      <c r="F745" s="12"/>
      <c r="H745" s="12"/>
    </row>
    <row r="746" spans="1:8" x14ac:dyDescent="0.3">
      <c r="A746" s="12"/>
      <c r="B746" s="16"/>
      <c r="C746" s="12"/>
      <c r="D746" s="12"/>
      <c r="E746" s="12"/>
      <c r="F746" s="12"/>
      <c r="H746" s="12"/>
    </row>
    <row r="747" spans="1:8" x14ac:dyDescent="0.3">
      <c r="A747" s="12"/>
      <c r="B747" s="16"/>
      <c r="C747" s="12"/>
      <c r="D747" s="12"/>
      <c r="E747" s="12"/>
      <c r="F747" s="12"/>
      <c r="H747" s="12"/>
    </row>
    <row r="749" spans="1:8" ht="15.6" x14ac:dyDescent="0.3">
      <c r="A749" s="11"/>
      <c r="B749" s="9"/>
    </row>
    <row r="752" spans="1:8" x14ac:dyDescent="0.3">
      <c r="B752" s="12"/>
    </row>
    <row r="753" spans="2:2" x14ac:dyDescent="0.3">
      <c r="B753" s="12"/>
    </row>
    <row r="754" spans="2:2" x14ac:dyDescent="0.3">
      <c r="B754" s="12"/>
    </row>
    <row r="755" spans="2:2" x14ac:dyDescent="0.3">
      <c r="B755" s="12"/>
    </row>
    <row r="764" spans="2:2" x14ac:dyDescent="0.3">
      <c r="B764" s="2"/>
    </row>
    <row r="768" spans="2:2" x14ac:dyDescent="0.3">
      <c r="B768" s="2"/>
    </row>
    <row r="770" spans="1:8" x14ac:dyDescent="0.3">
      <c r="B770" s="2"/>
    </row>
    <row r="772" spans="1:8" x14ac:dyDescent="0.3">
      <c r="B772" s="6"/>
    </row>
    <row r="774" spans="1:8" ht="15.6" x14ac:dyDescent="0.3">
      <c r="A774" s="11"/>
    </row>
    <row r="776" spans="1:8" x14ac:dyDescent="0.3">
      <c r="A776" s="12"/>
      <c r="B776" s="12"/>
      <c r="C776" s="12"/>
      <c r="D776" s="12"/>
      <c r="E776" s="12"/>
      <c r="F776" s="12"/>
      <c r="G776" s="12"/>
      <c r="H776" s="12"/>
    </row>
    <row r="777" spans="1:8" x14ac:dyDescent="0.3">
      <c r="A777" s="12"/>
      <c r="B777" s="12"/>
      <c r="C777" s="12"/>
      <c r="D777" s="12"/>
      <c r="E777" s="12"/>
      <c r="F777" s="12"/>
      <c r="G777" s="12"/>
      <c r="H777" s="12"/>
    </row>
    <row r="778" spans="1:8" x14ac:dyDescent="0.3">
      <c r="A778" s="12"/>
      <c r="B778" s="16"/>
      <c r="C778" s="12"/>
      <c r="D778" s="12"/>
      <c r="E778" s="12"/>
      <c r="F778" s="12"/>
      <c r="H778" s="12"/>
    </row>
    <row r="779" spans="1:8" x14ac:dyDescent="0.3">
      <c r="A779" s="12"/>
      <c r="B779" s="14"/>
      <c r="C779" s="12"/>
      <c r="D779" s="12"/>
      <c r="E779" s="12"/>
      <c r="F779" s="12"/>
      <c r="H779" s="12"/>
    </row>
    <row r="780" spans="1:8" x14ac:dyDescent="0.3">
      <c r="A780" s="12"/>
      <c r="B780" s="16"/>
      <c r="C780" s="12"/>
      <c r="D780" s="12"/>
      <c r="F780" s="12"/>
      <c r="G780" s="12"/>
      <c r="H780" s="12"/>
    </row>
    <row r="781" spans="1:8" x14ac:dyDescent="0.3">
      <c r="A781" s="12"/>
      <c r="B781" s="16"/>
      <c r="C781" s="12"/>
      <c r="D781" s="12"/>
      <c r="E781" s="12"/>
      <c r="F781" s="12"/>
      <c r="H781" s="12"/>
    </row>
    <row r="782" spans="1:8" x14ac:dyDescent="0.3">
      <c r="A782" s="12"/>
      <c r="B782" s="16"/>
      <c r="C782" s="12"/>
      <c r="D782" s="12"/>
      <c r="E782" s="12"/>
      <c r="F782" s="12"/>
      <c r="H782" s="12"/>
    </row>
    <row r="783" spans="1:8" x14ac:dyDescent="0.3">
      <c r="A783" s="12"/>
      <c r="B783" s="16"/>
      <c r="C783" s="12"/>
      <c r="D783" s="12"/>
      <c r="E783" s="12"/>
      <c r="F783" s="12"/>
      <c r="H783"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Readmefirst</vt:lpstr>
      <vt:lpstr>vehicles specifications</vt:lpstr>
      <vt:lpstr>ei names mapping</vt:lpstr>
      <vt:lpstr>EoL and shipping</vt:lpstr>
      <vt:lpstr>abrasion emissions</vt:lpstr>
      <vt:lpstr>energy battery</vt:lpstr>
      <vt:lpstr>fuels and tailpipe emissions</vt:lpstr>
      <vt:lpstr>lci-kick scooter</vt:lpstr>
      <vt:lpstr>lci-motorbikes&lt;4kW</vt:lpstr>
      <vt:lpstr>lci-motorbikes-4-11kW</vt:lpstr>
      <vt:lpstr>lci-motorbikes-11-35kW</vt:lpstr>
      <vt:lpstr>lci-motorbikes&gt;35kW</vt:lpstr>
      <vt:lpstr>lci-motorbikes-gas-4-11kW</vt:lpstr>
      <vt:lpstr>lci-motorbikes-gas-11-35kW</vt:lpstr>
      <vt:lpstr>lci-motorbikes-gas-&gt;35kW</vt:lpstr>
      <vt:lpstr>lci-scooter&lt;4kW</vt:lpstr>
      <vt:lpstr>lci-scooter-4-11kW</vt:lpstr>
      <vt:lpstr>lci-scooter-electric&lt;4kW</vt:lpstr>
      <vt:lpstr>lci-scooter-electric-4-11kW</vt:lpstr>
      <vt:lpstr>lci-moped</vt:lpstr>
      <vt:lpstr>lci-bicycle</vt:lpstr>
      <vt:lpstr>lci-electric-bicycle-25kmh</vt:lpstr>
      <vt:lpstr>lci-electric-bicycle-45kmh</vt:lpstr>
      <vt:lpstr>lci-electric-bicycle-cargo</vt:lpstr>
      <vt:lpstr>lci-tram</vt:lpstr>
      <vt:lpstr>lci-others</vt:lpstr>
    </vt:vector>
  </TitlesOfParts>
  <Company>PSI - Paul Scherrer Institut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Sacchi Romain</dc:creator>
  <cp:lastModifiedBy>Sacchi Romain</cp:lastModifiedBy>
  <dcterms:created xsi:type="dcterms:W3CDTF">2021-02-01T10:08:21Z</dcterms:created>
  <dcterms:modified xsi:type="dcterms:W3CDTF">2021-03-02T15:11:39Z</dcterms:modified>
</cp:coreProperties>
</file>